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21C/"/>
    </mc:Choice>
  </mc:AlternateContent>
  <xr:revisionPtr revIDLastSave="0" documentId="13_ncr:1_{308F44CB-D518-C54D-AA18-6E6DC82FA957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ampleMeasurements" sheetId="1" r:id="rId1"/>
    <sheet name="Sheet2" sheetId="7" r:id="rId2"/>
    <sheet name="CH4_std_curves" sheetId="4" r:id="rId3"/>
    <sheet name="CO2_std_curves" sheetId="5" r:id="rId4"/>
    <sheet name="SampleList" sheetId="2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4" i="1" l="1"/>
  <c r="AA37" i="1"/>
  <c r="AA31" i="1"/>
  <c r="AA24" i="1"/>
  <c r="AA18" i="1"/>
  <c r="AA12" i="1"/>
  <c r="Z44" i="1"/>
  <c r="Z37" i="1"/>
  <c r="Z31" i="1"/>
  <c r="Z24" i="1"/>
  <c r="Z18" i="1"/>
  <c r="Z12" i="1"/>
  <c r="Y26" i="1"/>
  <c r="X26" i="1"/>
  <c r="Y39" i="1"/>
  <c r="Y32" i="1"/>
  <c r="Y19" i="1"/>
  <c r="Y13" i="1"/>
  <c r="X39" i="1"/>
  <c r="X32" i="1"/>
  <c r="X19" i="1"/>
  <c r="X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13" i="1"/>
  <c r="W13" i="1"/>
  <c r="S13" i="1"/>
  <c r="T13" i="1"/>
  <c r="V12" i="1"/>
  <c r="U12" i="1"/>
  <c r="F13" i="6"/>
  <c r="E13" i="6"/>
  <c r="D13" i="6"/>
  <c r="C13" i="6"/>
  <c r="B13" i="6"/>
  <c r="A13" i="6"/>
  <c r="R44" i="1"/>
  <c r="C21" i="5"/>
  <c r="C20" i="5"/>
  <c r="C19" i="5"/>
  <c r="C18" i="5"/>
  <c r="C17" i="5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4" i="1"/>
  <c r="R18" i="1"/>
  <c r="R17" i="1"/>
  <c r="R15" i="1"/>
  <c r="R3" i="1"/>
  <c r="R4" i="1"/>
  <c r="R5" i="1"/>
  <c r="R6" i="1"/>
  <c r="R7" i="1"/>
  <c r="R8" i="1"/>
  <c r="R9" i="1"/>
  <c r="R10" i="1"/>
  <c r="R11" i="1"/>
  <c r="R12" i="1"/>
  <c r="R13" i="1"/>
  <c r="R2" i="1"/>
  <c r="C16" i="5"/>
  <c r="C15" i="5"/>
  <c r="C14" i="5"/>
  <c r="C13" i="5"/>
  <c r="C12" i="5"/>
  <c r="C31" i="4"/>
  <c r="C30" i="4"/>
  <c r="C29" i="4"/>
  <c r="C28" i="4"/>
  <c r="C27" i="4"/>
  <c r="C11" i="5"/>
  <c r="C10" i="5"/>
  <c r="C9" i="5"/>
  <c r="C8" i="5"/>
  <c r="C7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3" i="5"/>
  <c r="C4" i="5"/>
  <c r="C5" i="5"/>
  <c r="C6" i="5"/>
  <c r="C2" i="5"/>
  <c r="C3" i="4"/>
  <c r="C4" i="4"/>
  <c r="C5" i="4"/>
  <c r="C6" i="4"/>
  <c r="C2" i="4"/>
  <c r="E21" i="5"/>
  <c r="F21" i="5"/>
  <c r="E20" i="5"/>
  <c r="F20" i="5"/>
  <c r="E19" i="5"/>
  <c r="F19" i="5"/>
  <c r="E18" i="5"/>
  <c r="F18" i="5"/>
  <c r="E17" i="5"/>
  <c r="F17" i="5"/>
  <c r="E31" i="4"/>
  <c r="F31" i="4"/>
  <c r="E18" i="4"/>
  <c r="F18" i="4"/>
  <c r="E21" i="4"/>
  <c r="F21" i="4"/>
  <c r="E26" i="4"/>
  <c r="F26" i="4"/>
  <c r="E28" i="4"/>
  <c r="F28" i="4"/>
  <c r="E23" i="4"/>
  <c r="F23" i="4"/>
  <c r="E24" i="4"/>
  <c r="F24" i="4"/>
  <c r="E30" i="4"/>
  <c r="F30" i="4"/>
  <c r="E17" i="4"/>
  <c r="F17" i="4"/>
  <c r="E27" i="4"/>
  <c r="F27" i="4"/>
  <c r="E22" i="4"/>
  <c r="F22" i="4"/>
  <c r="E19" i="4"/>
  <c r="F19" i="4"/>
  <c r="E20" i="4"/>
  <c r="F20" i="4"/>
  <c r="E29" i="4"/>
  <c r="F29" i="4"/>
  <c r="E25" i="4"/>
  <c r="F25" i="4"/>
  <c r="E4" i="5"/>
  <c r="F4" i="5"/>
  <c r="E16" i="5"/>
  <c r="F16" i="5"/>
  <c r="E15" i="5"/>
  <c r="F15" i="5"/>
  <c r="E8" i="5"/>
  <c r="F8" i="5"/>
  <c r="E12" i="5"/>
  <c r="F12" i="5"/>
  <c r="E14" i="5"/>
  <c r="F14" i="5"/>
  <c r="E7" i="5"/>
  <c r="F7" i="5"/>
  <c r="E13" i="5"/>
  <c r="F13" i="5"/>
  <c r="E11" i="5"/>
  <c r="F11" i="5"/>
  <c r="E10" i="5"/>
  <c r="F10" i="5"/>
  <c r="E9" i="5"/>
  <c r="F9" i="5"/>
  <c r="E16" i="4"/>
  <c r="F16" i="4"/>
  <c r="E14" i="4"/>
  <c r="F14" i="4"/>
  <c r="E15" i="4"/>
  <c r="F15" i="4"/>
  <c r="E12" i="4"/>
  <c r="F12" i="4"/>
  <c r="E13" i="4"/>
  <c r="F13" i="4"/>
  <c r="E6" i="4"/>
  <c r="F6" i="4"/>
  <c r="E10" i="4"/>
  <c r="F10" i="4"/>
  <c r="E7" i="4"/>
  <c r="F7" i="4"/>
  <c r="E8" i="4"/>
  <c r="F8" i="4"/>
  <c r="E11" i="4"/>
  <c r="F11" i="4"/>
  <c r="E9" i="4"/>
  <c r="F9" i="4"/>
  <c r="E3" i="5"/>
  <c r="F3" i="5"/>
  <c r="E6" i="5"/>
  <c r="F6" i="5"/>
  <c r="E5" i="5"/>
  <c r="F5" i="5"/>
  <c r="E2" i="5"/>
  <c r="F2" i="5"/>
  <c r="E2" i="4"/>
  <c r="F2" i="4"/>
  <c r="E3" i="4"/>
  <c r="F3" i="4"/>
  <c r="E5" i="4"/>
  <c r="F5" i="4"/>
  <c r="E4" i="4"/>
  <c r="F4" i="4"/>
  <c r="I27" i="4"/>
  <c r="J27" i="4"/>
  <c r="I17" i="5"/>
  <c r="J17" i="5"/>
  <c r="I7" i="4"/>
  <c r="J7" i="4"/>
  <c r="I12" i="4"/>
  <c r="J12" i="4"/>
  <c r="J22" i="4"/>
  <c r="I22" i="4"/>
  <c r="I17" i="4"/>
  <c r="J17" i="4"/>
  <c r="I12" i="5"/>
  <c r="J12" i="5"/>
  <c r="J7" i="5"/>
  <c r="I7" i="5"/>
  <c r="J2" i="5"/>
  <c r="I2" i="5"/>
  <c r="I2" i="4"/>
  <c r="J2" i="4"/>
  <c r="S9" i="1"/>
  <c r="T9" i="1"/>
  <c r="S40" i="1"/>
  <c r="S41" i="1"/>
  <c r="S42" i="1"/>
  <c r="S44" i="1"/>
  <c r="T44" i="1"/>
  <c r="S39" i="1"/>
  <c r="S38" i="1"/>
  <c r="T38" i="1"/>
  <c r="S43" i="1"/>
  <c r="T43" i="1"/>
  <c r="S22" i="1"/>
  <c r="T22" i="1"/>
  <c r="S24" i="1"/>
  <c r="S19" i="1"/>
  <c r="S21" i="1"/>
  <c r="S20" i="1"/>
  <c r="S23" i="1"/>
  <c r="T23" i="1"/>
  <c r="T39" i="1"/>
  <c r="T41" i="1"/>
  <c r="T40" i="1"/>
  <c r="T42" i="1"/>
  <c r="S31" i="1"/>
  <c r="S30" i="1"/>
  <c r="T30" i="1"/>
  <c r="S29" i="1"/>
  <c r="T29" i="1"/>
  <c r="S25" i="1"/>
  <c r="T25" i="1"/>
  <c r="S27" i="1"/>
  <c r="T27" i="1"/>
  <c r="S26" i="1"/>
  <c r="S28" i="1"/>
  <c r="S34" i="1"/>
  <c r="T34" i="1"/>
  <c r="S35" i="1"/>
  <c r="T35" i="1"/>
  <c r="S36" i="1"/>
  <c r="T36" i="1"/>
  <c r="S37" i="1"/>
  <c r="T37" i="1"/>
  <c r="S33" i="1"/>
  <c r="T33" i="1"/>
  <c r="S32" i="1"/>
  <c r="T32" i="1"/>
  <c r="S5" i="1"/>
  <c r="T5" i="1"/>
  <c r="S2" i="1"/>
  <c r="T2" i="1"/>
  <c r="S3" i="1"/>
  <c r="T3" i="1"/>
  <c r="S11" i="1"/>
  <c r="T11" i="1"/>
  <c r="S6" i="1"/>
  <c r="T6" i="1"/>
  <c r="S10" i="1"/>
  <c r="T10" i="1"/>
  <c r="S7" i="1"/>
  <c r="T7" i="1"/>
  <c r="S12" i="1"/>
  <c r="T12" i="1"/>
  <c r="S4" i="1"/>
  <c r="T4" i="1"/>
  <c r="S8" i="1"/>
  <c r="T8" i="1"/>
  <c r="S16" i="1"/>
  <c r="T16" i="1"/>
  <c r="T20" i="1"/>
  <c r="T24" i="1"/>
  <c r="T28" i="1"/>
  <c r="S18" i="1"/>
  <c r="T18" i="1"/>
  <c r="T26" i="1"/>
  <c r="S17" i="1"/>
  <c r="T17" i="1"/>
  <c r="T21" i="1"/>
  <c r="S14" i="1"/>
  <c r="T14" i="1"/>
  <c r="S15" i="1"/>
  <c r="T15" i="1"/>
  <c r="T19" i="1"/>
  <c r="T31" i="1"/>
</calcChain>
</file>

<file path=xl/sharedStrings.xml><?xml version="1.0" encoding="utf-8"?>
<sst xmlns="http://schemas.openxmlformats.org/spreadsheetml/2006/main" count="225" uniqueCount="100">
  <si>
    <t>Date time</t>
  </si>
  <si>
    <t>Bottle</t>
  </si>
  <si>
    <t>FID_CH4_retention_time</t>
  </si>
  <si>
    <t>FID_CH4_peak_area</t>
  </si>
  <si>
    <t>TCD_CH4_retention_time</t>
  </si>
  <si>
    <t>TCD_CH4_peak_area</t>
  </si>
  <si>
    <t>TCD_CO2_retention_time</t>
  </si>
  <si>
    <t>TCD_CO2_peak_area</t>
  </si>
  <si>
    <t>Notes</t>
  </si>
  <si>
    <t>Vol (L) of 1 mol ideal gas at 20C (ideal gas law)</t>
  </si>
  <si>
    <t>CH4 1% std concentration</t>
  </si>
  <si>
    <t>Inj. Vol. (uL)</t>
  </si>
  <si>
    <t>moles</t>
  </si>
  <si>
    <t>nanomoles</t>
  </si>
  <si>
    <t>RT</t>
  </si>
  <si>
    <t>Area</t>
  </si>
  <si>
    <t>slope</t>
  </si>
  <si>
    <t>y-intercept</t>
  </si>
  <si>
    <t>Date</t>
  </si>
  <si>
    <t>Injection volume (µL)</t>
  </si>
  <si>
    <t>Timepoint</t>
  </si>
  <si>
    <t>CO2 % std concentration</t>
  </si>
  <si>
    <t>Number of OD samplings taken prior to GC measurement</t>
  </si>
  <si>
    <t>Volume of 1M HCl added prior to GC measurement (mL)</t>
  </si>
  <si>
    <t>Total capacity volume of culture vessel (mL); Constant</t>
  </si>
  <si>
    <t>Initial media volume (mL); Constant</t>
  </si>
  <si>
    <t>Headspace volume at time of GC measurement (mL)</t>
  </si>
  <si>
    <t>OD sampling volume (mL); Constant</t>
  </si>
  <si>
    <t>Volume of inoculum added prior to GC measurement (mL); Constant after initial addition</t>
  </si>
  <si>
    <t>Methane concentration in sample injection (nanomols/uL)</t>
  </si>
  <si>
    <t>Total methane concentration in bottle (umols)</t>
  </si>
  <si>
    <t>2022-01-17_Uninoculated-control_RoomTemp</t>
  </si>
  <si>
    <t>2022-01-17_Mcaps_RoomTemp_T1_M1</t>
  </si>
  <si>
    <t>2022-01-17_Mcaps_RoomTemp_T1_M2</t>
  </si>
  <si>
    <t>2022-01-17_Mcaps_RoomTemp_T1_C1</t>
  </si>
  <si>
    <t>2022-01-17_Mcaps_RoomTemp_T1_C2</t>
  </si>
  <si>
    <t>2022-01-17_Mcaps_RoomTemp_T1_C3</t>
  </si>
  <si>
    <t>2022-01-17_Mcaps_RoomTemp_T1_C4</t>
  </si>
  <si>
    <t>2022-01-17_Mcaps_RoomTemp_T2_M1</t>
  </si>
  <si>
    <t>2022-01-17_Mcaps_RoomTemp_T2_M2</t>
  </si>
  <si>
    <t>2022-01-17_Mcaps_RoomTemp_T2_C1</t>
  </si>
  <si>
    <t>2022-01-17_Mcaps_RoomTemp_T2_C2</t>
  </si>
  <si>
    <t>2022-01-17_Mcaps_RoomTemp_T2_C3</t>
  </si>
  <si>
    <t>2022-01-17_Mcaps_RoomTemp_T2_C4</t>
  </si>
  <si>
    <t>2022-01-17_Mcaps_RoomTemp_T3_M1</t>
  </si>
  <si>
    <t>2022-01-17_Mcaps_RoomTemp_T3_M2</t>
  </si>
  <si>
    <t>2022-01-17_Mcaps_RoomTemp_T3_C1</t>
  </si>
  <si>
    <t>2022-01-17_Mcaps_RoomTemp_T3_C2</t>
  </si>
  <si>
    <t>2022-01-17_Mcaps_RoomTemp_T3_C3</t>
  </si>
  <si>
    <t>2022-01-17_Mcaps_RoomTemp_T3_C4</t>
  </si>
  <si>
    <t>2022-01-17_Mcaps_RoomTemp_T4_M1</t>
  </si>
  <si>
    <t>2022-01-17_Mcaps_RoomTemp_T4_M2</t>
  </si>
  <si>
    <t>2022-01-17_Mcaps_RoomTemp_T4_C1</t>
  </si>
  <si>
    <t>2022-01-17_Mcaps_RoomTemp_T4_C2</t>
  </si>
  <si>
    <t>2022-01-17_Mcaps_RoomTemp_T4_C3</t>
  </si>
  <si>
    <t>2022-01-17_Mcaps_RoomTemp_T4_C4</t>
  </si>
  <si>
    <t>2022-01-17_Mcaps_RoomTemp_T5_M1</t>
  </si>
  <si>
    <t>2022-01-17_Mcaps_RoomTemp_T5_M2</t>
  </si>
  <si>
    <t>2022-01-17_Mcaps_RoomTemp_T5_C1</t>
  </si>
  <si>
    <t>2022-01-17_Mcaps_RoomTemp_T5_C2</t>
  </si>
  <si>
    <t>2022-01-17_Mcaps_RoomTemp_T5_C3</t>
  </si>
  <si>
    <t>2022-01-17_Mcaps_RoomTemp_T5_C4</t>
  </si>
  <si>
    <t>injected 40 uL of headspace gas for uninocluated control</t>
  </si>
  <si>
    <t>NM</t>
  </si>
  <si>
    <t>Measured methane conc before innoculation</t>
  </si>
  <si>
    <t>ND</t>
  </si>
  <si>
    <t>draw and push the syring several times to get rid of residual methane in the syringe before sampling</t>
  </si>
  <si>
    <t>CH4 concentrations</t>
  </si>
  <si>
    <t>time</t>
  </si>
  <si>
    <t>time 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</si>
  <si>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</si>
  <si>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</si>
  <si>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</si>
  <si>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</si>
  <si>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</si>
  <si>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</si>
  <si>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</si>
  <si>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</si>
  <si>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</si>
  <si>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</si>
  <si>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</si>
  <si>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</si>
  <si>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</si>
  <si>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</si>
  <si>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</si>
  <si>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</si>
  <si>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</si>
  <si>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</si>
  <si>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</si>
  <si>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</si>
  <si>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</si>
  <si>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</si>
  <si>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</si>
  <si>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</si>
  <si>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</si>
  <si>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Stdev</t>
  </si>
  <si>
    <t>stdev of f</t>
  </si>
  <si>
    <t>avgf</t>
  </si>
  <si>
    <t>stdevf</t>
  </si>
  <si>
    <t>avg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</si>
</sst>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m/d/yyyy\ h:mm:ss"/>
    <numFmt numFmtId="167" formatCode="m/d/yyyy\ h:mm\ AM/PM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22" fontId="0" fillId="0" borderId="0" xfId="0" applyNumberFormat="1"/>
    <xf numFmtId="16" fontId="0" fillId="0" borderId="0" xfId="0" applyNumberFormat="1"/>
    <xf numFmtId="0" fontId="4" fillId="0" borderId="0" xfId="0" applyFont="1"/>
    <xf numFmtId="22" fontId="5" fillId="0" borderId="0" xfId="0" applyNumberFormat="1" applyFont="1"/>
    <xf numFmtId="0" fontId="5" fillId="0" borderId="0" xfId="0" applyFont="1"/>
    <xf numFmtId="0" fontId="6" fillId="0" borderId="0" xfId="0" applyFont="1"/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/>
    <xf numFmtId="166" fontId="7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1/17/22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CH4_std_curves!$F$2:$F$6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CH4_std_curves!$H$2:$H$6</c:f>
              <c:numCache>
                <c:formatCode>General</c:formatCode>
                <c:ptCount val="5"/>
                <c:pt idx="0">
                  <c:v>79.697999999999993</c:v>
                </c:pt>
                <c:pt idx="1">
                  <c:v>218.1874</c:v>
                </c:pt>
                <c:pt idx="2">
                  <c:v>492.91140000000001</c:v>
                </c:pt>
                <c:pt idx="3">
                  <c:v>777.69780000000003</c:v>
                </c:pt>
                <c:pt idx="4">
                  <c:v>1053.1908000000001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4672-BB7F-F5DEC3A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CO2_std_curves!$F$17:$F$21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CO2_std_curves!$H$17:$H$21</c:f>
              <c:numCache>
                <c:formatCode>0.0000</c:formatCode>
                <c:ptCount val="5"/>
                <c:pt idx="0">
                  <c:v>18.3874</c:v>
                </c:pt>
                <c:pt idx="1">
                  <c:v>38.267299999999999</c:v>
                </c:pt>
                <c:pt idx="2">
                  <c:v>76.527799999999999</c:v>
                </c:pt>
                <c:pt idx="3">
                  <c:v>114.2794</c:v>
                </c:pt>
                <c:pt idx="4">
                  <c:v>153.96719999999999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FF8-BA44-9D0131A8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1/20/22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CH4_std_curves!$H$7:$H$11</c:f>
              <c:numCache>
                <c:formatCode>General</c:formatCode>
                <c:ptCount val="5"/>
                <c:pt idx="0">
                  <c:v>139.2714</c:v>
                </c:pt>
                <c:pt idx="1">
                  <c:v>276.19869999999997</c:v>
                </c:pt>
                <c:pt idx="2">
                  <c:v>547.09799999999996</c:v>
                </c:pt>
                <c:pt idx="3">
                  <c:v>830.5104</c:v>
                </c:pt>
                <c:pt idx="4">
                  <c:v>1096.0231000000001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B-4EAE-9E36-69AC3BBA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1/22/22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CH4_std_curves!$F$12:$F$16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CH4_std_curves!$H$12:$H$16</c:f>
              <c:numCache>
                <c:formatCode>General</c:formatCode>
                <c:ptCount val="5"/>
                <c:pt idx="0">
                  <c:v>138.87719999999999</c:v>
                </c:pt>
                <c:pt idx="1">
                  <c:v>284.50650000000002</c:v>
                </c:pt>
                <c:pt idx="2">
                  <c:v>557.82539999999995</c:v>
                </c:pt>
                <c:pt idx="3">
                  <c:v>833.10199999999998</c:v>
                </c:pt>
                <c:pt idx="4">
                  <c:v>1116.2058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2-472B-8BD7-0F639D9E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1/25/22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CH4_std_curves!$F$17:$F$21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CH4_std_curves!$H$17:$H$21</c:f>
              <c:numCache>
                <c:formatCode>0.0000</c:formatCode>
                <c:ptCount val="5"/>
                <c:pt idx="0">
                  <c:v>133.39940000000001</c:v>
                </c:pt>
                <c:pt idx="1">
                  <c:v>277.49290000000002</c:v>
                </c:pt>
                <c:pt idx="2">
                  <c:v>546.56619999999998</c:v>
                </c:pt>
                <c:pt idx="3">
                  <c:v>825.94230000000005</c:v>
                </c:pt>
                <c:pt idx="4">
                  <c:v>1101.5346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A-41CE-9DD8-AF3A1156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1/29/22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CH4_std_curves!$F$22:$F$26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CH4_std_curves!$H$22:$H$26</c:f>
              <c:numCache>
                <c:formatCode>0.0000</c:formatCode>
                <c:ptCount val="5"/>
                <c:pt idx="0">
                  <c:v>137.2567</c:v>
                </c:pt>
                <c:pt idx="1">
                  <c:v>282.06580000000002</c:v>
                </c:pt>
                <c:pt idx="2">
                  <c:v>554.64080000000001</c:v>
                </c:pt>
                <c:pt idx="3">
                  <c:v>845.44799999999998</c:v>
                </c:pt>
                <c:pt idx="4">
                  <c:v>1111.8535999999999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0-4655-8E1F-ED44B3FD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2/5/22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CH4_std_curves!$F$27:$F$31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CH4_std_curves!$H$27:$H$31</c:f>
              <c:numCache>
                <c:formatCode>0.0000</c:formatCode>
                <c:ptCount val="5"/>
                <c:pt idx="0">
                  <c:v>129.14439999999999</c:v>
                </c:pt>
                <c:pt idx="1">
                  <c:v>274.7824</c:v>
                </c:pt>
                <c:pt idx="2">
                  <c:v>556.56759999999997</c:v>
                </c:pt>
                <c:pt idx="3">
                  <c:v>833.83690000000001</c:v>
                </c:pt>
                <c:pt idx="4">
                  <c:v>1113.4133999999999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B-4F51-AB80-8FA52244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CO2_std_curves!$F$2:$F$6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CO2_std_curves!$H$2:$H$6</c:f>
              <c:numCache>
                <c:formatCode>General</c:formatCode>
                <c:ptCount val="5"/>
                <c:pt idx="0">
                  <c:v>18.915500000000002</c:v>
                </c:pt>
                <c:pt idx="1">
                  <c:v>38.025799999999997</c:v>
                </c:pt>
                <c:pt idx="2">
                  <c:v>77.385400000000004</c:v>
                </c:pt>
                <c:pt idx="3">
                  <c:v>115.7788</c:v>
                </c:pt>
                <c:pt idx="4">
                  <c:v>156.0086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F-1D42-9EEA-E52EB2D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CO2_std_curves!$F$7:$F$11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CO2_std_curves!$H$7:$H$11</c:f>
              <c:numCache>
                <c:formatCode>General</c:formatCode>
                <c:ptCount val="5"/>
                <c:pt idx="0">
                  <c:v>18.583600000000001</c:v>
                </c:pt>
                <c:pt idx="1">
                  <c:v>38.179200000000002</c:v>
                </c:pt>
                <c:pt idx="2">
                  <c:v>76.817400000000006</c:v>
                </c:pt>
                <c:pt idx="3">
                  <c:v>114.813</c:v>
                </c:pt>
                <c:pt idx="4">
                  <c:v>154.76230000000001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B-4F82-98C2-7EA41949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CO2_std_curves!$F$12:$F$16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CO2_std_curves!$H$12:$H$16</c:f>
              <c:numCache>
                <c:formatCode>0.0000</c:formatCode>
                <c:ptCount val="5"/>
                <c:pt idx="0">
                  <c:v>18.713999999999999</c:v>
                </c:pt>
                <c:pt idx="1">
                  <c:v>39.101599999999998</c:v>
                </c:pt>
                <c:pt idx="2">
                  <c:v>77.428700000000006</c:v>
                </c:pt>
                <c:pt idx="3">
                  <c:v>116.66459999999999</c:v>
                </c:pt>
                <c:pt idx="4">
                  <c:v>157.13560000000001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E-4FE2-9ADE-8A2DD924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177800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C6A321-7955-2E40-8C8B-E62D75784DF6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592932</xdr:colOff>
      <xdr:row>0</xdr:row>
      <xdr:rowOff>690562</xdr:rowOff>
    </xdr:from>
    <xdr:to>
      <xdr:col>14</xdr:col>
      <xdr:colOff>307182</xdr:colOff>
      <xdr:row>9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14</xdr:col>
      <xdr:colOff>550334</xdr:colOff>
      <xdr:row>21</xdr:row>
      <xdr:rowOff>19844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18</xdr:col>
      <xdr:colOff>550334</xdr:colOff>
      <xdr:row>11</xdr:row>
      <xdr:rowOff>19844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550334</xdr:colOff>
      <xdr:row>21</xdr:row>
      <xdr:rowOff>19844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14</xdr:col>
      <xdr:colOff>550334</xdr:colOff>
      <xdr:row>32</xdr:row>
      <xdr:rowOff>19844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14</xdr:col>
      <xdr:colOff>550334</xdr:colOff>
      <xdr:row>43</xdr:row>
      <xdr:rowOff>19844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127000</xdr:rowOff>
    </xdr:from>
    <xdr:to>
      <xdr:col>15</xdr:col>
      <xdr:colOff>476250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266700</xdr:colOff>
      <xdr:row>0</xdr:row>
      <xdr:rowOff>254000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5F1677-5944-7F46-807F-9438CC8D4887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16</xdr:col>
      <xdr:colOff>0</xdr:colOff>
      <xdr:row>2</xdr:row>
      <xdr:rowOff>0</xdr:rowOff>
    </xdr:from>
    <xdr:to>
      <xdr:col>20</xdr:col>
      <xdr:colOff>307975</xdr:colOff>
      <xdr:row>12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15</xdr:col>
      <xdr:colOff>307975</xdr:colOff>
      <xdr:row>23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20</xdr:col>
      <xdr:colOff>307975</xdr:colOff>
      <xdr:row>23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J1" zoomScaleNormal="70" workbookViewId="0">
      <pane ySplit="1" topLeftCell="A2" activePane="bottomLeft" state="frozen"/>
      <selection pane="bottomLeft" activeCell="AA44" activeCellId="5" sqref="AA12 AA18 AA24 AA31 AA37 AA44"/>
    </sheetView>
  </sheetViews>
  <sheetFormatPr baseColWidth="10" defaultColWidth="11" defaultRowHeight="16" x14ac:dyDescent="0.2"/>
  <cols>
    <col min="1" max="1" width="19.33203125" customWidth="1"/>
    <col min="2" max="2" width="28.6640625" customWidth="1"/>
    <col min="3" max="3" width="9" customWidth="1"/>
    <col min="4" max="4" width="9.6640625" customWidth="1"/>
    <col min="5" max="5" width="9.33203125" customWidth="1"/>
    <col min="6" max="6" width="10" customWidth="1"/>
    <col min="7" max="7" width="9.5" customWidth="1"/>
    <col min="8" max="8" width="9.6640625" customWidth="1"/>
    <col min="12" max="12" width="15" style="25" customWidth="1"/>
    <col min="13" max="13" width="11" style="25"/>
    <col min="14" max="14" width="15.1640625" style="25" customWidth="1"/>
    <col min="15" max="15" width="11" style="25"/>
    <col min="16" max="16" width="14.5" style="25" customWidth="1"/>
    <col min="17" max="17" width="15.5" style="25" customWidth="1"/>
    <col min="18" max="18" width="11" style="25"/>
    <col min="19" max="19" width="12.6640625" customWidth="1"/>
  </cols>
  <sheetData>
    <row r="1" spans="1:27" ht="65.25" customHeight="1" x14ac:dyDescent="0.2">
      <c r="A1" s="14" t="s">
        <v>0</v>
      </c>
      <c r="B1" s="14" t="s">
        <v>1</v>
      </c>
      <c r="C1" s="14" t="s">
        <v>19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20</v>
      </c>
      <c r="K1" s="14" t="s">
        <v>8</v>
      </c>
      <c r="L1" s="23" t="s">
        <v>24</v>
      </c>
      <c r="M1" s="23" t="s">
        <v>25</v>
      </c>
      <c r="N1" s="23" t="s">
        <v>28</v>
      </c>
      <c r="O1" s="23" t="s">
        <v>27</v>
      </c>
      <c r="P1" s="23" t="s">
        <v>22</v>
      </c>
      <c r="Q1" s="23" t="s">
        <v>23</v>
      </c>
      <c r="R1" s="23" t="s">
        <v>26</v>
      </c>
      <c r="S1" s="15" t="s">
        <v>29</v>
      </c>
      <c r="T1" s="15" t="s">
        <v>30</v>
      </c>
      <c r="V1" t="s">
        <v>95</v>
      </c>
      <c r="X1" t="s">
        <v>97</v>
      </c>
      <c r="Y1" t="s">
        <v>98</v>
      </c>
      <c r="Z1" t="s">
        <v>99</v>
      </c>
    </row>
    <row r="2" spans="1:27" s="21" customFormat="1" x14ac:dyDescent="0.2">
      <c r="A2" s="20">
        <v>44578.622916666667</v>
      </c>
      <c r="B2" s="21" t="s">
        <v>31</v>
      </c>
      <c r="C2" s="21">
        <v>40</v>
      </c>
      <c r="D2">
        <v>1.3360000000000001</v>
      </c>
      <c r="E2" s="1">
        <v>1189.3794</v>
      </c>
      <c r="F2" s="22" t="s">
        <v>63</v>
      </c>
      <c r="G2" s="22" t="s">
        <v>63</v>
      </c>
      <c r="H2" s="22" t="s">
        <v>63</v>
      </c>
      <c r="I2" s="22" t="s">
        <v>63</v>
      </c>
      <c r="J2" s="21">
        <v>0</v>
      </c>
      <c r="K2" s="21" t="s">
        <v>62</v>
      </c>
      <c r="L2" s="24">
        <v>160</v>
      </c>
      <c r="M2" s="24">
        <v>30.03</v>
      </c>
      <c r="N2" s="24">
        <v>0</v>
      </c>
      <c r="O2" s="24">
        <v>0.8</v>
      </c>
      <c r="P2" s="24">
        <v>0</v>
      </c>
      <c r="Q2" s="24">
        <v>0</v>
      </c>
      <c r="R2" s="24">
        <f>L2-M2-N2+(O2*P2)-Q2</f>
        <v>129.97</v>
      </c>
      <c r="S2" s="33">
        <f>((E2-CH4_std_curves!$J$2)/CH4_std_curves!$I$2)/C2</f>
        <v>4.6550265491814731</v>
      </c>
      <c r="T2">
        <f t="shared" ref="T2:T7" si="0">S2*1000/1000*R2</f>
        <v>605.01380059711607</v>
      </c>
    </row>
    <row r="3" spans="1:27" x14ac:dyDescent="0.2">
      <c r="A3" s="17">
        <v>44578.64166666667</v>
      </c>
      <c r="B3" t="s">
        <v>32</v>
      </c>
      <c r="C3">
        <v>30</v>
      </c>
      <c r="D3" s="1">
        <v>1.33</v>
      </c>
      <c r="E3" s="1">
        <v>921.29420000000005</v>
      </c>
      <c r="F3" s="22" t="s">
        <v>63</v>
      </c>
      <c r="G3" s="22" t="s">
        <v>63</v>
      </c>
      <c r="H3" s="22" t="s">
        <v>63</v>
      </c>
      <c r="I3" s="22" t="s">
        <v>63</v>
      </c>
      <c r="J3">
        <v>0</v>
      </c>
      <c r="K3" s="22" t="s">
        <v>64</v>
      </c>
      <c r="L3" s="24">
        <v>160</v>
      </c>
      <c r="M3" s="24">
        <v>30.03</v>
      </c>
      <c r="N3" s="24">
        <v>0</v>
      </c>
      <c r="O3" s="24">
        <v>0.8</v>
      </c>
      <c r="P3" s="24">
        <v>0</v>
      </c>
      <c r="Q3" s="24">
        <v>0</v>
      </c>
      <c r="R3" s="24">
        <f t="shared" ref="R3:R44" si="1">L3-M3-N3+(O3*P3)-Q3</f>
        <v>129.97</v>
      </c>
      <c r="S3" s="33">
        <f>((E3-CH4_std_curves!$J$2)/CH4_std_curves!$I$2)/C3</f>
        <v>4.875577364825463</v>
      </c>
      <c r="T3">
        <f t="shared" si="0"/>
        <v>633.67879010636545</v>
      </c>
    </row>
    <row r="4" spans="1:27" s="21" customFormat="1" x14ac:dyDescent="0.2">
      <c r="A4" s="17">
        <v>44578.654861111114</v>
      </c>
      <c r="B4" s="21" t="s">
        <v>33</v>
      </c>
      <c r="C4" s="21">
        <v>30</v>
      </c>
      <c r="D4">
        <v>1.33</v>
      </c>
      <c r="E4">
        <v>919.69759999999997</v>
      </c>
      <c r="F4" s="22" t="s">
        <v>63</v>
      </c>
      <c r="G4" s="22" t="s">
        <v>63</v>
      </c>
      <c r="H4" s="22" t="s">
        <v>63</v>
      </c>
      <c r="I4" s="22" t="s">
        <v>63</v>
      </c>
      <c r="J4" s="21">
        <v>0</v>
      </c>
      <c r="K4" s="22" t="s">
        <v>64</v>
      </c>
      <c r="L4" s="24">
        <v>160</v>
      </c>
      <c r="M4" s="24">
        <v>30.03</v>
      </c>
      <c r="N4" s="24">
        <v>0</v>
      </c>
      <c r="O4" s="24">
        <v>0.8</v>
      </c>
      <c r="P4" s="24">
        <v>0</v>
      </c>
      <c r="Q4" s="24">
        <v>0</v>
      </c>
      <c r="R4" s="24">
        <f t="shared" si="1"/>
        <v>129.97</v>
      </c>
      <c r="S4" s="33">
        <f>((E4-CH4_std_curves!$J$2)/CH4_std_curves!$I$2)/C4</f>
        <v>4.8676497593581818</v>
      </c>
      <c r="T4" s="21">
        <f t="shared" si="0"/>
        <v>632.64843922378293</v>
      </c>
    </row>
    <row r="5" spans="1:27" x14ac:dyDescent="0.2">
      <c r="A5" s="17">
        <v>44578.724305555559</v>
      </c>
      <c r="B5" t="s">
        <v>38</v>
      </c>
      <c r="C5">
        <v>30</v>
      </c>
      <c r="D5">
        <v>1.353</v>
      </c>
      <c r="E5" s="1">
        <v>929.4538</v>
      </c>
      <c r="F5" s="22" t="s">
        <v>63</v>
      </c>
      <c r="G5" s="22" t="s">
        <v>63</v>
      </c>
      <c r="H5" s="22" t="s">
        <v>63</v>
      </c>
      <c r="I5" s="22" t="s">
        <v>63</v>
      </c>
      <c r="J5">
        <v>0</v>
      </c>
      <c r="L5" s="24">
        <v>160</v>
      </c>
      <c r="M5" s="24">
        <v>30.03</v>
      </c>
      <c r="N5" s="24">
        <v>0.9</v>
      </c>
      <c r="O5" s="24">
        <v>0.8</v>
      </c>
      <c r="P5" s="24">
        <v>0</v>
      </c>
      <c r="Q5" s="24">
        <v>0</v>
      </c>
      <c r="R5" s="24">
        <f t="shared" si="1"/>
        <v>129.07</v>
      </c>
      <c r="S5" s="33">
        <f>((E5-CH4_std_curves!$J$2)/CH4_std_curves!$I$2)/C5</f>
        <v>4.9160922649700378</v>
      </c>
      <c r="T5">
        <f t="shared" si="0"/>
        <v>634.52002863968278</v>
      </c>
      <c r="U5" s="21"/>
    </row>
    <row r="6" spans="1:27" x14ac:dyDescent="0.2">
      <c r="A6" s="17">
        <v>44578.740972222222</v>
      </c>
      <c r="B6" t="s">
        <v>39</v>
      </c>
      <c r="C6" s="21">
        <v>30</v>
      </c>
      <c r="D6">
        <v>1.333</v>
      </c>
      <c r="E6" s="1">
        <v>940.00900000000001</v>
      </c>
      <c r="F6" s="22" t="s">
        <v>63</v>
      </c>
      <c r="G6" s="22" t="s">
        <v>63</v>
      </c>
      <c r="H6" s="22" t="s">
        <v>63</v>
      </c>
      <c r="I6" s="22" t="s">
        <v>63</v>
      </c>
      <c r="J6" s="21">
        <v>0</v>
      </c>
      <c r="L6" s="24">
        <v>160</v>
      </c>
      <c r="M6" s="24">
        <v>30.03</v>
      </c>
      <c r="N6" s="24">
        <v>0.9</v>
      </c>
      <c r="O6" s="24">
        <v>0.8</v>
      </c>
      <c r="P6" s="24">
        <v>1</v>
      </c>
      <c r="Q6" s="24">
        <v>0</v>
      </c>
      <c r="R6" s="24">
        <f t="shared" si="1"/>
        <v>129.87</v>
      </c>
      <c r="S6" s="33">
        <f>((E6-CH4_std_curves!$J$2)/CH4_std_curves!$I$2)/C6</f>
        <v>4.9685020490288174</v>
      </c>
      <c r="T6">
        <f t="shared" si="0"/>
        <v>645.25936110737257</v>
      </c>
      <c r="U6" s="21"/>
    </row>
    <row r="7" spans="1:27" x14ac:dyDescent="0.2">
      <c r="A7" s="17">
        <v>44578.758333333331</v>
      </c>
      <c r="B7" t="s">
        <v>44</v>
      </c>
      <c r="C7">
        <v>30</v>
      </c>
      <c r="D7">
        <v>1.333</v>
      </c>
      <c r="E7" s="1">
        <v>921.14170000000001</v>
      </c>
      <c r="F7" s="22" t="s">
        <v>63</v>
      </c>
      <c r="G7" s="22" t="s">
        <v>63</v>
      </c>
      <c r="H7" s="22" t="s">
        <v>63</v>
      </c>
      <c r="I7" s="22" t="s">
        <v>63</v>
      </c>
      <c r="J7">
        <v>0</v>
      </c>
      <c r="L7" s="24">
        <v>160</v>
      </c>
      <c r="M7" s="24">
        <v>30.03</v>
      </c>
      <c r="N7" s="24">
        <v>0.9</v>
      </c>
      <c r="O7" s="24">
        <v>0.8</v>
      </c>
      <c r="P7" s="24">
        <v>1</v>
      </c>
      <c r="Q7" s="24">
        <v>0</v>
      </c>
      <c r="R7" s="24">
        <f t="shared" si="1"/>
        <v>129.87</v>
      </c>
      <c r="S7" s="33">
        <f>((E7-CH4_std_curves!$J$2)/CH4_std_curves!$I$2)/C7</f>
        <v>4.8748201558603119</v>
      </c>
      <c r="T7">
        <f t="shared" si="0"/>
        <v>633.09289364157871</v>
      </c>
      <c r="U7" s="21"/>
    </row>
    <row r="8" spans="1:27" x14ac:dyDescent="0.2">
      <c r="A8" s="17">
        <v>44578.771527777775</v>
      </c>
      <c r="B8" t="s">
        <v>45</v>
      </c>
      <c r="C8" s="21">
        <v>30</v>
      </c>
      <c r="D8">
        <v>1.32</v>
      </c>
      <c r="E8" s="1">
        <v>910.69219999999996</v>
      </c>
      <c r="F8" s="22" t="s">
        <v>63</v>
      </c>
      <c r="G8" s="22" t="s">
        <v>63</v>
      </c>
      <c r="H8" s="22" t="s">
        <v>63</v>
      </c>
      <c r="I8" s="22" t="s">
        <v>63</v>
      </c>
      <c r="J8" s="21">
        <v>0</v>
      </c>
      <c r="L8" s="24">
        <v>160</v>
      </c>
      <c r="M8" s="24">
        <v>30.03</v>
      </c>
      <c r="N8" s="24">
        <v>0.9</v>
      </c>
      <c r="O8" s="24">
        <v>0.8</v>
      </c>
      <c r="P8" s="24">
        <v>1</v>
      </c>
      <c r="Q8" s="24">
        <v>0</v>
      </c>
      <c r="R8" s="24">
        <f t="shared" si="1"/>
        <v>129.87</v>
      </c>
      <c r="S8" s="33">
        <f>((E8-CH4_std_curves!$J$2)/CH4_std_curves!$I$2)/C8</f>
        <v>4.8229352045072149</v>
      </c>
      <c r="T8">
        <f>S8*1000/1000*R8</f>
        <v>626.35459500935201</v>
      </c>
      <c r="U8" s="21"/>
    </row>
    <row r="9" spans="1:27" x14ac:dyDescent="0.2">
      <c r="A9" s="17">
        <v>44578.784722222219</v>
      </c>
      <c r="B9" t="s">
        <v>50</v>
      </c>
      <c r="C9">
        <v>30</v>
      </c>
      <c r="D9" s="1">
        <v>1.3260000000000001</v>
      </c>
      <c r="E9" s="1">
        <v>927.53499999999997</v>
      </c>
      <c r="F9" s="22" t="s">
        <v>63</v>
      </c>
      <c r="G9" s="22" t="s">
        <v>63</v>
      </c>
      <c r="H9" s="22" t="s">
        <v>63</v>
      </c>
      <c r="I9" s="22" t="s">
        <v>63</v>
      </c>
      <c r="J9">
        <v>0</v>
      </c>
      <c r="L9" s="24">
        <v>160</v>
      </c>
      <c r="M9" s="24">
        <v>30.03</v>
      </c>
      <c r="N9" s="24">
        <v>0.9</v>
      </c>
      <c r="O9" s="24">
        <v>0.8</v>
      </c>
      <c r="P9" s="24">
        <v>1</v>
      </c>
      <c r="Q9" s="24">
        <v>0</v>
      </c>
      <c r="R9" s="24">
        <f t="shared" si="1"/>
        <v>129.87</v>
      </c>
      <c r="S9" s="33">
        <f>((E9-CH4_std_curves!$J$2)/CH4_std_curves!$I$2)/C9</f>
        <v>4.9065648383317946</v>
      </c>
      <c r="T9">
        <f>S9*1000/1000*R9</f>
        <v>637.21557555415018</v>
      </c>
      <c r="U9" s="21"/>
    </row>
    <row r="10" spans="1:27" x14ac:dyDescent="0.2">
      <c r="A10" s="17">
        <v>44578.79791666667</v>
      </c>
      <c r="B10" t="s">
        <v>51</v>
      </c>
      <c r="C10" s="21">
        <v>30</v>
      </c>
      <c r="D10">
        <v>1.33</v>
      </c>
      <c r="E10" s="1">
        <v>921.01279999999997</v>
      </c>
      <c r="F10" s="22" t="s">
        <v>63</v>
      </c>
      <c r="G10" s="22" t="s">
        <v>63</v>
      </c>
      <c r="H10" s="22" t="s">
        <v>63</v>
      </c>
      <c r="I10" s="22" t="s">
        <v>63</v>
      </c>
      <c r="J10" s="21">
        <v>0</v>
      </c>
      <c r="K10" s="22"/>
      <c r="L10" s="24">
        <v>160</v>
      </c>
      <c r="M10" s="24">
        <v>30.03</v>
      </c>
      <c r="N10" s="24">
        <v>0.9</v>
      </c>
      <c r="O10" s="24">
        <v>0.8</v>
      </c>
      <c r="P10" s="24">
        <v>1</v>
      </c>
      <c r="Q10" s="24">
        <v>0</v>
      </c>
      <c r="R10" s="24">
        <f t="shared" si="1"/>
        <v>129.87</v>
      </c>
      <c r="S10" s="33">
        <f>((E10-CH4_std_curves!$J$2)/CH4_std_curves!$I$2)/C10</f>
        <v>4.8741801280858335</v>
      </c>
      <c r="T10">
        <f t="shared" ref="T10:T18" si="2">S10*1000/1000*R10</f>
        <v>633.00977323450718</v>
      </c>
      <c r="U10" s="21"/>
    </row>
    <row r="11" spans="1:27" x14ac:dyDescent="0.2">
      <c r="A11" s="17">
        <v>44578.810416666667</v>
      </c>
      <c r="B11" t="s">
        <v>56</v>
      </c>
      <c r="C11">
        <v>30</v>
      </c>
      <c r="D11" s="1">
        <v>1.3260000000000001</v>
      </c>
      <c r="E11" s="1">
        <v>944.93899999999996</v>
      </c>
      <c r="F11" s="22" t="s">
        <v>63</v>
      </c>
      <c r="G11" s="22" t="s">
        <v>63</v>
      </c>
      <c r="H11" s="22" t="s">
        <v>63</v>
      </c>
      <c r="I11" s="22" t="s">
        <v>63</v>
      </c>
      <c r="J11">
        <v>0</v>
      </c>
      <c r="K11" s="22"/>
      <c r="L11" s="24">
        <v>160</v>
      </c>
      <c r="M11" s="24">
        <v>30.03</v>
      </c>
      <c r="N11" s="24">
        <v>0.9</v>
      </c>
      <c r="O11" s="24">
        <v>0.8</v>
      </c>
      <c r="P11" s="24">
        <v>1</v>
      </c>
      <c r="Q11" s="24">
        <v>0</v>
      </c>
      <c r="R11" s="24">
        <f t="shared" si="1"/>
        <v>129.87</v>
      </c>
      <c r="S11" s="33">
        <f>((E11-CH4_std_curves!$J$2)/CH4_std_curves!$I$2)/C11</f>
        <v>4.9929810011481317</v>
      </c>
      <c r="T11">
        <f t="shared" si="2"/>
        <v>648.43844261910783</v>
      </c>
      <c r="U11" s="21"/>
    </row>
    <row r="12" spans="1:27" x14ac:dyDescent="0.2">
      <c r="A12" s="17">
        <v>44578.822916666664</v>
      </c>
      <c r="B12" t="s">
        <v>57</v>
      </c>
      <c r="C12" s="21">
        <v>30</v>
      </c>
      <c r="D12">
        <v>1.3260000000000001</v>
      </c>
      <c r="E12" s="1">
        <v>938.19079999999997</v>
      </c>
      <c r="F12" s="22" t="s">
        <v>63</v>
      </c>
      <c r="G12" s="22" t="s">
        <v>63</v>
      </c>
      <c r="H12" s="22" t="s">
        <v>63</v>
      </c>
      <c r="I12" s="22" t="s">
        <v>63</v>
      </c>
      <c r="J12" s="21">
        <v>0</v>
      </c>
      <c r="L12" s="24">
        <v>160</v>
      </c>
      <c r="M12" s="24">
        <v>30.03</v>
      </c>
      <c r="N12" s="24">
        <v>0.9</v>
      </c>
      <c r="O12" s="24">
        <v>0.8</v>
      </c>
      <c r="P12" s="24">
        <v>1</v>
      </c>
      <c r="Q12" s="24">
        <v>0</v>
      </c>
      <c r="R12" s="24">
        <f t="shared" si="1"/>
        <v>129.87</v>
      </c>
      <c r="S12" s="33">
        <f>((E12-CH4_std_curves!$J$2)/CH4_std_curves!$I$2)/C12</f>
        <v>4.959474132042339</v>
      </c>
      <c r="T12">
        <f t="shared" si="2"/>
        <v>644.08690552833855</v>
      </c>
      <c r="U12" s="21">
        <f>AVERAGE(T2:T12)</f>
        <v>633.93805502375949</v>
      </c>
      <c r="V12">
        <f>STDEV(T2:T12)</f>
        <v>11.618695729356592</v>
      </c>
      <c r="Z12">
        <f>AVERAGE(T2:T12)</f>
        <v>633.93805502375949</v>
      </c>
      <c r="AA12">
        <f>STDEV(T2:T12)</f>
        <v>11.618695729356592</v>
      </c>
    </row>
    <row r="13" spans="1:27" x14ac:dyDescent="0.2">
      <c r="A13" s="17">
        <v>44581.549305555556</v>
      </c>
      <c r="B13" t="s">
        <v>32</v>
      </c>
      <c r="C13">
        <v>30</v>
      </c>
      <c r="D13" s="1">
        <v>1.3260000000000001</v>
      </c>
      <c r="E13" s="1">
        <v>769.80460000000005</v>
      </c>
      <c r="F13" s="22" t="s">
        <v>63</v>
      </c>
      <c r="G13" s="22" t="s">
        <v>63</v>
      </c>
      <c r="H13" s="22" t="s">
        <v>63</v>
      </c>
      <c r="I13" s="22" t="s">
        <v>63</v>
      </c>
      <c r="J13" s="21">
        <v>1</v>
      </c>
      <c r="L13" s="24">
        <v>160</v>
      </c>
      <c r="M13" s="24">
        <v>30.03</v>
      </c>
      <c r="N13" s="24">
        <v>0.9</v>
      </c>
      <c r="O13" s="24">
        <v>0.8</v>
      </c>
      <c r="P13" s="24">
        <v>2</v>
      </c>
      <c r="Q13" s="24">
        <v>1</v>
      </c>
      <c r="R13" s="24">
        <f t="shared" si="1"/>
        <v>129.66999999999999</v>
      </c>
      <c r="S13" s="32">
        <f>((E13-CH4_std_curves!$J$7)/CH4_std_curves!$I$7)/C13</f>
        <v>3.8729324345695328</v>
      </c>
      <c r="T13">
        <f>S13*1000/1000*R13</f>
        <v>502.2031487906313</v>
      </c>
      <c r="U13" s="21">
        <f>T13/$U$12</f>
        <v>0.79219593272691147</v>
      </c>
      <c r="V13">
        <f>$V$12*T13/$U$12^2</f>
        <v>1.4519215919358019E-2</v>
      </c>
      <c r="W13">
        <f>SQRT((E13-CH4_std_curves!$J$2)^2*Sheet2!$C$18^2/Sheet2!$B$18^4+Sheet2!$C$17^2/Sheet2!$B$18^2)</f>
        <v>0.53390980166541968</v>
      </c>
      <c r="X13">
        <f>AVERAGE(U13:U18)</f>
        <v>0.86184947510539744</v>
      </c>
      <c r="Y13">
        <f>STDEV(U13:U18)</f>
        <v>5.0887633872434196E-2</v>
      </c>
    </row>
    <row r="14" spans="1:27" x14ac:dyDescent="0.2">
      <c r="A14" s="17">
        <v>44581.561111111114</v>
      </c>
      <c r="B14" t="s">
        <v>33</v>
      </c>
      <c r="C14" s="21">
        <v>30</v>
      </c>
      <c r="D14">
        <v>1.3260000000000001</v>
      </c>
      <c r="E14" s="1">
        <v>788.50099999999998</v>
      </c>
      <c r="F14" s="22" t="s">
        <v>63</v>
      </c>
      <c r="G14" s="22" t="s">
        <v>63</v>
      </c>
      <c r="H14" s="22" t="s">
        <v>63</v>
      </c>
      <c r="I14" s="22" t="s">
        <v>63</v>
      </c>
      <c r="J14" s="21">
        <v>1</v>
      </c>
      <c r="L14" s="24">
        <v>160</v>
      </c>
      <c r="M14" s="24">
        <v>30.03</v>
      </c>
      <c r="N14" s="24">
        <v>0.9</v>
      </c>
      <c r="O14" s="24">
        <v>0.8</v>
      </c>
      <c r="P14" s="24">
        <v>2</v>
      </c>
      <c r="Q14" s="24">
        <v>1</v>
      </c>
      <c r="R14" s="24">
        <f>L14-M14-N14+(O14*P14)-Q14</f>
        <v>129.66999999999999</v>
      </c>
      <c r="S14" s="32">
        <f>((E14-CH4_std_curves!$J$7)/CH4_std_curves!$I$7)/C14</f>
        <v>3.967237018799687</v>
      </c>
      <c r="T14">
        <f t="shared" si="2"/>
        <v>514.43162422775538</v>
      </c>
      <c r="U14" s="21">
        <f t="shared" ref="U14:U44" si="3">T14/$U$12</f>
        <v>0.81148563357420611</v>
      </c>
      <c r="V14">
        <f t="shared" ref="V14:V44" si="4">$V$12*T14/$U$12^2</f>
        <v>1.4872753876385425E-2</v>
      </c>
    </row>
    <row r="15" spans="1:27" x14ac:dyDescent="0.2">
      <c r="A15" s="17">
        <v>44581.574305555558</v>
      </c>
      <c r="B15" t="s">
        <v>34</v>
      </c>
      <c r="C15">
        <v>30</v>
      </c>
      <c r="D15" s="1">
        <v>1.323</v>
      </c>
      <c r="E15" s="1">
        <v>876.87739999999997</v>
      </c>
      <c r="F15" s="22" t="s">
        <v>63</v>
      </c>
      <c r="G15" s="22" t="s">
        <v>63</v>
      </c>
      <c r="H15" s="22" t="s">
        <v>63</v>
      </c>
      <c r="I15" s="22" t="s">
        <v>63</v>
      </c>
      <c r="J15" s="21">
        <v>1</v>
      </c>
      <c r="K15" s="1"/>
      <c r="L15" s="24">
        <v>160</v>
      </c>
      <c r="M15" s="24">
        <v>30.03</v>
      </c>
      <c r="N15" s="24">
        <v>0.9</v>
      </c>
      <c r="O15" s="24">
        <v>0.8</v>
      </c>
      <c r="P15" s="24">
        <v>0</v>
      </c>
      <c r="Q15" s="24">
        <v>1</v>
      </c>
      <c r="R15" s="24">
        <f t="shared" si="1"/>
        <v>128.07</v>
      </c>
      <c r="S15" s="32">
        <f>((E15-CH4_std_curves!$J$7)/CH4_std_curves!$I$7)/C15</f>
        <v>4.4130073092169786</v>
      </c>
      <c r="T15">
        <f t="shared" si="2"/>
        <v>565.17384609141845</v>
      </c>
      <c r="U15" s="21">
        <f t="shared" si="3"/>
        <v>0.89152850442183373</v>
      </c>
      <c r="V15">
        <f t="shared" si="4"/>
        <v>1.6339764342649228E-2</v>
      </c>
    </row>
    <row r="16" spans="1:27" x14ac:dyDescent="0.2">
      <c r="A16" s="17">
        <v>44581.59097222222</v>
      </c>
      <c r="B16" t="s">
        <v>35</v>
      </c>
      <c r="C16" s="21">
        <v>30</v>
      </c>
      <c r="D16">
        <v>1.33</v>
      </c>
      <c r="E16" s="1">
        <v>852.92439999999999</v>
      </c>
      <c r="F16" s="22" t="s">
        <v>63</v>
      </c>
      <c r="G16" s="22" t="s">
        <v>63</v>
      </c>
      <c r="H16" s="22" t="s">
        <v>63</v>
      </c>
      <c r="I16" s="22" t="s">
        <v>63</v>
      </c>
      <c r="J16" s="21">
        <v>1</v>
      </c>
      <c r="L16" s="24">
        <v>160</v>
      </c>
      <c r="M16" s="24">
        <v>30.03</v>
      </c>
      <c r="N16" s="24">
        <v>0.9</v>
      </c>
      <c r="O16" s="24">
        <v>0.8</v>
      </c>
      <c r="P16" s="24">
        <v>0</v>
      </c>
      <c r="Q16" s="24">
        <v>1</v>
      </c>
      <c r="R16" s="24">
        <f>L16-M16-N16+(O16*P16)-Q16</f>
        <v>128.07</v>
      </c>
      <c r="S16" s="32">
        <f>((E16-CH4_std_curves!$J$7)/CH4_std_curves!$I$7)/C16</f>
        <v>4.2921884507166848</v>
      </c>
      <c r="T16">
        <f t="shared" si="2"/>
        <v>549.70057488328575</v>
      </c>
      <c r="U16" s="21">
        <f t="shared" si="3"/>
        <v>0.86712032907171577</v>
      </c>
      <c r="V16">
        <f t="shared" si="4"/>
        <v>1.5892415961440004E-2</v>
      </c>
    </row>
    <row r="17" spans="1:27" x14ac:dyDescent="0.2">
      <c r="A17" s="17">
        <v>44581.604166666664</v>
      </c>
      <c r="B17" s="1" t="s">
        <v>36</v>
      </c>
      <c r="C17">
        <v>30</v>
      </c>
      <c r="D17" s="1">
        <v>1.333</v>
      </c>
      <c r="E17" s="1">
        <v>867.19219999999996</v>
      </c>
      <c r="F17" s="22" t="s">
        <v>63</v>
      </c>
      <c r="G17" s="22" t="s">
        <v>63</v>
      </c>
      <c r="H17" s="22" t="s">
        <v>63</v>
      </c>
      <c r="I17" s="22" t="s">
        <v>63</v>
      </c>
      <c r="J17" s="21">
        <v>1</v>
      </c>
      <c r="L17" s="24">
        <v>160</v>
      </c>
      <c r="M17" s="24">
        <v>30.03</v>
      </c>
      <c r="N17" s="24">
        <v>0.9</v>
      </c>
      <c r="O17" s="24">
        <v>0.8</v>
      </c>
      <c r="P17" s="24">
        <v>0</v>
      </c>
      <c r="Q17" s="24">
        <v>1</v>
      </c>
      <c r="R17" s="24">
        <f t="shared" si="1"/>
        <v>128.07</v>
      </c>
      <c r="S17" s="32">
        <f>((E17-CH4_std_curves!$J$7)/CH4_std_curves!$I$7)/C17</f>
        <v>4.3641551901359854</v>
      </c>
      <c r="T17">
        <f t="shared" si="2"/>
        <v>558.91735520071563</v>
      </c>
      <c r="U17" s="21">
        <f t="shared" si="3"/>
        <v>0.88165925798502165</v>
      </c>
      <c r="V17">
        <f t="shared" si="4"/>
        <v>1.6158882676816658E-2</v>
      </c>
    </row>
    <row r="18" spans="1:27" x14ac:dyDescent="0.2">
      <c r="A18" s="17">
        <v>44581.618750000001</v>
      </c>
      <c r="B18" t="s">
        <v>37</v>
      </c>
      <c r="C18" s="21">
        <v>30</v>
      </c>
      <c r="D18">
        <v>1.333</v>
      </c>
      <c r="E18" s="1">
        <v>911.79259999999999</v>
      </c>
      <c r="F18" s="22" t="s">
        <v>63</v>
      </c>
      <c r="G18" s="22" t="s">
        <v>63</v>
      </c>
      <c r="H18" s="22" t="s">
        <v>63</v>
      </c>
      <c r="I18" s="22" t="s">
        <v>63</v>
      </c>
      <c r="J18" s="21">
        <v>1</v>
      </c>
      <c r="L18" s="24">
        <v>160</v>
      </c>
      <c r="M18" s="24">
        <v>30.03</v>
      </c>
      <c r="N18" s="24">
        <v>0.9</v>
      </c>
      <c r="O18" s="24">
        <v>0.8</v>
      </c>
      <c r="P18" s="25">
        <v>0</v>
      </c>
      <c r="Q18" s="25">
        <v>1</v>
      </c>
      <c r="R18" s="25">
        <f t="shared" si="1"/>
        <v>128.07</v>
      </c>
      <c r="S18" s="32">
        <f>((E18-CH4_std_curves!$J$7)/CH4_std_curves!$I$7)/C18</f>
        <v>4.5891194708797967</v>
      </c>
      <c r="T18">
        <f t="shared" si="2"/>
        <v>587.72853063557557</v>
      </c>
      <c r="U18" s="21">
        <f t="shared" si="3"/>
        <v>0.92710719285269594</v>
      </c>
      <c r="V18">
        <f t="shared" si="4"/>
        <v>1.69918437564845E-2</v>
      </c>
      <c r="Z18">
        <f>AVERAGE(T13:T18)</f>
        <v>546.35917997156366</v>
      </c>
      <c r="AA18">
        <f>STDEV(T13:T18)</f>
        <v>32.259607641852121</v>
      </c>
    </row>
    <row r="19" spans="1:27" x14ac:dyDescent="0.2">
      <c r="A19" s="17">
        <v>44583.574305555558</v>
      </c>
      <c r="B19" t="s">
        <v>38</v>
      </c>
      <c r="C19">
        <v>30</v>
      </c>
      <c r="D19" s="1">
        <v>1.34</v>
      </c>
      <c r="E19" s="1">
        <v>736.98979999999995</v>
      </c>
      <c r="F19">
        <v>1.3029999999999999</v>
      </c>
      <c r="G19">
        <v>14.098599999999999</v>
      </c>
      <c r="H19">
        <v>2.5059999999999998</v>
      </c>
      <c r="I19">
        <v>1.3084</v>
      </c>
      <c r="J19" s="21">
        <v>2</v>
      </c>
      <c r="L19" s="24">
        <v>160</v>
      </c>
      <c r="M19" s="24">
        <v>30.03</v>
      </c>
      <c r="N19" s="24">
        <v>0.9</v>
      </c>
      <c r="O19" s="24">
        <v>0.8</v>
      </c>
      <c r="P19" s="25">
        <v>2</v>
      </c>
      <c r="Q19" s="25">
        <v>1</v>
      </c>
      <c r="R19" s="25">
        <f t="shared" si="1"/>
        <v>129.66999999999999</v>
      </c>
      <c r="S19" s="34">
        <f>((E19-CH4_std_curves!$J$12)/CH4_std_curves!$I$12)/C19</f>
        <v>3.6552523869614877</v>
      </c>
      <c r="T19">
        <f t="shared" ref="T19:T26" si="5">S19*1000/1000*R19</f>
        <v>473.97657701729605</v>
      </c>
      <c r="U19" s="21">
        <f t="shared" si="3"/>
        <v>0.74767017575484063</v>
      </c>
      <c r="V19">
        <f t="shared" si="4"/>
        <v>1.3703156340227089E-2</v>
      </c>
      <c r="X19">
        <f>AVERAGE(U19:U24)</f>
        <v>0.81119491796539422</v>
      </c>
      <c r="Y19">
        <f>STDEV(U19:U24)</f>
        <v>3.2495159159489757E-2</v>
      </c>
    </row>
    <row r="20" spans="1:27" x14ac:dyDescent="0.2">
      <c r="A20" s="17">
        <v>44583.588194444441</v>
      </c>
      <c r="B20" t="s">
        <v>39</v>
      </c>
      <c r="C20" s="21">
        <v>30</v>
      </c>
      <c r="D20">
        <v>1.34</v>
      </c>
      <c r="E20" s="1">
        <v>817.74760000000003</v>
      </c>
      <c r="F20">
        <v>1.3029999999999999</v>
      </c>
      <c r="G20">
        <v>15.7311</v>
      </c>
      <c r="H20">
        <v>2.5059999999999998</v>
      </c>
      <c r="I20">
        <v>1.4393</v>
      </c>
      <c r="J20" s="21">
        <v>2</v>
      </c>
      <c r="L20" s="24">
        <v>160</v>
      </c>
      <c r="M20" s="24">
        <v>30.03</v>
      </c>
      <c r="N20" s="24">
        <v>0.9</v>
      </c>
      <c r="O20" s="24">
        <v>0.8</v>
      </c>
      <c r="P20" s="25">
        <v>2</v>
      </c>
      <c r="Q20" s="25">
        <v>1</v>
      </c>
      <c r="R20" s="25">
        <f t="shared" si="1"/>
        <v>129.66999999999999</v>
      </c>
      <c r="S20" s="34">
        <f>((E20-CH4_std_curves!$J$12)/CH4_std_curves!$I$12)/C20</f>
        <v>4.0570374988977935</v>
      </c>
      <c r="T20">
        <f t="shared" si="5"/>
        <v>526.07605248207688</v>
      </c>
      <c r="U20" s="21">
        <f t="shared" si="3"/>
        <v>0.82985403433835503</v>
      </c>
      <c r="V20">
        <f t="shared" si="4"/>
        <v>1.5209406421255175E-2</v>
      </c>
    </row>
    <row r="21" spans="1:27" x14ac:dyDescent="0.2">
      <c r="A21" s="17">
        <v>44583.600694444445</v>
      </c>
      <c r="B21" t="s">
        <v>40</v>
      </c>
      <c r="C21">
        <v>30</v>
      </c>
      <c r="D21" s="1">
        <v>1.33</v>
      </c>
      <c r="E21" s="1">
        <v>807.64440000000002</v>
      </c>
      <c r="F21">
        <v>1.2929999999999999</v>
      </c>
      <c r="G21">
        <v>15.6196</v>
      </c>
      <c r="H21">
        <v>2.5</v>
      </c>
      <c r="I21">
        <v>1.6426000000000001</v>
      </c>
      <c r="J21" s="21">
        <v>2</v>
      </c>
      <c r="K21" s="1"/>
      <c r="L21" s="24">
        <v>160</v>
      </c>
      <c r="M21" s="24">
        <v>30.03</v>
      </c>
      <c r="N21" s="24">
        <v>0.9</v>
      </c>
      <c r="O21" s="24">
        <v>0.8</v>
      </c>
      <c r="P21" s="25">
        <v>0</v>
      </c>
      <c r="Q21" s="25">
        <v>1</v>
      </c>
      <c r="R21" s="25">
        <f t="shared" si="1"/>
        <v>128.07</v>
      </c>
      <c r="S21" s="34">
        <f>((E21-CH4_std_curves!$J$12)/CH4_std_curves!$I$12)/C21</f>
        <v>4.0067721952006288</v>
      </c>
      <c r="T21">
        <f t="shared" si="5"/>
        <v>513.14731503934445</v>
      </c>
      <c r="U21" s="21">
        <f t="shared" si="3"/>
        <v>0.80945971135951467</v>
      </c>
      <c r="V21">
        <f t="shared" si="4"/>
        <v>1.4835623160541333E-2</v>
      </c>
    </row>
    <row r="22" spans="1:27" x14ac:dyDescent="0.2">
      <c r="A22" s="17">
        <v>44583.613194444442</v>
      </c>
      <c r="B22" t="s">
        <v>41</v>
      </c>
      <c r="C22" s="21">
        <v>30</v>
      </c>
      <c r="D22">
        <v>1.3460000000000001</v>
      </c>
      <c r="E22" s="1">
        <v>814.27300000000002</v>
      </c>
      <c r="F22">
        <v>1.31</v>
      </c>
      <c r="G22">
        <v>15.772600000000001</v>
      </c>
      <c r="H22">
        <v>2.5129999999999999</v>
      </c>
      <c r="I22">
        <v>1.5466</v>
      </c>
      <c r="J22" s="21">
        <v>2</v>
      </c>
      <c r="L22" s="24">
        <v>160</v>
      </c>
      <c r="M22" s="24">
        <v>30.03</v>
      </c>
      <c r="N22" s="24">
        <v>0.9</v>
      </c>
      <c r="O22" s="24">
        <v>0.8</v>
      </c>
      <c r="P22" s="25">
        <v>0</v>
      </c>
      <c r="Q22" s="25">
        <v>1</v>
      </c>
      <c r="R22" s="25">
        <f t="shared" si="1"/>
        <v>128.07</v>
      </c>
      <c r="S22" s="34">
        <f>((E22-CH4_std_curves!$J$12)/CH4_std_curves!$I$12)/C22</f>
        <v>4.039750716073919</v>
      </c>
      <c r="T22">
        <f t="shared" si="5"/>
        <v>517.37087420758678</v>
      </c>
      <c r="U22" s="21">
        <f t="shared" si="3"/>
        <v>0.81612212756054869</v>
      </c>
      <c r="V22">
        <f t="shared" si="4"/>
        <v>1.4957730653613742E-2</v>
      </c>
    </row>
    <row r="23" spans="1:27" x14ac:dyDescent="0.2">
      <c r="A23" s="17">
        <v>44583.626388888886</v>
      </c>
      <c r="B23" t="s">
        <v>42</v>
      </c>
      <c r="C23">
        <v>30</v>
      </c>
      <c r="D23" s="1">
        <v>1.33</v>
      </c>
      <c r="E23" s="1">
        <v>829.61059999999998</v>
      </c>
      <c r="F23">
        <v>1.2929999999999999</v>
      </c>
      <c r="G23">
        <v>15.9468</v>
      </c>
      <c r="H23" s="1">
        <v>2.496</v>
      </c>
      <c r="I23" s="1">
        <v>1.556</v>
      </c>
      <c r="J23" s="21">
        <v>2</v>
      </c>
      <c r="L23" s="24">
        <v>160</v>
      </c>
      <c r="M23" s="24">
        <v>30.03</v>
      </c>
      <c r="N23" s="24">
        <v>0.9</v>
      </c>
      <c r="O23" s="24">
        <v>0.8</v>
      </c>
      <c r="P23" s="25">
        <v>0</v>
      </c>
      <c r="Q23" s="25">
        <v>1</v>
      </c>
      <c r="R23" s="25">
        <f t="shared" si="1"/>
        <v>128.07</v>
      </c>
      <c r="S23" s="34">
        <f>((E23-CH4_std_curves!$J$12)/CH4_std_curves!$I$12)/C23</f>
        <v>4.1160581357019215</v>
      </c>
      <c r="T23">
        <f t="shared" si="5"/>
        <v>527.14356543934502</v>
      </c>
      <c r="U23" s="21">
        <f t="shared" si="3"/>
        <v>0.83153797324817191</v>
      </c>
      <c r="V23">
        <f t="shared" si="4"/>
        <v>1.5240269332331326E-2</v>
      </c>
    </row>
    <row r="24" spans="1:27" x14ac:dyDescent="0.2">
      <c r="A24" s="17">
        <v>44583.63958333333</v>
      </c>
      <c r="B24" t="s">
        <v>43</v>
      </c>
      <c r="C24" s="21">
        <v>30</v>
      </c>
      <c r="D24">
        <v>1.3360000000000001</v>
      </c>
      <c r="E24" s="1">
        <v>830.59310000000005</v>
      </c>
      <c r="F24">
        <v>1.3</v>
      </c>
      <c r="G24">
        <v>16.031199999999998</v>
      </c>
      <c r="H24">
        <v>2.5030000000000001</v>
      </c>
      <c r="I24">
        <v>1.7372000000000001</v>
      </c>
      <c r="J24" s="21">
        <v>2</v>
      </c>
      <c r="L24" s="24">
        <v>160</v>
      </c>
      <c r="M24" s="24">
        <v>30.03</v>
      </c>
      <c r="N24" s="24">
        <v>0.9</v>
      </c>
      <c r="O24" s="24">
        <v>0.8</v>
      </c>
      <c r="P24" s="25">
        <v>0</v>
      </c>
      <c r="Q24" s="25">
        <v>1</v>
      </c>
      <c r="R24" s="25">
        <f t="shared" si="1"/>
        <v>128.07</v>
      </c>
      <c r="S24" s="34">
        <f>((E24-CH4_std_curves!$J$12)/CH4_std_curves!$I$12)/C24</f>
        <v>4.1209462563847215</v>
      </c>
      <c r="T24">
        <f t="shared" si="5"/>
        <v>527.76958705519121</v>
      </c>
      <c r="U24" s="21">
        <f t="shared" si="3"/>
        <v>0.83252548553093386</v>
      </c>
      <c r="V24">
        <f t="shared" si="4"/>
        <v>1.5258368269051545E-2</v>
      </c>
      <c r="Z24">
        <f>AVERAGE(T19:T24)</f>
        <v>514.24732854014007</v>
      </c>
      <c r="AA24">
        <f>STDEV(T19:T24)</f>
        <v>20.599917995254444</v>
      </c>
    </row>
    <row r="25" spans="1:27" x14ac:dyDescent="0.2">
      <c r="A25" s="17">
        <v>44586.704861111109</v>
      </c>
      <c r="B25" t="s">
        <v>31</v>
      </c>
      <c r="C25">
        <v>30</v>
      </c>
      <c r="D25" s="1">
        <v>1.3460000000000001</v>
      </c>
      <c r="E25" s="1">
        <v>833.7953</v>
      </c>
      <c r="F25">
        <v>1.3129999999999999</v>
      </c>
      <c r="G25">
        <v>16.1006</v>
      </c>
      <c r="H25" t="s">
        <v>65</v>
      </c>
      <c r="I25" t="s">
        <v>65</v>
      </c>
      <c r="J25" s="21">
        <v>3</v>
      </c>
      <c r="K25" t="s">
        <v>66</v>
      </c>
      <c r="L25" s="24">
        <v>160</v>
      </c>
      <c r="M25" s="24">
        <v>30.03</v>
      </c>
      <c r="N25" s="24">
        <v>0</v>
      </c>
      <c r="O25" s="24">
        <v>0.8</v>
      </c>
      <c r="P25" s="25">
        <v>2</v>
      </c>
      <c r="Q25" s="25">
        <v>0</v>
      </c>
      <c r="R25" s="25">
        <f t="shared" si="1"/>
        <v>131.57</v>
      </c>
      <c r="S25" s="21">
        <f>((E25-CH4_std_curves!$J$17)/CH4_std_curves!$I$17)/C25</f>
        <v>4.1916697708699955</v>
      </c>
      <c r="T25">
        <f t="shared" si="5"/>
        <v>551.49799175336523</v>
      </c>
      <c r="U25" s="21">
        <f t="shared" si="3"/>
        <v>0.86995564847845508</v>
      </c>
      <c r="V25">
        <f t="shared" si="4"/>
        <v>1.5944381154602623E-2</v>
      </c>
    </row>
    <row r="26" spans="1:27" x14ac:dyDescent="0.2">
      <c r="A26" s="17">
        <v>44586.623611111114</v>
      </c>
      <c r="B26" t="s">
        <v>44</v>
      </c>
      <c r="C26" s="21">
        <v>30</v>
      </c>
      <c r="D26">
        <v>1.33</v>
      </c>
      <c r="E26" s="1">
        <v>650.70860000000005</v>
      </c>
      <c r="F26">
        <v>1.296</v>
      </c>
      <c r="G26">
        <v>12.5236</v>
      </c>
      <c r="H26">
        <v>2.4900000000000002</v>
      </c>
      <c r="I26">
        <v>2.0710999999999999</v>
      </c>
      <c r="J26" s="21">
        <v>3</v>
      </c>
      <c r="L26" s="24">
        <v>160</v>
      </c>
      <c r="M26" s="24">
        <v>30.03</v>
      </c>
      <c r="N26" s="24">
        <v>0.9</v>
      </c>
      <c r="O26" s="24">
        <v>0.8</v>
      </c>
      <c r="P26" s="25">
        <v>3</v>
      </c>
      <c r="Q26" s="25">
        <v>1</v>
      </c>
      <c r="R26" s="25">
        <f t="shared" si="1"/>
        <v>130.47</v>
      </c>
      <c r="S26" s="35">
        <f>((E26-CH4_std_curves!$J$17)/CH4_std_curves!$I$17)/C26</f>
        <v>3.2740515949305387</v>
      </c>
      <c r="T26">
        <f t="shared" si="5"/>
        <v>427.16551159058736</v>
      </c>
      <c r="U26" s="21">
        <f t="shared" si="3"/>
        <v>0.67382847299580007</v>
      </c>
      <c r="V26">
        <f t="shared" si="4"/>
        <v>1.2349799699627987E-2</v>
      </c>
      <c r="X26">
        <f>AVERAGE(U26:U31)</f>
        <v>0.72314985526308073</v>
      </c>
      <c r="Y26">
        <f>STDEV(U26:U31)</f>
        <v>5.3650271553921637E-2</v>
      </c>
    </row>
    <row r="27" spans="1:27" x14ac:dyDescent="0.2">
      <c r="A27" s="17">
        <v>44586.637499999997</v>
      </c>
      <c r="B27" t="s">
        <v>45</v>
      </c>
      <c r="C27">
        <v>30</v>
      </c>
      <c r="D27">
        <v>1.3260000000000001</v>
      </c>
      <c r="E27" s="1">
        <v>710.37239999999997</v>
      </c>
      <c r="F27">
        <v>1.2929999999999999</v>
      </c>
      <c r="G27">
        <v>13.646599999999999</v>
      </c>
      <c r="H27">
        <v>2.4900000000000002</v>
      </c>
      <c r="I27">
        <v>2.5848</v>
      </c>
      <c r="J27" s="21">
        <v>3</v>
      </c>
      <c r="L27" s="24">
        <v>160</v>
      </c>
      <c r="M27" s="24">
        <v>30.03</v>
      </c>
      <c r="N27" s="24">
        <v>0.9</v>
      </c>
      <c r="O27" s="24">
        <v>0.8</v>
      </c>
      <c r="P27" s="25">
        <v>3</v>
      </c>
      <c r="Q27" s="25">
        <v>1</v>
      </c>
      <c r="R27" s="25">
        <f t="shared" si="1"/>
        <v>130.47</v>
      </c>
      <c r="S27" s="35">
        <f>((E27-CH4_std_curves!$J$17)/CH4_std_curves!$I$17)/C27</f>
        <v>3.5730825312334837</v>
      </c>
      <c r="T27">
        <f t="shared" ref="T27" si="6">S27*1000/1000*R27</f>
        <v>466.1800778500326</v>
      </c>
      <c r="U27" s="21">
        <f t="shared" si="3"/>
        <v>0.73537165682940508</v>
      </c>
      <c r="V27">
        <f t="shared" si="4"/>
        <v>1.3477751431681232E-2</v>
      </c>
    </row>
    <row r="28" spans="1:27" x14ac:dyDescent="0.2">
      <c r="A28" s="17">
        <v>44586.651388888888</v>
      </c>
      <c r="B28" t="s">
        <v>46</v>
      </c>
      <c r="C28" s="21">
        <v>30</v>
      </c>
      <c r="D28">
        <v>1.34</v>
      </c>
      <c r="E28" s="1">
        <v>742.72789999999998</v>
      </c>
      <c r="F28">
        <v>1.3029999999999999</v>
      </c>
      <c r="G28">
        <v>14.2578</v>
      </c>
      <c r="H28">
        <v>2.5099999999999998</v>
      </c>
      <c r="I28">
        <v>2.4893000000000001</v>
      </c>
      <c r="J28" s="21">
        <v>3</v>
      </c>
      <c r="L28" s="24">
        <v>160</v>
      </c>
      <c r="M28" s="24">
        <v>30.03</v>
      </c>
      <c r="N28" s="24">
        <v>0.9</v>
      </c>
      <c r="O28" s="24">
        <v>0.8</v>
      </c>
      <c r="P28" s="25">
        <v>0</v>
      </c>
      <c r="Q28" s="25">
        <v>1</v>
      </c>
      <c r="R28" s="25">
        <f t="shared" si="1"/>
        <v>128.07</v>
      </c>
      <c r="S28" s="35">
        <f>((E28-CH4_std_curves!$J$17)/CH4_std_curves!$I$17)/C28</f>
        <v>3.7352461121577623</v>
      </c>
      <c r="T28">
        <f t="shared" ref="T28" si="7">S28*1000/1000*R28</f>
        <v>478.3729695840446</v>
      </c>
      <c r="U28" s="21">
        <f t="shared" si="3"/>
        <v>0.75460522647771255</v>
      </c>
      <c r="V28">
        <f t="shared" si="4"/>
        <v>1.3830260626802348E-2</v>
      </c>
    </row>
    <row r="29" spans="1:27" x14ac:dyDescent="0.2">
      <c r="A29" s="17">
        <v>44586.665277777778</v>
      </c>
      <c r="B29" t="s">
        <v>47</v>
      </c>
      <c r="C29">
        <v>30</v>
      </c>
      <c r="D29">
        <v>1.33</v>
      </c>
      <c r="E29" s="1">
        <v>738.68820000000005</v>
      </c>
      <c r="F29">
        <v>1.296</v>
      </c>
      <c r="G29">
        <v>14.174099999999999</v>
      </c>
      <c r="H29">
        <v>2.4929999999999999</v>
      </c>
      <c r="I29">
        <v>2.8163</v>
      </c>
      <c r="J29" s="21">
        <v>3</v>
      </c>
      <c r="L29" s="24">
        <v>160</v>
      </c>
      <c r="M29" s="24">
        <v>30.03</v>
      </c>
      <c r="N29" s="24">
        <v>0.9</v>
      </c>
      <c r="O29" s="24">
        <v>0.8</v>
      </c>
      <c r="P29" s="25">
        <v>0</v>
      </c>
      <c r="Q29" s="25">
        <v>1</v>
      </c>
      <c r="R29" s="25">
        <f t="shared" si="1"/>
        <v>128.07</v>
      </c>
      <c r="S29" s="35">
        <f>((E29-CH4_std_curves!$J$17)/CH4_std_curves!$I$17)/C29</f>
        <v>3.7149994085722886</v>
      </c>
      <c r="T29">
        <f t="shared" ref="T29" si="8">S29*1000/1000*R29</f>
        <v>475.77997425585295</v>
      </c>
      <c r="U29" s="21">
        <f t="shared" si="3"/>
        <v>0.75051492884114857</v>
      </c>
      <c r="V29">
        <f t="shared" si="4"/>
        <v>1.3755294432069076E-2</v>
      </c>
    </row>
    <row r="30" spans="1:27" x14ac:dyDescent="0.2">
      <c r="A30" s="17">
        <v>44586.678472222222</v>
      </c>
      <c r="B30" t="s">
        <v>48</v>
      </c>
      <c r="C30" s="21">
        <v>30</v>
      </c>
      <c r="D30">
        <v>1.33</v>
      </c>
      <c r="E30" s="1">
        <v>770.19510000000002</v>
      </c>
      <c r="F30">
        <v>1.2929999999999999</v>
      </c>
      <c r="G30">
        <v>14.8504</v>
      </c>
      <c r="H30">
        <v>2.4929999999999999</v>
      </c>
      <c r="I30">
        <v>2.3734000000000002</v>
      </c>
      <c r="J30" s="21">
        <v>3</v>
      </c>
      <c r="L30" s="24">
        <v>160</v>
      </c>
      <c r="M30" s="24">
        <v>30.03</v>
      </c>
      <c r="N30" s="24">
        <v>0.9</v>
      </c>
      <c r="O30" s="24">
        <v>0.8</v>
      </c>
      <c r="P30" s="25">
        <v>0</v>
      </c>
      <c r="Q30" s="25">
        <v>1</v>
      </c>
      <c r="R30" s="25">
        <f t="shared" si="1"/>
        <v>128.07</v>
      </c>
      <c r="S30" s="35">
        <f>((E30-CH4_std_curves!$J$17)/CH4_std_curves!$I$17)/C30</f>
        <v>3.8729098636053787</v>
      </c>
      <c r="T30">
        <f t="shared" ref="T30:T44" si="9">S30*1000/1000*R30</f>
        <v>496.00356623194085</v>
      </c>
      <c r="U30" s="21">
        <f t="shared" si="3"/>
        <v>0.78241645583707864</v>
      </c>
      <c r="V30">
        <f t="shared" si="4"/>
        <v>1.4339979532656193E-2</v>
      </c>
    </row>
    <row r="31" spans="1:27" x14ac:dyDescent="0.2">
      <c r="A31" s="17">
        <v>44586.692361111112</v>
      </c>
      <c r="B31" t="s">
        <v>49</v>
      </c>
      <c r="C31">
        <v>30</v>
      </c>
      <c r="D31">
        <v>1.333</v>
      </c>
      <c r="E31" s="1">
        <v>631.67600000000004</v>
      </c>
      <c r="F31">
        <v>1.296</v>
      </c>
      <c r="G31">
        <v>12.066800000000001</v>
      </c>
      <c r="H31">
        <v>2.4929999999999999</v>
      </c>
      <c r="I31">
        <v>2.6242000000000001</v>
      </c>
      <c r="J31" s="21">
        <v>3</v>
      </c>
      <c r="K31" t="s">
        <v>66</v>
      </c>
      <c r="L31" s="24">
        <v>160</v>
      </c>
      <c r="M31" s="24">
        <v>30.03</v>
      </c>
      <c r="N31" s="24">
        <v>0.9</v>
      </c>
      <c r="O31" s="24">
        <v>0.8</v>
      </c>
      <c r="P31" s="25">
        <v>0</v>
      </c>
      <c r="Q31" s="25">
        <v>1</v>
      </c>
      <c r="R31" s="25">
        <f t="shared" si="1"/>
        <v>128.07</v>
      </c>
      <c r="S31" s="35">
        <f>((E31-CH4_std_curves!$J$17)/CH4_std_curves!$I$17)/C31</f>
        <v>3.1786614890660201</v>
      </c>
      <c r="T31">
        <f t="shared" si="9"/>
        <v>407.0911769046852</v>
      </c>
      <c r="U31" s="21">
        <f t="shared" si="3"/>
        <v>0.64216239059733959</v>
      </c>
      <c r="V31">
        <f t="shared" si="4"/>
        <v>1.176942978270502E-2</v>
      </c>
      <c r="Z31">
        <f>AVERAGE(T26:T31)</f>
        <v>458.43221273619059</v>
      </c>
      <c r="AA31">
        <f>STDEV(T26:T31)</f>
        <v>34.010948800389606</v>
      </c>
    </row>
    <row r="32" spans="1:27" x14ac:dyDescent="0.2">
      <c r="A32" s="17">
        <v>44590.585416666669</v>
      </c>
      <c r="B32" t="s">
        <v>50</v>
      </c>
      <c r="C32" s="21">
        <v>30</v>
      </c>
      <c r="D32">
        <v>1.3360000000000001</v>
      </c>
      <c r="E32" s="1">
        <v>432.78519999999997</v>
      </c>
      <c r="F32" s="1">
        <v>1.3</v>
      </c>
      <c r="G32" s="1">
        <v>8.1647999999999996</v>
      </c>
      <c r="H32" s="1">
        <v>2.496</v>
      </c>
      <c r="I32" s="1">
        <v>4.4991000000000003</v>
      </c>
      <c r="J32" s="21">
        <v>4</v>
      </c>
      <c r="L32" s="24">
        <v>160</v>
      </c>
      <c r="M32" s="24">
        <v>30.03</v>
      </c>
      <c r="N32" s="25">
        <v>0.9</v>
      </c>
      <c r="O32" s="24">
        <v>0.8</v>
      </c>
      <c r="P32" s="25">
        <v>3</v>
      </c>
      <c r="Q32" s="25">
        <v>1</v>
      </c>
      <c r="R32" s="25">
        <f t="shared" si="1"/>
        <v>130.47</v>
      </c>
      <c r="S32" s="32">
        <f>((E32-CH4_std_curves!$J$22)/CH4_std_curves!$I$22)/C32</f>
        <v>2.1438493376718526</v>
      </c>
      <c r="T32">
        <f t="shared" si="9"/>
        <v>279.70802308604658</v>
      </c>
      <c r="U32" s="21">
        <f t="shared" si="3"/>
        <v>0.44122295683221502</v>
      </c>
      <c r="V32">
        <f t="shared" si="4"/>
        <v>8.0866501760150835E-3</v>
      </c>
      <c r="X32">
        <f>AVERAGE(U32:U37)</f>
        <v>0.51921538574357584</v>
      </c>
      <c r="Y32">
        <f>STDEV(U32:U37)</f>
        <v>5.1287637618397192E-2</v>
      </c>
    </row>
    <row r="33" spans="1:27" x14ac:dyDescent="0.2">
      <c r="A33" s="17">
        <v>44590.597916666666</v>
      </c>
      <c r="B33" t="s">
        <v>51</v>
      </c>
      <c r="C33">
        <v>30</v>
      </c>
      <c r="D33">
        <v>1.33</v>
      </c>
      <c r="E33" s="1">
        <v>479.589</v>
      </c>
      <c r="F33">
        <v>1.2929999999999999</v>
      </c>
      <c r="G33">
        <v>9.2763000000000009</v>
      </c>
      <c r="H33">
        <v>2.48</v>
      </c>
      <c r="I33">
        <v>4.4943999999999997</v>
      </c>
      <c r="J33" s="21">
        <v>4</v>
      </c>
      <c r="L33" s="24">
        <v>160</v>
      </c>
      <c r="M33" s="24">
        <v>30.03</v>
      </c>
      <c r="N33" s="25">
        <v>0.9</v>
      </c>
      <c r="O33" s="24">
        <v>0.8</v>
      </c>
      <c r="P33" s="25">
        <v>3</v>
      </c>
      <c r="Q33" s="25">
        <v>1</v>
      </c>
      <c r="R33" s="25">
        <f t="shared" si="1"/>
        <v>130.47</v>
      </c>
      <c r="S33" s="32">
        <f>((E33-CH4_std_curves!$J$22)/CH4_std_curves!$I$22)/C33</f>
        <v>2.3758482085252575</v>
      </c>
      <c r="T33">
        <f t="shared" si="9"/>
        <v>309.97691576629035</v>
      </c>
      <c r="U33" s="21">
        <f t="shared" si="3"/>
        <v>0.48897035492635421</v>
      </c>
      <c r="V33">
        <f t="shared" si="4"/>
        <v>8.9617553790044702E-3</v>
      </c>
    </row>
    <row r="34" spans="1:27" x14ac:dyDescent="0.2">
      <c r="A34" s="17">
        <v>44590.609722222223</v>
      </c>
      <c r="B34" t="s">
        <v>52</v>
      </c>
      <c r="C34" s="21">
        <v>30</v>
      </c>
      <c r="D34">
        <v>1.3260000000000001</v>
      </c>
      <c r="E34" s="1">
        <v>518.19820000000004</v>
      </c>
      <c r="F34">
        <v>1.29</v>
      </c>
      <c r="G34">
        <v>10.046099999999999</v>
      </c>
      <c r="H34">
        <v>2.476</v>
      </c>
      <c r="I34">
        <v>4.3335999999999997</v>
      </c>
      <c r="J34" s="21">
        <v>4</v>
      </c>
      <c r="L34" s="24">
        <v>160</v>
      </c>
      <c r="M34" s="24">
        <v>30.03</v>
      </c>
      <c r="N34" s="25">
        <v>0.9</v>
      </c>
      <c r="O34" s="24">
        <v>0.8</v>
      </c>
      <c r="P34" s="25">
        <v>0</v>
      </c>
      <c r="Q34" s="25">
        <v>1</v>
      </c>
      <c r="R34" s="25">
        <f t="shared" si="1"/>
        <v>128.07</v>
      </c>
      <c r="S34" s="32">
        <f>((E34-CH4_std_curves!$J$22)/CH4_std_curves!$I$22)/C34</f>
        <v>2.5672277718204017</v>
      </c>
      <c r="T34">
        <f t="shared" si="9"/>
        <v>328.78486073703885</v>
      </c>
      <c r="U34" s="21">
        <f t="shared" si="3"/>
        <v>0.51863878202534519</v>
      </c>
      <c r="V34">
        <f t="shared" si="4"/>
        <v>9.5055126507127517E-3</v>
      </c>
    </row>
    <row r="35" spans="1:27" x14ac:dyDescent="0.2">
      <c r="A35" s="17">
        <v>44590.621527777781</v>
      </c>
      <c r="B35" t="s">
        <v>53</v>
      </c>
      <c r="C35">
        <v>30</v>
      </c>
      <c r="D35">
        <v>1.323</v>
      </c>
      <c r="E35" s="1">
        <v>592.2133</v>
      </c>
      <c r="F35">
        <v>1.286</v>
      </c>
      <c r="G35">
        <v>11.342499999999999</v>
      </c>
      <c r="H35">
        <v>2.4700000000000002</v>
      </c>
      <c r="I35">
        <v>3.6871999999999998</v>
      </c>
      <c r="J35" s="21">
        <v>4</v>
      </c>
      <c r="L35" s="24">
        <v>160</v>
      </c>
      <c r="M35" s="24">
        <v>30.03</v>
      </c>
      <c r="N35" s="25">
        <v>0.9</v>
      </c>
      <c r="O35" s="24">
        <v>0.8</v>
      </c>
      <c r="P35" s="25">
        <v>0</v>
      </c>
      <c r="Q35" s="25">
        <v>1</v>
      </c>
      <c r="R35" s="25">
        <f t="shared" si="1"/>
        <v>128.07</v>
      </c>
      <c r="S35" s="32">
        <f>((E35-CH4_std_curves!$J$22)/CH4_std_curves!$I$22)/C35</f>
        <v>2.9341086581181353</v>
      </c>
      <c r="T35">
        <f t="shared" si="9"/>
        <v>375.77129584518957</v>
      </c>
      <c r="U35" s="21">
        <f t="shared" si="3"/>
        <v>0.59275712014339632</v>
      </c>
      <c r="V35">
        <f t="shared" si="4"/>
        <v>1.0863939411395122E-2</v>
      </c>
    </row>
    <row r="36" spans="1:27" x14ac:dyDescent="0.2">
      <c r="A36" s="17">
        <v>44590.634722222225</v>
      </c>
      <c r="B36" t="s">
        <v>54</v>
      </c>
      <c r="C36" s="21">
        <v>30</v>
      </c>
      <c r="D36">
        <v>1.3260000000000001</v>
      </c>
      <c r="E36" s="1">
        <v>544.24040000000002</v>
      </c>
      <c r="F36">
        <v>1.2929999999999999</v>
      </c>
      <c r="G36">
        <v>10.463200000000001</v>
      </c>
      <c r="H36">
        <v>2.48</v>
      </c>
      <c r="I36">
        <v>4.2904999999999998</v>
      </c>
      <c r="J36" s="21">
        <v>4</v>
      </c>
      <c r="L36" s="24">
        <v>160</v>
      </c>
      <c r="M36" s="24">
        <v>30.03</v>
      </c>
      <c r="N36" s="25">
        <v>0.9</v>
      </c>
      <c r="O36" s="24">
        <v>0.8</v>
      </c>
      <c r="P36" s="25">
        <v>0</v>
      </c>
      <c r="Q36" s="25">
        <v>1</v>
      </c>
      <c r="R36" s="25">
        <f t="shared" si="1"/>
        <v>128.07</v>
      </c>
      <c r="S36" s="32">
        <f>((E36-CH4_std_curves!$J$22)/CH4_std_curves!$I$22)/C36</f>
        <v>2.6963147475475551</v>
      </c>
      <c r="T36">
        <f t="shared" si="9"/>
        <v>345.31702971841537</v>
      </c>
      <c r="U36" s="21">
        <f t="shared" si="3"/>
        <v>0.5447173063391394</v>
      </c>
      <c r="V36">
        <f t="shared" si="4"/>
        <v>9.9834748690579584E-3</v>
      </c>
    </row>
    <row r="37" spans="1:27" x14ac:dyDescent="0.2">
      <c r="A37" s="17">
        <v>44590.646527777775</v>
      </c>
      <c r="B37" t="s">
        <v>55</v>
      </c>
      <c r="C37">
        <v>30</v>
      </c>
      <c r="D37">
        <v>1.3260000000000001</v>
      </c>
      <c r="E37" s="1">
        <v>528.5308</v>
      </c>
      <c r="F37">
        <v>1.29</v>
      </c>
      <c r="G37">
        <v>10.0085</v>
      </c>
      <c r="H37">
        <v>2.476</v>
      </c>
      <c r="I37">
        <v>4.5686999999999998</v>
      </c>
      <c r="J37" s="21">
        <v>4</v>
      </c>
      <c r="L37" s="24">
        <v>160</v>
      </c>
      <c r="M37" s="24">
        <v>30.03</v>
      </c>
      <c r="N37" s="25">
        <v>0.9</v>
      </c>
      <c r="O37" s="24">
        <v>0.8</v>
      </c>
      <c r="P37" s="25">
        <v>0</v>
      </c>
      <c r="Q37" s="25">
        <v>1</v>
      </c>
      <c r="R37" s="25">
        <f t="shared" si="1"/>
        <v>128.07</v>
      </c>
      <c r="S37" s="32">
        <f>((E37-CH4_std_curves!$J$22)/CH4_std_curves!$I$22)/C37</f>
        <v>2.6184447997749674</v>
      </c>
      <c r="T37">
        <f t="shared" si="9"/>
        <v>335.34422550718006</v>
      </c>
      <c r="U37" s="21">
        <f t="shared" si="3"/>
        <v>0.5289857941950048</v>
      </c>
      <c r="V37">
        <f t="shared" si="4"/>
        <v>9.6951507157484896E-3</v>
      </c>
      <c r="Z37">
        <f>AVERAGE(T32:T37)</f>
        <v>329.15039177669343</v>
      </c>
      <c r="AA37">
        <f>STDEV(T32:T37)</f>
        <v>32.513185238570109</v>
      </c>
    </row>
    <row r="38" spans="1:27" x14ac:dyDescent="0.2">
      <c r="A38" s="17">
        <v>44597.767361111109</v>
      </c>
      <c r="B38" t="s">
        <v>31</v>
      </c>
      <c r="C38" s="21">
        <v>30</v>
      </c>
      <c r="D38">
        <v>1.33</v>
      </c>
      <c r="E38" s="1">
        <v>766.98940000000005</v>
      </c>
      <c r="F38">
        <v>1.2929999999999999</v>
      </c>
      <c r="G38">
        <v>14.781000000000001</v>
      </c>
      <c r="H38" t="s">
        <v>65</v>
      </c>
      <c r="I38" t="s">
        <v>65</v>
      </c>
      <c r="J38" s="21">
        <v>5</v>
      </c>
      <c r="L38" s="24">
        <v>160</v>
      </c>
      <c r="M38" s="24">
        <v>30.03</v>
      </c>
      <c r="N38" s="25">
        <v>0</v>
      </c>
      <c r="O38" s="24">
        <v>0.8</v>
      </c>
      <c r="P38" s="25">
        <v>3</v>
      </c>
      <c r="Q38" s="25">
        <v>0</v>
      </c>
      <c r="R38" s="25">
        <f t="shared" si="1"/>
        <v>132.37</v>
      </c>
      <c r="S38" s="21">
        <f>((E38-CH4_std_curves!$J$27)/CH4_std_curves!$I$27)/C38</f>
        <v>3.8184456051181113</v>
      </c>
      <c r="T38">
        <f t="shared" si="9"/>
        <v>505.44764474948443</v>
      </c>
      <c r="U38" s="21">
        <f t="shared" si="3"/>
        <v>0.79731393429369157</v>
      </c>
      <c r="V38">
        <f t="shared" si="4"/>
        <v>1.4613017675658261E-2</v>
      </c>
    </row>
    <row r="39" spans="1:27" x14ac:dyDescent="0.2">
      <c r="A39" s="17">
        <v>44597.69027777778</v>
      </c>
      <c r="B39" t="s">
        <v>56</v>
      </c>
      <c r="C39">
        <v>30</v>
      </c>
      <c r="D39">
        <v>1.3260000000000001</v>
      </c>
      <c r="E39" s="1">
        <v>284.33260000000001</v>
      </c>
      <c r="F39">
        <v>1.29</v>
      </c>
      <c r="G39">
        <v>5.3773999999999997</v>
      </c>
      <c r="H39">
        <v>2.4700000000000002</v>
      </c>
      <c r="I39">
        <v>5.3524000000000003</v>
      </c>
      <c r="J39" s="21">
        <v>5</v>
      </c>
      <c r="L39" s="24">
        <v>160</v>
      </c>
      <c r="M39" s="24">
        <v>30.03</v>
      </c>
      <c r="N39" s="25">
        <v>0.9</v>
      </c>
      <c r="O39" s="24">
        <v>0.8</v>
      </c>
      <c r="P39" s="25">
        <v>4</v>
      </c>
      <c r="Q39" s="25">
        <v>0</v>
      </c>
      <c r="R39" s="25">
        <f t="shared" si="1"/>
        <v>132.26999999999998</v>
      </c>
      <c r="S39" s="36">
        <f>((E39-CH4_std_curves!$J$27)/CH4_std_curves!$I$27)/C39</f>
        <v>1.4398329825111198</v>
      </c>
      <c r="T39">
        <f t="shared" si="9"/>
        <v>190.44670859674579</v>
      </c>
      <c r="U39" s="21">
        <f t="shared" si="3"/>
        <v>0.30041848266958515</v>
      </c>
      <c r="V39">
        <f t="shared" si="4"/>
        <v>5.506012636332545E-3</v>
      </c>
      <c r="X39">
        <f>AVERAGE(U39:U44)</f>
        <v>0.31628488434977814</v>
      </c>
      <c r="Y39">
        <f>STDEV(U39:U44)</f>
        <v>5.1809265666418532E-2</v>
      </c>
    </row>
    <row r="40" spans="1:27" x14ac:dyDescent="0.2">
      <c r="A40" s="17">
        <v>44597.70208333333</v>
      </c>
      <c r="B40" t="s">
        <v>57</v>
      </c>
      <c r="C40" s="21">
        <v>30</v>
      </c>
      <c r="D40">
        <v>1.3260000000000001</v>
      </c>
      <c r="E40" s="1">
        <v>223.67400000000001</v>
      </c>
      <c r="F40">
        <v>1.29</v>
      </c>
      <c r="G40">
        <v>4.2328000000000001</v>
      </c>
      <c r="H40">
        <v>2.4729999999999999</v>
      </c>
      <c r="I40">
        <v>6.3385999999999996</v>
      </c>
      <c r="J40" s="21">
        <v>5</v>
      </c>
      <c r="L40" s="24">
        <v>160</v>
      </c>
      <c r="M40" s="24">
        <v>30.03</v>
      </c>
      <c r="N40" s="25">
        <v>0.9</v>
      </c>
      <c r="O40" s="24">
        <v>0.8</v>
      </c>
      <c r="P40" s="25">
        <v>4</v>
      </c>
      <c r="Q40" s="25">
        <v>0</v>
      </c>
      <c r="R40" s="25">
        <f t="shared" si="1"/>
        <v>132.26999999999998</v>
      </c>
      <c r="S40" s="36">
        <f>((E40-CH4_std_curves!$J$27)/CH4_std_curves!$I$27)/C40</f>
        <v>1.1408973586275062</v>
      </c>
      <c r="T40">
        <f t="shared" si="9"/>
        <v>150.90649362566023</v>
      </c>
      <c r="U40" s="21">
        <f t="shared" si="3"/>
        <v>0.23804611890668778</v>
      </c>
      <c r="V40">
        <f t="shared" si="4"/>
        <v>4.3628638527267232E-3</v>
      </c>
    </row>
    <row r="41" spans="1:27" x14ac:dyDescent="0.2">
      <c r="A41" s="17">
        <v>44597.71597222222</v>
      </c>
      <c r="B41" t="s">
        <v>58</v>
      </c>
      <c r="C41">
        <v>30</v>
      </c>
      <c r="D41">
        <v>1.33</v>
      </c>
      <c r="E41" s="1">
        <v>378.83839999999998</v>
      </c>
      <c r="F41">
        <v>1.296</v>
      </c>
      <c r="G41">
        <v>7.1177999999999999</v>
      </c>
      <c r="H41">
        <v>2.4830000000000001</v>
      </c>
      <c r="I41">
        <v>7.0796000000000001</v>
      </c>
      <c r="J41" s="21">
        <v>5</v>
      </c>
      <c r="L41" s="24">
        <v>160</v>
      </c>
      <c r="M41" s="24">
        <v>30.03</v>
      </c>
      <c r="N41" s="25">
        <v>0.9</v>
      </c>
      <c r="O41" s="24">
        <v>0.8</v>
      </c>
      <c r="P41" s="25">
        <v>1</v>
      </c>
      <c r="Q41" s="25">
        <v>1</v>
      </c>
      <c r="R41" s="25">
        <f t="shared" si="1"/>
        <v>128.87</v>
      </c>
      <c r="S41" s="36">
        <f>((E41-CH4_std_curves!$J$27)/CH4_std_curves!$I$27)/C41</f>
        <v>1.9055732119859177</v>
      </c>
      <c r="T41">
        <f t="shared" si="9"/>
        <v>245.57121982862523</v>
      </c>
      <c r="U41" s="21">
        <f t="shared" si="3"/>
        <v>0.3873741572738072</v>
      </c>
      <c r="V41">
        <f t="shared" si="4"/>
        <v>7.0997196510179626E-3</v>
      </c>
    </row>
    <row r="42" spans="1:27" x14ac:dyDescent="0.2">
      <c r="A42" s="17">
        <v>44597.728472222225</v>
      </c>
      <c r="B42" t="s">
        <v>59</v>
      </c>
      <c r="C42" s="21">
        <v>30</v>
      </c>
      <c r="D42">
        <v>1.333</v>
      </c>
      <c r="E42" s="1">
        <v>329.75740000000002</v>
      </c>
      <c r="F42">
        <v>1.296</v>
      </c>
      <c r="G42">
        <v>6.2641999999999998</v>
      </c>
      <c r="H42">
        <v>2.4900000000000002</v>
      </c>
      <c r="I42">
        <v>7.2552000000000003</v>
      </c>
      <c r="J42" s="21">
        <v>5</v>
      </c>
      <c r="L42" s="24">
        <v>160</v>
      </c>
      <c r="M42" s="24">
        <v>30.03</v>
      </c>
      <c r="N42" s="25">
        <v>0.9</v>
      </c>
      <c r="O42" s="24">
        <v>0.8</v>
      </c>
      <c r="P42" s="25">
        <v>0</v>
      </c>
      <c r="Q42" s="25">
        <v>1</v>
      </c>
      <c r="R42" s="25">
        <f t="shared" si="1"/>
        <v>128.07</v>
      </c>
      <c r="S42" s="36">
        <f>((E42-CH4_std_curves!$J$27)/CH4_std_curves!$I$27)/C42</f>
        <v>1.6636939177748475</v>
      </c>
      <c r="T42">
        <f t="shared" si="9"/>
        <v>213.06928004942472</v>
      </c>
      <c r="U42" s="21">
        <f t="shared" si="3"/>
        <v>0.33610425870622179</v>
      </c>
      <c r="V42">
        <f t="shared" si="4"/>
        <v>6.1600547313762103E-3</v>
      </c>
    </row>
    <row r="43" spans="1:27" x14ac:dyDescent="0.2">
      <c r="A43" s="17">
        <v>44597.741666666669</v>
      </c>
      <c r="B43" t="s">
        <v>60</v>
      </c>
      <c r="C43">
        <v>30</v>
      </c>
      <c r="D43">
        <v>1.333</v>
      </c>
      <c r="E43" s="1">
        <v>283.07900000000001</v>
      </c>
      <c r="F43">
        <v>1.296</v>
      </c>
      <c r="G43">
        <v>5.6300999999999997</v>
      </c>
      <c r="H43">
        <v>2.4860000000000002</v>
      </c>
      <c r="I43">
        <v>7.5377999999999998</v>
      </c>
      <c r="J43" s="21">
        <v>5</v>
      </c>
      <c r="L43" s="24">
        <v>160</v>
      </c>
      <c r="M43" s="24">
        <v>30.03</v>
      </c>
      <c r="N43" s="25">
        <v>0.9</v>
      </c>
      <c r="O43" s="24">
        <v>0.8</v>
      </c>
      <c r="P43" s="25">
        <v>0</v>
      </c>
      <c r="Q43" s="25">
        <v>1</v>
      </c>
      <c r="R43" s="25">
        <f t="shared" si="1"/>
        <v>128.07</v>
      </c>
      <c r="S43" s="36">
        <f>((E43-CH4_std_curves!$J$27)/CH4_std_curves!$I$27)/C43</f>
        <v>1.4336550341558905</v>
      </c>
      <c r="T43">
        <f t="shared" si="9"/>
        <v>183.60820022434487</v>
      </c>
      <c r="U43" s="21">
        <f t="shared" si="3"/>
        <v>0.28963113788375328</v>
      </c>
      <c r="V43">
        <f t="shared" si="4"/>
        <v>5.3083042391145491E-3</v>
      </c>
    </row>
    <row r="44" spans="1:27" x14ac:dyDescent="0.2">
      <c r="A44" s="17">
        <v>44597.754861111112</v>
      </c>
      <c r="B44" t="s">
        <v>61</v>
      </c>
      <c r="C44" s="21">
        <v>30</v>
      </c>
      <c r="D44">
        <v>1.323</v>
      </c>
      <c r="E44" s="1">
        <v>339.83260000000001</v>
      </c>
      <c r="F44">
        <v>1.29</v>
      </c>
      <c r="G44">
        <v>6.4505999999999997</v>
      </c>
      <c r="H44">
        <v>2.476</v>
      </c>
      <c r="I44">
        <v>7.2237999999999998</v>
      </c>
      <c r="J44" s="21">
        <v>5</v>
      </c>
      <c r="L44" s="25">
        <v>160</v>
      </c>
      <c r="M44" s="24">
        <v>30.03</v>
      </c>
      <c r="N44" s="25">
        <v>0.9</v>
      </c>
      <c r="O44" s="25">
        <v>0.8</v>
      </c>
      <c r="P44" s="25">
        <v>0</v>
      </c>
      <c r="Q44" s="25">
        <v>1</v>
      </c>
      <c r="R44" s="25">
        <f t="shared" si="1"/>
        <v>128.07</v>
      </c>
      <c r="S44" s="36">
        <f>((E44-CH4_std_curves!$J$27)/CH4_std_curves!$I$27)/C44</f>
        <v>1.713346171499005</v>
      </c>
      <c r="T44">
        <f t="shared" si="9"/>
        <v>219.42824418387755</v>
      </c>
      <c r="U44" s="21">
        <f t="shared" si="3"/>
        <v>0.34613515065861372</v>
      </c>
      <c r="V44">
        <f t="shared" si="4"/>
        <v>6.3438990053794886E-3</v>
      </c>
      <c r="Z44">
        <f>AVERAGE(T39:T44)</f>
        <v>200.50502441811307</v>
      </c>
      <c r="AA44">
        <f>STDEV(T39:T44)</f>
        <v>32.843865108778573</v>
      </c>
    </row>
    <row r="45" spans="1:27" x14ac:dyDescent="0.2">
      <c r="V45" t="s">
        <v>96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SampleList!$A$1:$A$31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7CDB-F87F-FD46-800D-C39CEFBF783E}">
  <dimension ref="A1:I18"/>
  <sheetViews>
    <sheetView workbookViewId="0">
      <selection activeCell="C18" sqref="C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31" t="s">
        <v>71</v>
      </c>
      <c r="B3" s="31"/>
    </row>
    <row r="4" spans="1:9" x14ac:dyDescent="0.2">
      <c r="A4" t="s">
        <v>72</v>
      </c>
      <c r="B4">
        <v>0.99998337469921572</v>
      </c>
    </row>
    <row r="5" spans="1:9" x14ac:dyDescent="0.2">
      <c r="A5" t="s">
        <v>73</v>
      </c>
      <c r="B5">
        <v>0.99996674967483201</v>
      </c>
    </row>
    <row r="6" spans="1:9" x14ac:dyDescent="0.2">
      <c r="A6" t="s">
        <v>74</v>
      </c>
      <c r="B6">
        <v>0.99995566623310939</v>
      </c>
    </row>
    <row r="7" spans="1:9" x14ac:dyDescent="0.2">
      <c r="A7" t="s">
        <v>75</v>
      </c>
      <c r="B7">
        <v>2.6556281691158787</v>
      </c>
    </row>
    <row r="8" spans="1:9" ht="17" thickBot="1" x14ac:dyDescent="0.25">
      <c r="A8" s="29" t="s">
        <v>76</v>
      </c>
      <c r="B8" s="29">
        <v>5</v>
      </c>
    </row>
    <row r="10" spans="1:9" ht="17" thickBot="1" x14ac:dyDescent="0.25">
      <c r="A10" t="s">
        <v>77</v>
      </c>
    </row>
    <row r="11" spans="1:9" x14ac:dyDescent="0.2">
      <c r="A11" s="30"/>
      <c r="B11" s="30" t="s">
        <v>82</v>
      </c>
      <c r="C11" s="30" t="s">
        <v>83</v>
      </c>
      <c r="D11" s="30" t="s">
        <v>84</v>
      </c>
      <c r="E11" s="30" t="s">
        <v>85</v>
      </c>
      <c r="F11" s="30" t="s">
        <v>86</v>
      </c>
    </row>
    <row r="12" spans="1:9" x14ac:dyDescent="0.2">
      <c r="A12" t="s">
        <v>78</v>
      </c>
      <c r="B12">
        <v>1</v>
      </c>
      <c r="C12">
        <v>636275.8659046503</v>
      </c>
      <c r="D12">
        <v>636275.8659046503</v>
      </c>
      <c r="E12">
        <v>90221.681558355587</v>
      </c>
      <c r="F12">
        <v>8.1374257954197177E-8</v>
      </c>
    </row>
    <row r="13" spans="1:9" x14ac:dyDescent="0.2">
      <c r="A13" t="s">
        <v>79</v>
      </c>
      <c r="B13">
        <v>3</v>
      </c>
      <c r="C13">
        <v>21.157082917805262</v>
      </c>
      <c r="D13">
        <v>7.052360972601754</v>
      </c>
    </row>
    <row r="14" spans="1:9" ht="17" thickBot="1" x14ac:dyDescent="0.25">
      <c r="A14" s="29" t="s">
        <v>80</v>
      </c>
      <c r="B14" s="29">
        <v>4</v>
      </c>
      <c r="C14" s="29">
        <v>636297.02298756805</v>
      </c>
      <c r="D14" s="29"/>
      <c r="E14" s="29"/>
      <c r="F14" s="29"/>
    </row>
    <row r="15" spans="1:9" ht="17" thickBot="1" x14ac:dyDescent="0.25"/>
    <row r="16" spans="1:9" x14ac:dyDescent="0.2">
      <c r="A16" s="30"/>
      <c r="B16" s="30" t="s">
        <v>87</v>
      </c>
      <c r="C16" s="30" t="s">
        <v>75</v>
      </c>
      <c r="D16" s="30" t="s">
        <v>88</v>
      </c>
      <c r="E16" s="30" t="s">
        <v>89</v>
      </c>
      <c r="F16" s="30" t="s">
        <v>90</v>
      </c>
      <c r="G16" s="30" t="s">
        <v>91</v>
      </c>
      <c r="H16" s="30" t="s">
        <v>92</v>
      </c>
      <c r="I16" s="30" t="s">
        <v>93</v>
      </c>
    </row>
    <row r="17" spans="1:9" x14ac:dyDescent="0.2">
      <c r="A17" t="s">
        <v>81</v>
      </c>
      <c r="B17">
        <v>-60.634940243902633</v>
      </c>
      <c r="C17">
        <v>2.2810669274149795</v>
      </c>
      <c r="D17">
        <v>-26.581833051526118</v>
      </c>
      <c r="E17">
        <v>1.1681744758190423E-4</v>
      </c>
      <c r="F17">
        <v>-67.894313259159304</v>
      </c>
      <c r="G17">
        <v>-53.37556722864597</v>
      </c>
      <c r="H17">
        <v>-67.894313259159304</v>
      </c>
      <c r="I17">
        <v>-53.37556722864597</v>
      </c>
    </row>
    <row r="18" spans="1:9" ht="17" thickBot="1" x14ac:dyDescent="0.25">
      <c r="A18" s="29" t="s">
        <v>94</v>
      </c>
      <c r="B18" s="29">
        <v>6.7132503275609769</v>
      </c>
      <c r="C18" s="29">
        <v>2.2349992569696001E-2</v>
      </c>
      <c r="D18" s="29">
        <v>300.36924203113006</v>
      </c>
      <c r="E18" s="29">
        <v>8.1374257954197177E-8</v>
      </c>
      <c r="F18" s="29">
        <v>6.6421226762844299</v>
      </c>
      <c r="G18" s="29">
        <v>6.784377978837524</v>
      </c>
      <c r="H18" s="29">
        <v>6.6421226762844299</v>
      </c>
      <c r="I18" s="29">
        <v>6.784377978837524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="90" zoomScaleNormal="90" workbookViewId="0">
      <selection activeCell="H2" sqref="H2:H6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44578</v>
      </c>
      <c r="B2">
        <v>24.1</v>
      </c>
      <c r="C2" s="4">
        <f t="shared" ref="C2:C31" si="0">1/100</f>
        <v>0.01</v>
      </c>
      <c r="D2">
        <v>50</v>
      </c>
      <c r="E2" s="5">
        <f t="shared" ref="E2:E16" si="1">(D2/1000000)*(1/$B$2)*$C$2</f>
        <v>2.0746887966804982E-8</v>
      </c>
      <c r="F2" s="2">
        <f t="shared" ref="F2:F16" si="2">E2*(10^9)</f>
        <v>20.74688796680498</v>
      </c>
      <c r="G2">
        <v>1.33</v>
      </c>
      <c r="H2">
        <v>79.697999999999993</v>
      </c>
      <c r="I2" s="3">
        <f>SLOPE(H2:H6,F2:F6)</f>
        <v>6.7132503275609761</v>
      </c>
      <c r="J2" s="8">
        <f>INTERCEPT(H2:H6,F2:F6)</f>
        <v>-60.634940243902633</v>
      </c>
      <c r="K2" s="19"/>
    </row>
    <row r="3" spans="1:11" x14ac:dyDescent="0.2">
      <c r="A3" s="16">
        <v>44578</v>
      </c>
      <c r="B3">
        <v>24.1</v>
      </c>
      <c r="C3" s="4">
        <f t="shared" si="0"/>
        <v>0.01</v>
      </c>
      <c r="D3">
        <v>100</v>
      </c>
      <c r="E3" s="5">
        <f t="shared" si="1"/>
        <v>4.1493775933609963E-8</v>
      </c>
      <c r="F3" s="2">
        <f t="shared" si="2"/>
        <v>41.49377593360996</v>
      </c>
      <c r="G3">
        <v>1.3460000000000001</v>
      </c>
      <c r="H3">
        <v>218.1874</v>
      </c>
      <c r="J3" s="2"/>
      <c r="K3" s="19"/>
    </row>
    <row r="4" spans="1:11" x14ac:dyDescent="0.2">
      <c r="A4" s="16">
        <v>44578</v>
      </c>
      <c r="B4">
        <v>24.1</v>
      </c>
      <c r="C4" s="4">
        <f t="shared" si="0"/>
        <v>0.01</v>
      </c>
      <c r="D4">
        <v>200</v>
      </c>
      <c r="E4" s="5">
        <f t="shared" si="1"/>
        <v>8.2987551867219927E-8</v>
      </c>
      <c r="F4" s="2">
        <f t="shared" si="2"/>
        <v>82.987551867219921</v>
      </c>
      <c r="G4">
        <v>1.34</v>
      </c>
      <c r="H4">
        <v>492.91140000000001</v>
      </c>
      <c r="J4" s="2"/>
      <c r="K4" s="19"/>
    </row>
    <row r="5" spans="1:11" x14ac:dyDescent="0.2">
      <c r="A5" s="16">
        <v>44578</v>
      </c>
      <c r="B5">
        <v>24.1</v>
      </c>
      <c r="C5" s="4">
        <f t="shared" si="0"/>
        <v>0.01</v>
      </c>
      <c r="D5">
        <v>300</v>
      </c>
      <c r="E5" s="5">
        <f t="shared" si="1"/>
        <v>1.2448132780082988E-7</v>
      </c>
      <c r="F5" s="2">
        <f t="shared" si="2"/>
        <v>124.48132780082987</v>
      </c>
      <c r="G5">
        <v>1.3460000000000001</v>
      </c>
      <c r="H5">
        <v>777.69780000000003</v>
      </c>
      <c r="J5" s="2"/>
      <c r="K5" s="19"/>
    </row>
    <row r="6" spans="1:11" x14ac:dyDescent="0.2">
      <c r="A6" s="16">
        <v>44578</v>
      </c>
      <c r="B6">
        <v>24.1</v>
      </c>
      <c r="C6" s="4">
        <f t="shared" si="0"/>
        <v>0.01</v>
      </c>
      <c r="D6">
        <v>400</v>
      </c>
      <c r="E6" s="5">
        <f t="shared" si="1"/>
        <v>1.6597510373443985E-7</v>
      </c>
      <c r="F6" s="2">
        <f t="shared" si="2"/>
        <v>165.97510373443984</v>
      </c>
      <c r="G6">
        <v>1.35</v>
      </c>
      <c r="H6">
        <v>1053.1908000000001</v>
      </c>
      <c r="J6" s="2"/>
      <c r="K6" s="19"/>
    </row>
    <row r="7" spans="1:11" x14ac:dyDescent="0.2">
      <c r="A7" s="16">
        <v>44581</v>
      </c>
      <c r="B7">
        <v>24.1</v>
      </c>
      <c r="C7" s="4">
        <f t="shared" si="0"/>
        <v>0.01</v>
      </c>
      <c r="D7">
        <v>50</v>
      </c>
      <c r="E7" s="5">
        <f t="shared" si="1"/>
        <v>2.0746887966804982E-8</v>
      </c>
      <c r="F7" s="2">
        <f t="shared" si="2"/>
        <v>20.74688796680498</v>
      </c>
      <c r="G7">
        <v>1.33</v>
      </c>
      <c r="H7">
        <v>139.2714</v>
      </c>
      <c r="I7" s="3">
        <f>SLOPE(H7:H11,F7:F11)</f>
        <v>6.608515783414636</v>
      </c>
      <c r="J7" s="8">
        <f>INTERCEPT(H7:H11,F7:F11)</f>
        <v>1.9745463414632241</v>
      </c>
    </row>
    <row r="8" spans="1:11" x14ac:dyDescent="0.2">
      <c r="A8" s="16">
        <v>44581</v>
      </c>
      <c r="B8">
        <v>24.1</v>
      </c>
      <c r="C8" s="4">
        <f t="shared" si="0"/>
        <v>0.01</v>
      </c>
      <c r="D8">
        <v>100</v>
      </c>
      <c r="E8" s="5">
        <f t="shared" si="1"/>
        <v>4.1493775933609963E-8</v>
      </c>
      <c r="F8" s="2">
        <f t="shared" si="2"/>
        <v>41.49377593360996</v>
      </c>
      <c r="G8">
        <v>1.323</v>
      </c>
      <c r="H8">
        <v>276.19869999999997</v>
      </c>
      <c r="J8" s="2"/>
    </row>
    <row r="9" spans="1:11" x14ac:dyDescent="0.2">
      <c r="A9" s="16">
        <v>44581</v>
      </c>
      <c r="B9">
        <v>24.1</v>
      </c>
      <c r="C9" s="4">
        <f t="shared" si="0"/>
        <v>0.01</v>
      </c>
      <c r="D9">
        <v>200</v>
      </c>
      <c r="E9" s="5">
        <f t="shared" si="1"/>
        <v>8.2987551867219927E-8</v>
      </c>
      <c r="F9" s="2">
        <f t="shared" si="2"/>
        <v>82.987551867219921</v>
      </c>
      <c r="G9">
        <v>1.34</v>
      </c>
      <c r="H9">
        <v>547.09799999999996</v>
      </c>
      <c r="J9" s="2"/>
    </row>
    <row r="10" spans="1:11" x14ac:dyDescent="0.2">
      <c r="A10" s="16">
        <v>44581</v>
      </c>
      <c r="B10">
        <v>24.1</v>
      </c>
      <c r="C10" s="4">
        <f t="shared" si="0"/>
        <v>0.01</v>
      </c>
      <c r="D10">
        <v>300</v>
      </c>
      <c r="E10" s="5">
        <f t="shared" si="1"/>
        <v>1.2448132780082988E-7</v>
      </c>
      <c r="F10" s="2">
        <f t="shared" si="2"/>
        <v>124.48132780082987</v>
      </c>
      <c r="G10">
        <v>1.35</v>
      </c>
      <c r="H10">
        <v>830.5104</v>
      </c>
      <c r="J10" s="2"/>
    </row>
    <row r="11" spans="1:11" x14ac:dyDescent="0.2">
      <c r="A11" s="16">
        <v>44581</v>
      </c>
      <c r="B11">
        <v>24.1</v>
      </c>
      <c r="C11" s="4">
        <f t="shared" si="0"/>
        <v>0.01</v>
      </c>
      <c r="D11">
        <v>400</v>
      </c>
      <c r="E11" s="5">
        <f t="shared" si="1"/>
        <v>1.6597510373443985E-7</v>
      </c>
      <c r="F11" s="2">
        <f t="shared" si="2"/>
        <v>165.97510373443984</v>
      </c>
      <c r="G11">
        <v>1.3360000000000001</v>
      </c>
      <c r="H11">
        <v>1096.0231000000001</v>
      </c>
      <c r="J11" s="2"/>
    </row>
    <row r="12" spans="1:11" x14ac:dyDescent="0.2">
      <c r="A12" s="16">
        <v>44583</v>
      </c>
      <c r="B12">
        <v>24.1</v>
      </c>
      <c r="C12" s="4">
        <f t="shared" si="0"/>
        <v>0.01</v>
      </c>
      <c r="D12">
        <v>50</v>
      </c>
      <c r="E12" s="5">
        <f t="shared" si="1"/>
        <v>2.0746887966804982E-8</v>
      </c>
      <c r="F12" s="2">
        <f t="shared" si="2"/>
        <v>20.74688796680498</v>
      </c>
      <c r="G12">
        <v>1.3460000000000001</v>
      </c>
      <c r="H12">
        <v>138.87719999999999</v>
      </c>
      <c r="I12" s="3">
        <f>SLOPE(H12:H16,F12:F16)</f>
        <v>6.6999164147560979</v>
      </c>
      <c r="J12" s="8">
        <f>INTERCEPT(H12:H16,F12:F16)</f>
        <v>2.2932359756094911</v>
      </c>
    </row>
    <row r="13" spans="1:11" x14ac:dyDescent="0.2">
      <c r="A13" s="16">
        <v>44583</v>
      </c>
      <c r="B13">
        <v>24.1</v>
      </c>
      <c r="C13" s="4">
        <f t="shared" si="0"/>
        <v>0.01</v>
      </c>
      <c r="D13">
        <v>100</v>
      </c>
      <c r="E13" s="5">
        <f t="shared" si="1"/>
        <v>4.1493775933609963E-8</v>
      </c>
      <c r="F13" s="2">
        <f t="shared" si="2"/>
        <v>41.49377593360996</v>
      </c>
      <c r="G13">
        <v>1.3360000000000001</v>
      </c>
      <c r="H13">
        <v>284.50650000000002</v>
      </c>
      <c r="J13" s="2"/>
    </row>
    <row r="14" spans="1:11" x14ac:dyDescent="0.2">
      <c r="A14" s="16">
        <v>44583</v>
      </c>
      <c r="B14">
        <v>24.1</v>
      </c>
      <c r="C14" s="4">
        <f t="shared" si="0"/>
        <v>0.01</v>
      </c>
      <c r="D14">
        <v>200</v>
      </c>
      <c r="E14" s="5">
        <f t="shared" si="1"/>
        <v>8.2987551867219927E-8</v>
      </c>
      <c r="F14" s="2">
        <f t="shared" si="2"/>
        <v>82.987551867219921</v>
      </c>
      <c r="G14">
        <v>1.3460000000000001</v>
      </c>
      <c r="H14">
        <v>557.82539999999995</v>
      </c>
      <c r="J14" s="2"/>
    </row>
    <row r="15" spans="1:11" x14ac:dyDescent="0.2">
      <c r="A15" s="16">
        <v>44583</v>
      </c>
      <c r="B15">
        <v>24.1</v>
      </c>
      <c r="C15" s="4">
        <f t="shared" si="0"/>
        <v>0.01</v>
      </c>
      <c r="D15">
        <v>300</v>
      </c>
      <c r="E15" s="5">
        <f t="shared" si="1"/>
        <v>1.2448132780082988E-7</v>
      </c>
      <c r="F15" s="2">
        <f t="shared" si="2"/>
        <v>124.48132780082987</v>
      </c>
      <c r="G15">
        <v>1.34</v>
      </c>
      <c r="H15">
        <v>833.10199999999998</v>
      </c>
      <c r="J15" s="2"/>
    </row>
    <row r="16" spans="1:11" x14ac:dyDescent="0.2">
      <c r="A16" s="16">
        <v>44583</v>
      </c>
      <c r="B16">
        <v>24.1</v>
      </c>
      <c r="C16" s="4">
        <f t="shared" si="0"/>
        <v>0.01</v>
      </c>
      <c r="D16">
        <v>400</v>
      </c>
      <c r="E16" s="5">
        <f t="shared" si="1"/>
        <v>1.6597510373443985E-7</v>
      </c>
      <c r="F16" s="2">
        <f t="shared" si="2"/>
        <v>165.97510373443984</v>
      </c>
      <c r="G16">
        <v>1.3560000000000001</v>
      </c>
      <c r="H16">
        <v>1116.2058</v>
      </c>
      <c r="J16" s="2"/>
    </row>
    <row r="17" spans="1:10" x14ac:dyDescent="0.2">
      <c r="A17" s="16">
        <v>44586</v>
      </c>
      <c r="B17">
        <v>24.1</v>
      </c>
      <c r="C17" s="4">
        <f t="shared" si="0"/>
        <v>0.01</v>
      </c>
      <c r="D17">
        <v>50</v>
      </c>
      <c r="E17" s="5">
        <f t="shared" ref="E17:E21" si="3">(D17/1000000)*(1/$B$2)*$C$2</f>
        <v>2.0746887966804982E-8</v>
      </c>
      <c r="F17" s="2">
        <f t="shared" ref="F17:F21" si="4">E17*(10^9)</f>
        <v>20.74688796680498</v>
      </c>
      <c r="G17" s="6">
        <v>1.3360000000000001</v>
      </c>
      <c r="H17" s="7">
        <v>133.39940000000001</v>
      </c>
      <c r="I17" s="3">
        <f>SLOPE(H17:H21,F17:F21)</f>
        <v>6.6507945897560976</v>
      </c>
      <c r="J17" s="8">
        <f>INTERCEPT(H17:H21,F17:F21)</f>
        <v>-2.5427390243903574</v>
      </c>
    </row>
    <row r="18" spans="1:10" x14ac:dyDescent="0.2">
      <c r="A18" s="16">
        <v>44586</v>
      </c>
      <c r="B18">
        <v>24.1</v>
      </c>
      <c r="C18" s="4">
        <f t="shared" si="0"/>
        <v>0.01</v>
      </c>
      <c r="D18">
        <v>100</v>
      </c>
      <c r="E18" s="5">
        <f t="shared" si="3"/>
        <v>4.1493775933609963E-8</v>
      </c>
      <c r="F18" s="2">
        <f t="shared" si="4"/>
        <v>41.49377593360996</v>
      </c>
      <c r="G18" s="6">
        <v>1.333</v>
      </c>
      <c r="H18" s="7">
        <v>277.49290000000002</v>
      </c>
      <c r="J18" s="2"/>
    </row>
    <row r="19" spans="1:10" x14ac:dyDescent="0.2">
      <c r="A19" s="16">
        <v>44586</v>
      </c>
      <c r="B19">
        <v>24.1</v>
      </c>
      <c r="C19" s="4">
        <f t="shared" si="0"/>
        <v>0.01</v>
      </c>
      <c r="D19">
        <v>200</v>
      </c>
      <c r="E19" s="5">
        <f t="shared" si="3"/>
        <v>8.2987551867219927E-8</v>
      </c>
      <c r="F19" s="2">
        <f t="shared" si="4"/>
        <v>82.987551867219921</v>
      </c>
      <c r="G19" s="6">
        <v>1.333</v>
      </c>
      <c r="H19" s="7">
        <v>546.56619999999998</v>
      </c>
      <c r="J19" s="2"/>
    </row>
    <row r="20" spans="1:10" x14ac:dyDescent="0.2">
      <c r="A20" s="16">
        <v>44586</v>
      </c>
      <c r="B20">
        <v>24.1</v>
      </c>
      <c r="C20" s="4">
        <f t="shared" si="0"/>
        <v>0.01</v>
      </c>
      <c r="D20">
        <v>300</v>
      </c>
      <c r="E20" s="5">
        <f t="shared" si="3"/>
        <v>1.2448132780082988E-7</v>
      </c>
      <c r="F20" s="2">
        <f t="shared" si="4"/>
        <v>124.48132780082987</v>
      </c>
      <c r="G20" s="6">
        <v>1.3460000000000001</v>
      </c>
      <c r="H20" s="7">
        <v>825.94230000000005</v>
      </c>
      <c r="J20" s="2"/>
    </row>
    <row r="21" spans="1:10" x14ac:dyDescent="0.2">
      <c r="A21" s="16">
        <v>44586</v>
      </c>
      <c r="B21">
        <v>24.1</v>
      </c>
      <c r="C21" s="4">
        <f t="shared" si="0"/>
        <v>0.01</v>
      </c>
      <c r="D21">
        <v>400</v>
      </c>
      <c r="E21" s="5">
        <f t="shared" si="3"/>
        <v>1.6597510373443985E-7</v>
      </c>
      <c r="F21" s="2">
        <f t="shared" si="4"/>
        <v>165.97510373443984</v>
      </c>
      <c r="G21" s="6">
        <v>1.35</v>
      </c>
      <c r="H21" s="7">
        <v>1101.5346</v>
      </c>
      <c r="J21" s="2"/>
    </row>
    <row r="22" spans="1:10" x14ac:dyDescent="0.2">
      <c r="A22" s="16">
        <v>44590</v>
      </c>
      <c r="B22">
        <v>24.1</v>
      </c>
      <c r="C22" s="4">
        <f t="shared" si="0"/>
        <v>0.01</v>
      </c>
      <c r="D22">
        <v>50</v>
      </c>
      <c r="E22" s="5">
        <f t="shared" ref="E22:E26" si="5">(D22/1000000)*(1/$B$2)*$C$2</f>
        <v>2.0746887966804982E-8</v>
      </c>
      <c r="F22" s="2">
        <f t="shared" ref="F22:F26" si="6">E22*(10^9)</f>
        <v>20.74688796680498</v>
      </c>
      <c r="G22" s="6">
        <v>1.333</v>
      </c>
      <c r="H22" s="7">
        <v>137.2567</v>
      </c>
      <c r="I22" s="3">
        <f>SLOPE(H22:H26,F22:F26)</f>
        <v>6.7247166373170728</v>
      </c>
      <c r="J22" s="8">
        <f>INTERCEPT(H22:H26,F22:F26)</f>
        <v>0.28182073170717103</v>
      </c>
    </row>
    <row r="23" spans="1:10" x14ac:dyDescent="0.2">
      <c r="A23" s="16">
        <v>44590</v>
      </c>
      <c r="B23">
        <v>24.1</v>
      </c>
      <c r="C23" s="4">
        <f t="shared" si="0"/>
        <v>0.01</v>
      </c>
      <c r="D23">
        <v>100</v>
      </c>
      <c r="E23" s="5">
        <f t="shared" si="5"/>
        <v>4.1493775933609963E-8</v>
      </c>
      <c r="F23" s="2">
        <f t="shared" si="6"/>
        <v>41.49377593360996</v>
      </c>
      <c r="G23" s="6">
        <v>1.3360000000000001</v>
      </c>
      <c r="H23" s="7">
        <v>282.06580000000002</v>
      </c>
    </row>
    <row r="24" spans="1:10" x14ac:dyDescent="0.2">
      <c r="A24" s="16">
        <v>44590</v>
      </c>
      <c r="B24">
        <v>24.1</v>
      </c>
      <c r="C24" s="4">
        <f t="shared" si="0"/>
        <v>0.01</v>
      </c>
      <c r="D24">
        <v>200</v>
      </c>
      <c r="E24" s="5">
        <f t="shared" si="5"/>
        <v>8.2987551867219927E-8</v>
      </c>
      <c r="F24" s="2">
        <f t="shared" si="6"/>
        <v>82.987551867219921</v>
      </c>
      <c r="G24" s="6">
        <v>1.33</v>
      </c>
      <c r="H24" s="7">
        <v>554.64080000000001</v>
      </c>
    </row>
    <row r="25" spans="1:10" x14ac:dyDescent="0.2">
      <c r="A25" s="16">
        <v>44590</v>
      </c>
      <c r="B25">
        <v>24.1</v>
      </c>
      <c r="C25" s="4">
        <f t="shared" si="0"/>
        <v>0.01</v>
      </c>
      <c r="D25">
        <v>300</v>
      </c>
      <c r="E25" s="5">
        <f t="shared" si="5"/>
        <v>1.2448132780082988E-7</v>
      </c>
      <c r="F25" s="2">
        <f t="shared" si="6"/>
        <v>124.48132780082987</v>
      </c>
      <c r="G25" s="6">
        <v>1.353</v>
      </c>
      <c r="H25" s="7">
        <v>845.44799999999998</v>
      </c>
    </row>
    <row r="26" spans="1:10" x14ac:dyDescent="0.2">
      <c r="A26" s="16">
        <v>44590</v>
      </c>
      <c r="B26">
        <v>24.1</v>
      </c>
      <c r="C26" s="4">
        <f t="shared" si="0"/>
        <v>0.01</v>
      </c>
      <c r="D26">
        <v>400</v>
      </c>
      <c r="E26" s="5">
        <f t="shared" si="5"/>
        <v>1.6597510373443985E-7</v>
      </c>
      <c r="F26" s="2">
        <f t="shared" si="6"/>
        <v>165.97510373443984</v>
      </c>
      <c r="G26" s="6">
        <v>1.343</v>
      </c>
      <c r="H26" s="7">
        <v>1111.8535999999999</v>
      </c>
    </row>
    <row r="27" spans="1:10" x14ac:dyDescent="0.2">
      <c r="A27" s="16">
        <v>44597</v>
      </c>
      <c r="B27">
        <v>24.1</v>
      </c>
      <c r="C27" s="4">
        <f t="shared" si="0"/>
        <v>0.01</v>
      </c>
      <c r="D27">
        <v>50</v>
      </c>
      <c r="E27" s="5">
        <f t="shared" ref="E27:E31" si="7">(D27/1000000)*(1/$B$2)*$C$2</f>
        <v>2.0746887966804982E-8</v>
      </c>
      <c r="F27" s="2">
        <f t="shared" ref="F27:F31" si="8">E27*(10^9)</f>
        <v>20.74688796680498</v>
      </c>
      <c r="G27" s="6">
        <v>1.34</v>
      </c>
      <c r="H27" s="7">
        <v>129.14439999999999</v>
      </c>
      <c r="I27" s="3">
        <f>SLOPE(H27:H31,F27:F31)</f>
        <v>6.7638420174390248</v>
      </c>
      <c r="J27" s="8">
        <f>INTERCEPT(H27:H31,F27:F31)</f>
        <v>-7.8314847560977796</v>
      </c>
    </row>
    <row r="28" spans="1:10" x14ac:dyDescent="0.2">
      <c r="A28" s="16">
        <v>44597</v>
      </c>
      <c r="B28">
        <v>24.1</v>
      </c>
      <c r="C28" s="4">
        <f t="shared" si="0"/>
        <v>0.01</v>
      </c>
      <c r="D28">
        <v>100</v>
      </c>
      <c r="E28" s="5">
        <f t="shared" si="7"/>
        <v>4.1493775933609963E-8</v>
      </c>
      <c r="F28" s="2">
        <f t="shared" si="8"/>
        <v>41.49377593360996</v>
      </c>
      <c r="G28" s="6">
        <v>1.3460000000000001</v>
      </c>
      <c r="H28" s="7">
        <v>274.7824</v>
      </c>
    </row>
    <row r="29" spans="1:10" x14ac:dyDescent="0.2">
      <c r="A29" s="16">
        <v>44597</v>
      </c>
      <c r="B29">
        <v>24.1</v>
      </c>
      <c r="C29" s="4">
        <f t="shared" si="0"/>
        <v>0.01</v>
      </c>
      <c r="D29">
        <v>200</v>
      </c>
      <c r="E29" s="5">
        <f t="shared" si="7"/>
        <v>8.2987551867219927E-8</v>
      </c>
      <c r="F29" s="2">
        <f t="shared" si="8"/>
        <v>82.987551867219921</v>
      </c>
      <c r="G29" s="6">
        <v>1.3460000000000001</v>
      </c>
      <c r="H29" s="7">
        <v>556.56759999999997</v>
      </c>
    </row>
    <row r="30" spans="1:10" x14ac:dyDescent="0.2">
      <c r="A30" s="16">
        <v>44597</v>
      </c>
      <c r="B30">
        <v>24.1</v>
      </c>
      <c r="C30" s="4">
        <f t="shared" si="0"/>
        <v>0.01</v>
      </c>
      <c r="D30">
        <v>300</v>
      </c>
      <c r="E30" s="5">
        <f t="shared" si="7"/>
        <v>1.2448132780082988E-7</v>
      </c>
      <c r="F30" s="2">
        <f t="shared" si="8"/>
        <v>124.48132780082987</v>
      </c>
      <c r="G30" s="6">
        <v>1.34</v>
      </c>
      <c r="H30" s="7">
        <v>833.83690000000001</v>
      </c>
      <c r="I30" s="3"/>
      <c r="J30" s="8"/>
    </row>
    <row r="31" spans="1:10" x14ac:dyDescent="0.2">
      <c r="A31" s="16">
        <v>44597</v>
      </c>
      <c r="B31">
        <v>24.1</v>
      </c>
      <c r="C31" s="4">
        <f t="shared" si="0"/>
        <v>0.01</v>
      </c>
      <c r="D31">
        <v>400</v>
      </c>
      <c r="E31" s="5">
        <f t="shared" si="7"/>
        <v>1.6597510373443985E-7</v>
      </c>
      <c r="F31" s="2">
        <f t="shared" si="8"/>
        <v>165.97510373443984</v>
      </c>
      <c r="G31" s="6">
        <v>1.35</v>
      </c>
      <c r="H31" s="7">
        <v>1113.4133999999999</v>
      </c>
    </row>
    <row r="32" spans="1:10" x14ac:dyDescent="0.2">
      <c r="A32" s="16"/>
      <c r="G32" s="6"/>
      <c r="H32" s="7"/>
    </row>
    <row r="33" spans="1:8" x14ac:dyDescent="0.2">
      <c r="A33" s="16"/>
      <c r="G33" s="6"/>
      <c r="H33" s="7"/>
    </row>
    <row r="34" spans="1:8" x14ac:dyDescent="0.2">
      <c r="A34" s="16"/>
      <c r="G34" s="6"/>
      <c r="H34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D6" zoomScaleNormal="100" zoomScaleSheetLayoutView="80" workbookViewId="0">
      <selection activeCell="I20" sqref="I20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21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44583</v>
      </c>
      <c r="B2">
        <v>24.1</v>
      </c>
      <c r="C2" s="4">
        <f t="shared" ref="C2:C21" si="0">5/100</f>
        <v>0.05</v>
      </c>
      <c r="D2">
        <v>50</v>
      </c>
      <c r="E2" s="5">
        <f t="shared" ref="E2:E16" si="1">(D2/1000000)*(1/$B$2)*$C$2</f>
        <v>1.037344398340249E-7</v>
      </c>
      <c r="F2" s="2">
        <f t="shared" ref="F2:F16" si="2">E2*(10^9)</f>
        <v>103.7344398340249</v>
      </c>
      <c r="G2">
        <v>2.5</v>
      </c>
      <c r="H2">
        <v>18.915500000000002</v>
      </c>
      <c r="I2" s="3">
        <f>SLOPE(H2:H6,F2:F6)</f>
        <v>0.1885593052195122</v>
      </c>
      <c r="J2" s="8">
        <f>INTERCEPT(H2:H6,F2:F6)</f>
        <v>-0.92957439024389998</v>
      </c>
      <c r="K2" s="19"/>
    </row>
    <row r="3" spans="1:11" x14ac:dyDescent="0.2">
      <c r="A3" s="16">
        <v>44583</v>
      </c>
      <c r="B3">
        <v>24.1</v>
      </c>
      <c r="C3" s="4">
        <f t="shared" si="0"/>
        <v>0.05</v>
      </c>
      <c r="D3">
        <v>100</v>
      </c>
      <c r="E3" s="5">
        <f t="shared" si="1"/>
        <v>2.074688796680498E-7</v>
      </c>
      <c r="F3" s="2">
        <f t="shared" si="2"/>
        <v>207.46887966804979</v>
      </c>
      <c r="G3">
        <v>2.496</v>
      </c>
      <c r="H3">
        <v>38.025799999999997</v>
      </c>
      <c r="J3" s="2"/>
      <c r="K3" s="19"/>
    </row>
    <row r="4" spans="1:11" x14ac:dyDescent="0.2">
      <c r="A4" s="16">
        <v>44583</v>
      </c>
      <c r="B4">
        <v>24.1</v>
      </c>
      <c r="C4" s="4">
        <f t="shared" si="0"/>
        <v>0.05</v>
      </c>
      <c r="D4">
        <v>200</v>
      </c>
      <c r="E4" s="5">
        <f t="shared" si="1"/>
        <v>4.1493775933609961E-7</v>
      </c>
      <c r="F4" s="2">
        <f t="shared" si="2"/>
        <v>414.93775933609959</v>
      </c>
      <c r="G4">
        <v>2.496</v>
      </c>
      <c r="H4">
        <v>77.385400000000004</v>
      </c>
      <c r="J4" s="2"/>
      <c r="K4" s="19"/>
    </row>
    <row r="5" spans="1:11" x14ac:dyDescent="0.2">
      <c r="A5" s="16">
        <v>44583</v>
      </c>
      <c r="B5">
        <v>24.1</v>
      </c>
      <c r="C5" s="4">
        <f t="shared" si="0"/>
        <v>0.05</v>
      </c>
      <c r="D5">
        <v>300</v>
      </c>
      <c r="E5" s="5">
        <f t="shared" si="1"/>
        <v>6.2240663900414941E-7</v>
      </c>
      <c r="F5" s="2">
        <f t="shared" si="2"/>
        <v>622.40663900414938</v>
      </c>
      <c r="G5">
        <v>2.48</v>
      </c>
      <c r="H5">
        <v>115.7788</v>
      </c>
      <c r="J5" s="2"/>
      <c r="K5" s="19"/>
    </row>
    <row r="6" spans="1:11" x14ac:dyDescent="0.2">
      <c r="A6" s="16">
        <v>44583</v>
      </c>
      <c r="B6">
        <v>24.1</v>
      </c>
      <c r="C6" s="4">
        <f t="shared" si="0"/>
        <v>0.05</v>
      </c>
      <c r="D6">
        <v>400</v>
      </c>
      <c r="E6" s="5">
        <f t="shared" si="1"/>
        <v>8.2987551867219922E-7</v>
      </c>
      <c r="F6" s="2">
        <f t="shared" si="2"/>
        <v>829.87551867219918</v>
      </c>
      <c r="G6">
        <v>2.4860000000000002</v>
      </c>
      <c r="H6">
        <v>156.0086</v>
      </c>
      <c r="J6" s="2"/>
      <c r="K6" s="19"/>
    </row>
    <row r="7" spans="1:11" x14ac:dyDescent="0.2">
      <c r="A7" s="16">
        <v>44586</v>
      </c>
      <c r="B7">
        <v>24.1</v>
      </c>
      <c r="C7" s="4">
        <f t="shared" si="0"/>
        <v>0.05</v>
      </c>
      <c r="D7">
        <v>50</v>
      </c>
      <c r="E7" s="5">
        <f t="shared" si="1"/>
        <v>1.037344398340249E-7</v>
      </c>
      <c r="F7" s="2">
        <f t="shared" si="2"/>
        <v>103.7344398340249</v>
      </c>
      <c r="G7">
        <v>2.4900000000000002</v>
      </c>
      <c r="H7">
        <v>18.583600000000001</v>
      </c>
      <c r="I7" s="3">
        <f>SLOPE(H7:H11,F7:F11)</f>
        <v>0.18690281817073168</v>
      </c>
      <c r="J7" s="8">
        <f>INTERCEPT(H7:H11,F7:F11)</f>
        <v>-0.79958841463412966</v>
      </c>
    </row>
    <row r="8" spans="1:11" x14ac:dyDescent="0.2">
      <c r="A8" s="16">
        <v>44586</v>
      </c>
      <c r="B8">
        <v>24.1</v>
      </c>
      <c r="C8" s="4">
        <f t="shared" si="0"/>
        <v>0.05</v>
      </c>
      <c r="D8">
        <v>100</v>
      </c>
      <c r="E8" s="5">
        <f t="shared" si="1"/>
        <v>2.074688796680498E-7</v>
      </c>
      <c r="F8" s="2">
        <f t="shared" si="2"/>
        <v>207.46887966804979</v>
      </c>
      <c r="G8">
        <v>2.496</v>
      </c>
      <c r="H8">
        <v>38.179200000000002</v>
      </c>
      <c r="J8" s="2"/>
    </row>
    <row r="9" spans="1:11" x14ac:dyDescent="0.2">
      <c r="A9" s="16">
        <v>44586</v>
      </c>
      <c r="B9">
        <v>24.1</v>
      </c>
      <c r="C9" s="4">
        <f t="shared" si="0"/>
        <v>0.05</v>
      </c>
      <c r="D9">
        <v>200</v>
      </c>
      <c r="E9" s="5">
        <f t="shared" si="1"/>
        <v>4.1493775933609961E-7</v>
      </c>
      <c r="F9" s="2">
        <f t="shared" si="2"/>
        <v>414.93775933609959</v>
      </c>
      <c r="G9">
        <v>2.4929999999999999</v>
      </c>
      <c r="H9">
        <v>76.817400000000006</v>
      </c>
      <c r="J9" s="2"/>
    </row>
    <row r="10" spans="1:11" x14ac:dyDescent="0.2">
      <c r="A10" s="16">
        <v>44586</v>
      </c>
      <c r="B10">
        <v>24.1</v>
      </c>
      <c r="C10" s="4">
        <f t="shared" si="0"/>
        <v>0.05</v>
      </c>
      <c r="D10">
        <v>300</v>
      </c>
      <c r="E10" s="5">
        <f t="shared" si="1"/>
        <v>6.2240663900414941E-7</v>
      </c>
      <c r="F10" s="2">
        <f t="shared" si="2"/>
        <v>622.40663900414938</v>
      </c>
      <c r="G10">
        <v>2.4860000000000002</v>
      </c>
      <c r="H10">
        <v>114.813</v>
      </c>
      <c r="J10" s="2"/>
    </row>
    <row r="11" spans="1:11" x14ac:dyDescent="0.2">
      <c r="A11" s="16">
        <v>44586</v>
      </c>
      <c r="B11">
        <v>24.1</v>
      </c>
      <c r="C11" s="4">
        <f t="shared" si="0"/>
        <v>0.05</v>
      </c>
      <c r="D11">
        <v>400</v>
      </c>
      <c r="E11" s="5">
        <f t="shared" si="1"/>
        <v>8.2987551867219922E-7</v>
      </c>
      <c r="F11" s="2">
        <f t="shared" si="2"/>
        <v>829.87551867219918</v>
      </c>
      <c r="G11">
        <v>2.4900000000000002</v>
      </c>
      <c r="H11">
        <v>154.76230000000001</v>
      </c>
      <c r="J11" s="2"/>
    </row>
    <row r="12" spans="1:11" x14ac:dyDescent="0.2">
      <c r="A12" s="18">
        <v>44590</v>
      </c>
      <c r="B12">
        <v>24.1</v>
      </c>
      <c r="C12" s="4">
        <f t="shared" si="0"/>
        <v>0.05</v>
      </c>
      <c r="D12">
        <v>50</v>
      </c>
      <c r="E12" s="5">
        <f t="shared" si="1"/>
        <v>1.037344398340249E-7</v>
      </c>
      <c r="F12" s="2">
        <f t="shared" si="2"/>
        <v>103.7344398340249</v>
      </c>
      <c r="G12" s="6">
        <v>2.496</v>
      </c>
      <c r="H12" s="7">
        <v>18.713999999999999</v>
      </c>
      <c r="I12" s="3">
        <f>SLOPE(H12:H16,F12:F16)</f>
        <v>0.18977794817073171</v>
      </c>
      <c r="J12" s="8">
        <f>INTERCEPT(H12:H16,F12:F16)</f>
        <v>-0.87443841463412753</v>
      </c>
    </row>
    <row r="13" spans="1:11" x14ac:dyDescent="0.2">
      <c r="A13" s="18">
        <v>44590</v>
      </c>
      <c r="B13">
        <v>24.1</v>
      </c>
      <c r="C13" s="4">
        <f t="shared" si="0"/>
        <v>0.05</v>
      </c>
      <c r="D13">
        <v>100</v>
      </c>
      <c r="E13" s="5">
        <f t="shared" si="1"/>
        <v>2.074688796680498E-7</v>
      </c>
      <c r="F13" s="2">
        <f t="shared" si="2"/>
        <v>207.46887966804979</v>
      </c>
      <c r="G13" s="6">
        <v>2.4700000000000002</v>
      </c>
      <c r="H13" s="7">
        <v>39.101599999999998</v>
      </c>
      <c r="J13" s="2"/>
    </row>
    <row r="14" spans="1:11" x14ac:dyDescent="0.2">
      <c r="A14" s="18">
        <v>44590</v>
      </c>
      <c r="B14">
        <v>24.1</v>
      </c>
      <c r="C14" s="4">
        <f t="shared" si="0"/>
        <v>0.05</v>
      </c>
      <c r="D14">
        <v>200</v>
      </c>
      <c r="E14" s="5">
        <f t="shared" si="1"/>
        <v>4.1493775933609961E-7</v>
      </c>
      <c r="F14" s="2">
        <f t="shared" si="2"/>
        <v>414.93775933609959</v>
      </c>
      <c r="G14" s="6">
        <v>2.496</v>
      </c>
      <c r="H14" s="7">
        <v>77.428700000000006</v>
      </c>
      <c r="J14" s="2"/>
    </row>
    <row r="15" spans="1:11" x14ac:dyDescent="0.2">
      <c r="A15" s="18">
        <v>44590</v>
      </c>
      <c r="B15">
        <v>24.1</v>
      </c>
      <c r="C15" s="4">
        <f t="shared" si="0"/>
        <v>0.05</v>
      </c>
      <c r="D15">
        <v>300</v>
      </c>
      <c r="E15" s="5">
        <f t="shared" si="1"/>
        <v>6.2240663900414941E-7</v>
      </c>
      <c r="F15" s="2">
        <f t="shared" si="2"/>
        <v>622.40663900414938</v>
      </c>
      <c r="G15" s="6">
        <v>2.4630000000000001</v>
      </c>
      <c r="H15" s="7">
        <v>116.66459999999999</v>
      </c>
      <c r="J15" s="2"/>
    </row>
    <row r="16" spans="1:11" x14ac:dyDescent="0.2">
      <c r="A16" s="18">
        <v>44590</v>
      </c>
      <c r="B16">
        <v>24.1</v>
      </c>
      <c r="C16" s="4">
        <f t="shared" si="0"/>
        <v>0.05</v>
      </c>
      <c r="D16">
        <v>400</v>
      </c>
      <c r="E16" s="5">
        <f t="shared" si="1"/>
        <v>8.2987551867219922E-7</v>
      </c>
      <c r="F16" s="2">
        <f t="shared" si="2"/>
        <v>829.87551867219918</v>
      </c>
      <c r="G16" s="6">
        <v>2.4700000000000002</v>
      </c>
      <c r="H16" s="7">
        <v>157.13560000000001</v>
      </c>
      <c r="J16" s="2"/>
    </row>
    <row r="17" spans="1:10" x14ac:dyDescent="0.2">
      <c r="A17" s="16">
        <v>44597</v>
      </c>
      <c r="B17">
        <v>24.1</v>
      </c>
      <c r="C17" s="4">
        <f t="shared" si="0"/>
        <v>0.05</v>
      </c>
      <c r="D17">
        <v>50</v>
      </c>
      <c r="E17" s="5">
        <f t="shared" ref="E17:E21" si="3">(D17/1000000)*(1/$B$2)*$C$2</f>
        <v>1.037344398340249E-7</v>
      </c>
      <c r="F17" s="2">
        <f t="shared" ref="F17:F21" si="4">E17*(10^9)</f>
        <v>103.7344398340249</v>
      </c>
      <c r="G17" s="6">
        <v>2.5</v>
      </c>
      <c r="H17" s="7">
        <v>18.3874</v>
      </c>
      <c r="I17" s="3">
        <f>SLOPE(H17:H21,F17:F21)</f>
        <v>0.18587712217073168</v>
      </c>
      <c r="J17" s="8">
        <f>INTERCEPT(H17:H21,F17:F21)</f>
        <v>-0.69798841463412487</v>
      </c>
    </row>
    <row r="18" spans="1:10" x14ac:dyDescent="0.2">
      <c r="A18" s="16">
        <v>44597</v>
      </c>
      <c r="B18">
        <v>24.1</v>
      </c>
      <c r="C18" s="4">
        <f t="shared" si="0"/>
        <v>0.05</v>
      </c>
      <c r="D18">
        <v>100</v>
      </c>
      <c r="E18" s="5">
        <f t="shared" si="3"/>
        <v>2.074688796680498E-7</v>
      </c>
      <c r="F18" s="2">
        <f t="shared" si="4"/>
        <v>207.46887966804979</v>
      </c>
      <c r="G18" s="6">
        <v>2.4700000000000002</v>
      </c>
      <c r="H18" s="7">
        <v>38.267299999999999</v>
      </c>
    </row>
    <row r="19" spans="1:10" x14ac:dyDescent="0.2">
      <c r="A19" s="16">
        <v>44597</v>
      </c>
      <c r="B19">
        <v>24.1</v>
      </c>
      <c r="C19" s="4">
        <f t="shared" si="0"/>
        <v>0.05</v>
      </c>
      <c r="D19">
        <v>200</v>
      </c>
      <c r="E19" s="5">
        <f t="shared" si="3"/>
        <v>4.1493775933609961E-7</v>
      </c>
      <c r="F19" s="2">
        <f t="shared" si="4"/>
        <v>414.93775933609959</v>
      </c>
      <c r="G19" s="6">
        <v>2.4700000000000002</v>
      </c>
      <c r="H19" s="7">
        <v>76.527799999999999</v>
      </c>
    </row>
    <row r="20" spans="1:10" x14ac:dyDescent="0.2">
      <c r="A20" s="16">
        <v>44597</v>
      </c>
      <c r="B20">
        <v>24.1</v>
      </c>
      <c r="C20" s="4">
        <f t="shared" si="0"/>
        <v>0.05</v>
      </c>
      <c r="D20">
        <v>300</v>
      </c>
      <c r="E20" s="5">
        <f t="shared" si="3"/>
        <v>6.2240663900414941E-7</v>
      </c>
      <c r="F20" s="2">
        <f t="shared" si="4"/>
        <v>622.40663900414938</v>
      </c>
      <c r="G20" s="6">
        <v>2.4660000000000002</v>
      </c>
      <c r="H20" s="7">
        <v>114.2794</v>
      </c>
    </row>
    <row r="21" spans="1:10" x14ac:dyDescent="0.2">
      <c r="A21" s="16">
        <v>44597</v>
      </c>
      <c r="B21">
        <v>24.1</v>
      </c>
      <c r="C21" s="4">
        <f t="shared" si="0"/>
        <v>0.05</v>
      </c>
      <c r="D21">
        <v>400</v>
      </c>
      <c r="E21" s="5">
        <f t="shared" si="3"/>
        <v>8.2987551867219922E-7</v>
      </c>
      <c r="F21" s="2">
        <f t="shared" si="4"/>
        <v>829.87551867219918</v>
      </c>
      <c r="G21" s="6">
        <v>2.476</v>
      </c>
      <c r="H21" s="7">
        <v>153.96719999999999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workbookViewId="0">
      <selection activeCell="C23" sqref="C23"/>
    </sheetView>
  </sheetViews>
  <sheetFormatPr baseColWidth="10" defaultColWidth="11" defaultRowHeight="16" x14ac:dyDescent="0.2"/>
  <sheetData>
    <row r="1" spans="1:1" x14ac:dyDescent="0.2">
      <c r="A1" s="1" t="s">
        <v>31</v>
      </c>
    </row>
    <row r="2" spans="1:1" x14ac:dyDescent="0.2">
      <c r="A2" s="1" t="s">
        <v>32</v>
      </c>
    </row>
    <row r="3" spans="1:1" x14ac:dyDescent="0.2">
      <c r="A3" s="1" t="s">
        <v>33</v>
      </c>
    </row>
    <row r="4" spans="1:1" x14ac:dyDescent="0.2">
      <c r="A4" s="1" t="s">
        <v>34</v>
      </c>
    </row>
    <row r="5" spans="1:1" x14ac:dyDescent="0.2">
      <c r="A5" s="1" t="s">
        <v>35</v>
      </c>
    </row>
    <row r="6" spans="1:1" x14ac:dyDescent="0.2">
      <c r="A6" s="1" t="s">
        <v>36</v>
      </c>
    </row>
    <row r="7" spans="1:1" x14ac:dyDescent="0.2">
      <c r="A7" s="1" t="s">
        <v>37</v>
      </c>
    </row>
    <row r="8" spans="1:1" x14ac:dyDescent="0.2">
      <c r="A8" s="1" t="s">
        <v>38</v>
      </c>
    </row>
    <row r="9" spans="1:1" x14ac:dyDescent="0.2">
      <c r="A9" s="1" t="s">
        <v>39</v>
      </c>
    </row>
    <row r="10" spans="1:1" x14ac:dyDescent="0.2">
      <c r="A10" s="1" t="s">
        <v>40</v>
      </c>
    </row>
    <row r="11" spans="1:1" x14ac:dyDescent="0.2">
      <c r="A11" s="1" t="s">
        <v>41</v>
      </c>
    </row>
    <row r="12" spans="1:1" x14ac:dyDescent="0.2">
      <c r="A12" s="1" t="s">
        <v>42</v>
      </c>
    </row>
    <row r="13" spans="1:1" x14ac:dyDescent="0.2">
      <c r="A13" s="1" t="s">
        <v>43</v>
      </c>
    </row>
    <row r="14" spans="1:1" x14ac:dyDescent="0.2">
      <c r="A14" s="1" t="s">
        <v>44</v>
      </c>
    </row>
    <row r="15" spans="1:1" x14ac:dyDescent="0.2">
      <c r="A15" s="1" t="s">
        <v>45</v>
      </c>
    </row>
    <row r="16" spans="1:1" x14ac:dyDescent="0.2">
      <c r="A16" s="1" t="s">
        <v>46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50</v>
      </c>
    </row>
    <row r="21" spans="1:1" x14ac:dyDescent="0.2">
      <c r="A21" s="1" t="s">
        <v>51</v>
      </c>
    </row>
    <row r="22" spans="1:1" x14ac:dyDescent="0.2">
      <c r="A22" s="1" t="s">
        <v>52</v>
      </c>
    </row>
    <row r="23" spans="1:1" x14ac:dyDescent="0.2">
      <c r="A23" s="1" t="s">
        <v>53</v>
      </c>
    </row>
    <row r="24" spans="1:1" x14ac:dyDescent="0.2">
      <c r="A24" s="1" t="s">
        <v>54</v>
      </c>
    </row>
    <row r="25" spans="1:1" x14ac:dyDescent="0.2">
      <c r="A25" s="1" t="s">
        <v>55</v>
      </c>
    </row>
    <row r="26" spans="1:1" x14ac:dyDescent="0.2">
      <c r="A26" s="1" t="s">
        <v>56</v>
      </c>
    </row>
    <row r="27" spans="1:1" x14ac:dyDescent="0.2">
      <c r="A27" s="1" t="s">
        <v>57</v>
      </c>
    </row>
    <row r="28" spans="1:1" x14ac:dyDescent="0.2">
      <c r="A28" s="1" t="s">
        <v>58</v>
      </c>
    </row>
    <row r="29" spans="1:1" x14ac:dyDescent="0.2">
      <c r="A29" s="1" t="s">
        <v>59</v>
      </c>
    </row>
    <row r="30" spans="1:1" x14ac:dyDescent="0.2">
      <c r="A30" s="1" t="s">
        <v>60</v>
      </c>
    </row>
    <row r="31" spans="1:1" x14ac:dyDescent="0.2">
      <c r="A31" s="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E5D9-E58E-E34A-BDE0-CEBF8B5AB36B}">
  <dimension ref="A1:J13"/>
  <sheetViews>
    <sheetView workbookViewId="0">
      <selection activeCell="J2" sqref="J2"/>
    </sheetView>
  </sheetViews>
  <sheetFormatPr baseColWidth="10" defaultRowHeight="16" x14ac:dyDescent="0.2"/>
  <cols>
    <col min="9" max="9" width="16.83203125" bestFit="1" customWidth="1"/>
  </cols>
  <sheetData>
    <row r="1" spans="1:10" x14ac:dyDescent="0.2">
      <c r="A1" t="s">
        <v>67</v>
      </c>
      <c r="I1" t="s">
        <v>68</v>
      </c>
      <c r="J1" t="s">
        <v>69</v>
      </c>
    </row>
    <row r="2" spans="1:10" x14ac:dyDescent="0.2">
      <c r="A2">
        <v>605.01380059711607</v>
      </c>
      <c r="B2">
        <v>502.2031487906313</v>
      </c>
      <c r="C2" s="21">
        <v>473.97657701729605</v>
      </c>
      <c r="D2">
        <v>427.16551159058736</v>
      </c>
      <c r="E2">
        <v>279.70802308604658</v>
      </c>
      <c r="F2">
        <v>190.44670859674579</v>
      </c>
      <c r="I2" s="26">
        <v>44578.750428240739</v>
      </c>
    </row>
    <row r="3" spans="1:10" x14ac:dyDescent="0.2">
      <c r="A3">
        <v>633.67879010636545</v>
      </c>
      <c r="B3">
        <v>514.43162422775538</v>
      </c>
      <c r="C3">
        <v>526.07605248207688</v>
      </c>
      <c r="D3">
        <v>466.1800778500326</v>
      </c>
      <c r="E3">
        <v>309.97691576629035</v>
      </c>
      <c r="F3">
        <v>150.90649362566023</v>
      </c>
      <c r="I3" s="27">
        <v>44581.4624152662</v>
      </c>
    </row>
    <row r="4" spans="1:10" x14ac:dyDescent="0.2">
      <c r="A4">
        <v>632.64843922378293</v>
      </c>
      <c r="B4">
        <v>565.17384609141845</v>
      </c>
      <c r="C4">
        <v>513.14731503934445</v>
      </c>
      <c r="D4">
        <v>478.3729695840446</v>
      </c>
      <c r="E4">
        <v>328.78486073703885</v>
      </c>
      <c r="F4">
        <v>245.57121982862523</v>
      </c>
      <c r="I4" s="27">
        <v>44583.477175925924</v>
      </c>
    </row>
    <row r="5" spans="1:10" x14ac:dyDescent="0.2">
      <c r="A5">
        <v>634.52002863968278</v>
      </c>
      <c r="B5">
        <v>549.70057488328575</v>
      </c>
      <c r="C5">
        <v>517.37087420758678</v>
      </c>
      <c r="D5">
        <v>475.77997425585295</v>
      </c>
      <c r="E5">
        <v>375.77129584518957</v>
      </c>
      <c r="F5">
        <v>213.06928004942472</v>
      </c>
      <c r="I5" s="27">
        <v>44586.425484270832</v>
      </c>
    </row>
    <row r="6" spans="1:10" x14ac:dyDescent="0.2">
      <c r="A6">
        <v>645.25936110737257</v>
      </c>
      <c r="B6">
        <v>558.91735520071563</v>
      </c>
      <c r="C6">
        <v>527.14356543934502</v>
      </c>
      <c r="D6">
        <v>496.00356623194085</v>
      </c>
      <c r="E6">
        <v>345.31702971841537</v>
      </c>
      <c r="F6">
        <v>183.60820022434487</v>
      </c>
      <c r="I6" s="27">
        <v>44590.438710162038</v>
      </c>
    </row>
    <row r="7" spans="1:10" x14ac:dyDescent="0.2">
      <c r="A7">
        <v>633.09289364157871</v>
      </c>
      <c r="B7">
        <v>587.72853063557557</v>
      </c>
      <c r="C7">
        <v>527.76958705519121</v>
      </c>
      <c r="D7">
        <v>407.0911769046852</v>
      </c>
      <c r="E7">
        <v>335.34422550718006</v>
      </c>
      <c r="F7">
        <v>219.42824418387755</v>
      </c>
      <c r="I7" s="28">
        <v>44597.565972222219</v>
      </c>
    </row>
    <row r="8" spans="1:10" x14ac:dyDescent="0.2">
      <c r="A8">
        <v>626.35459500935201</v>
      </c>
    </row>
    <row r="9" spans="1:10" x14ac:dyDescent="0.2">
      <c r="A9">
        <v>637.21557555415018</v>
      </c>
    </row>
    <row r="10" spans="1:10" x14ac:dyDescent="0.2">
      <c r="A10">
        <v>633.00977323450718</v>
      </c>
    </row>
    <row r="11" spans="1:10" x14ac:dyDescent="0.2">
      <c r="A11">
        <v>648.43844261910783</v>
      </c>
    </row>
    <row r="12" spans="1:10" x14ac:dyDescent="0.2">
      <c r="A12">
        <v>644.08690552833855</v>
      </c>
    </row>
    <row r="13" spans="1:10" x14ac:dyDescent="0.2">
      <c r="A13">
        <f>AVERAGE(A2:A12)</f>
        <v>633.93805502375949</v>
      </c>
      <c r="B13">
        <f t="shared" ref="B13:F13" si="0">AVERAGE(B2:B12)</f>
        <v>546.35917997156366</v>
      </c>
      <c r="C13">
        <f t="shared" si="0"/>
        <v>514.24732854014007</v>
      </c>
      <c r="D13">
        <f t="shared" si="0"/>
        <v>458.43221273619059</v>
      </c>
      <c r="E13">
        <f t="shared" si="0"/>
        <v>329.15039177669343</v>
      </c>
      <c r="F13">
        <f t="shared" si="0"/>
        <v>200.50502441811307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SampleMeasurements</vt:lpstr>
      <vt:lpstr>Sheet2</vt:lpstr>
      <vt:lpstr>CH4_std_curves</vt:lpstr>
      <vt:lpstr>CO2_std_curves</vt:lpstr>
      <vt:lpstr>SampleList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Jiawen Li</cp:lastModifiedBy>
  <dcterms:created xsi:type="dcterms:W3CDTF">2021-05-10T01:36:15Z</dcterms:created>
  <dcterms:modified xsi:type="dcterms:W3CDTF">2023-06-05T01:06:26Z</dcterms:modified>
</cp:coreProperties>
</file>