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esults" sheetId="1" r:id="rId4"/>
    <sheet state="visible" name="combinatorial_Ash" sheetId="2" r:id="rId5"/>
    <sheet state="visible" name="fractionation_factors_Li" sheetId="3" r:id="rId6"/>
    <sheet state="visible" name="Water_Dartmouth" sheetId="4" r:id="rId7"/>
    <sheet state="visible" name="MeOH_Dartmouth" sheetId="5" r:id="rId8"/>
  </sheets>
  <definedNames/>
  <calcPr/>
  <extLst>
    <ext uri="GoogleSheetsCustomDataVersion2">
      <go:sheetsCustomData xmlns:go="http://customooxmlschemas.google.com/" r:id="rId9" roundtripDataChecksum="qZYJzQjvEqQsInf98uSqhqfdPIVEYC8jfP8yb+sS71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7">
      <text>
        <t xml:space="preserve">======
ID#AAAA_UhVzzw
Wil Leavitt    (2023-11-01 17:25:00)
@mia.l.thompson.gr@dartmouth.edu can you add the Gonzalez data plz.
_Assigned to Mia Thompson_</t>
      </text>
    </comment>
    <comment authorId="0" ref="A34">
      <text>
        <t xml:space="preserve">======
ID#AAAA5exSn6E
Wil Leavitt    (2023-09-18 14:18:07)
@jiawen.li.gr@dartmouth.edu can you add the values from Sarah Marcum to this from the Dartmouth 2022 spiked experiments (but make a NOTE on them that we may or may not use, depending on whether we can resolve the source of the mixing.
_Assigned to Jiawen Li_</t>
      </text>
    </comment>
  </commentList>
  <extLst>
    <ext uri="GoogleSheetsCustomDataVersion2">
      <go:sheetsCustomData xmlns:go="http://customooxmlschemas.google.com/" r:id="rId1" roundtripDataSignature="AMtx7mix7pflByN7xgQfrYZVBm8wmY4s+w=="/>
    </ext>
  </extLst>
</comments>
</file>

<file path=xl/sharedStrings.xml><?xml version="1.0" encoding="utf-8"?>
<sst xmlns="http://schemas.openxmlformats.org/spreadsheetml/2006/main" count="732" uniqueCount="220">
  <si>
    <t>TABLE TWO- METHANE CULTURE EXPERIMENT RESULTS</t>
  </si>
  <si>
    <t>Strain</t>
  </si>
  <si>
    <t>Reference</t>
  </si>
  <si>
    <t>Data Author (experiments/measurement)</t>
  </si>
  <si>
    <t>𝜹D_H2O</t>
  </si>
  <si>
    <t>Substrate</t>
  </si>
  <si>
    <t>T °C</t>
  </si>
  <si>
    <t>𝜹13C_CH4</t>
  </si>
  <si>
    <t>+/-*</t>
  </si>
  <si>
    <t>𝜹D_CH4</t>
  </si>
  <si>
    <t>Δ13CH3D</t>
  </si>
  <si>
    <t>Δ12DH2D2</t>
  </si>
  <si>
    <t>Incubation hours</t>
  </si>
  <si>
    <t xml:space="preserve"> total CH4 (umol)**</t>
  </si>
  <si>
    <t>CH4 production rate (mg CH4 hr -1 ml media -1)</t>
  </si>
  <si>
    <t>Rice/Radbound</t>
  </si>
  <si>
    <t>Methanomassiliicoccus luminyensis</t>
  </si>
  <si>
    <t xml:space="preserve">this study LL </t>
  </si>
  <si>
    <t>Jeanine Ash^2</t>
  </si>
  <si>
    <t>MeOH + H2</t>
  </si>
  <si>
    <t>37 °C</t>
  </si>
  <si>
    <t>this study KK</t>
  </si>
  <si>
    <t>this study II</t>
  </si>
  <si>
    <t>TMA + H2</t>
  </si>
  <si>
    <t>this study HH</t>
  </si>
  <si>
    <t>this study QQ</t>
  </si>
  <si>
    <t xml:space="preserve">Methermicoccus shengliensis </t>
  </si>
  <si>
    <t>this study D</t>
  </si>
  <si>
    <t>MeOH</t>
  </si>
  <si>
    <t>65 °C</t>
  </si>
  <si>
    <t>this study E</t>
  </si>
  <si>
    <t>this study F</t>
  </si>
  <si>
    <t>this study K</t>
  </si>
  <si>
    <t>TMB</t>
  </si>
  <si>
    <t>Methanosarcina mazei</t>
  </si>
  <si>
    <t>this study H</t>
  </si>
  <si>
    <t>CO2 + H2</t>
  </si>
  <si>
    <t>39 °C</t>
  </si>
  <si>
    <t>this study OO</t>
  </si>
  <si>
    <t>this study NN</t>
  </si>
  <si>
    <t>this study EE</t>
  </si>
  <si>
    <t>TMA</t>
  </si>
  <si>
    <t>Rice/Radbound rate experiments</t>
  </si>
  <si>
    <t>this study R</t>
  </si>
  <si>
    <t>Jeanine Ash</t>
  </si>
  <si>
    <t>dilute MeOH + H2</t>
  </si>
  <si>
    <t>this study V</t>
  </si>
  <si>
    <t>this study U</t>
  </si>
  <si>
    <t>dilute TMA + H2</t>
  </si>
  <si>
    <t>this study Y</t>
  </si>
  <si>
    <t>this study B</t>
  </si>
  <si>
    <t>dilute MeOH</t>
  </si>
  <si>
    <t>this study C</t>
  </si>
  <si>
    <t>this study M</t>
  </si>
  <si>
    <t>dilute TMB</t>
  </si>
  <si>
    <t>Dartmouth, substrate</t>
  </si>
  <si>
    <t>Methanosarcina barkeri</t>
  </si>
  <si>
    <t>this study</t>
  </si>
  <si>
    <t>Alec Cobban and Jiawen Li</t>
  </si>
  <si>
    <t>H2+CO2</t>
  </si>
  <si>
    <t>35 °C</t>
  </si>
  <si>
    <t>92 days</t>
  </si>
  <si>
    <t>Alec Cobban and Wil Leavitt</t>
  </si>
  <si>
    <t>Acetate</t>
  </si>
  <si>
    <t>Dartmouth (water-spike/substrate)</t>
  </si>
  <si>
    <t>Previous work</t>
  </si>
  <si>
    <t xml:space="preserve"> [CH4] % </t>
  </si>
  <si>
    <t>Methanosarcina acetivorans</t>
  </si>
  <si>
    <t>Young et al., 2017 GCA</t>
  </si>
  <si>
    <t>30 °C</t>
  </si>
  <si>
    <t>n/r</t>
  </si>
  <si>
    <t>n/a</t>
  </si>
  <si>
    <t>Methanosarcina acetivorans replicate</t>
  </si>
  <si>
    <t>Methanococcus thermolithotrophicus</t>
  </si>
  <si>
    <t>CO2/H2</t>
  </si>
  <si>
    <t>Methanococcus aeolicus</t>
  </si>
  <si>
    <t>Guinta et al., 2019 GCA</t>
  </si>
  <si>
    <t>46 °C</t>
  </si>
  <si>
    <t>Douglas et al., 2020 GRL</t>
  </si>
  <si>
    <t>28 °C</t>
  </si>
  <si>
    <t>4.8 E -03</t>
  </si>
  <si>
    <t>5.0 E -03</t>
  </si>
  <si>
    <t>3.3 E -03</t>
  </si>
  <si>
    <t>Methanosarcina maripaludis</t>
  </si>
  <si>
    <t>Young et al., 2017 GCA (from USC?)</t>
  </si>
  <si>
    <t>Environmental enrichment</t>
  </si>
  <si>
    <t xml:space="preserve">Gonzalez et al., 2019 </t>
  </si>
  <si>
    <t>Acetate???</t>
  </si>
  <si>
    <t>???</t>
  </si>
  <si>
    <t>*reported are 1σ internal precisions</t>
  </si>
  <si>
    <t>Temperature calculator - insert T, look for match</t>
  </si>
  <si>
    <t>**calculated from the average of two back to back GC injections</t>
  </si>
  <si>
    <r>
      <rPr>
        <rFont val="Verdana"/>
        <b/>
        <color theme="1"/>
        <sz val="10.0"/>
      </rPr>
      <t>T</t>
    </r>
    <r>
      <rPr>
        <rFont val="Verdana"/>
        <b/>
        <color theme="1"/>
        <sz val="10.0"/>
        <vertAlign val="superscript"/>
      </rPr>
      <t>o</t>
    </r>
    <r>
      <rPr>
        <rFont val="Verdana"/>
        <b/>
        <color theme="1"/>
        <sz val="10.0"/>
      </rPr>
      <t>C</t>
    </r>
  </si>
  <si>
    <t>TK</t>
  </si>
  <si>
    <t>1/TK</t>
  </si>
  <si>
    <r>
      <rPr>
        <rFont val="Verdana"/>
        <b/>
        <color theme="1"/>
        <sz val="10.0"/>
      </rPr>
      <t>K</t>
    </r>
    <r>
      <rPr>
        <rFont val="Verdana"/>
        <b/>
        <color theme="1"/>
        <sz val="10.0"/>
        <vertAlign val="subscript"/>
      </rPr>
      <t>eq</t>
    </r>
    <r>
      <rPr>
        <rFont val="Verdana"/>
        <b/>
        <color theme="1"/>
        <sz val="10.0"/>
      </rPr>
      <t xml:space="preserve"> </t>
    </r>
    <r>
      <rPr>
        <rFont val="Verdana"/>
        <b/>
        <color theme="1"/>
        <sz val="10.0"/>
        <vertAlign val="superscript"/>
      </rPr>
      <t>13</t>
    </r>
    <r>
      <rPr>
        <rFont val="Verdana"/>
        <b/>
        <color theme="1"/>
        <sz val="10.0"/>
      </rPr>
      <t>CDH</t>
    </r>
    <r>
      <rPr>
        <rFont val="Verdana"/>
        <b/>
        <color theme="1"/>
        <sz val="10.0"/>
        <vertAlign val="subscript"/>
      </rPr>
      <t xml:space="preserve">3 </t>
    </r>
    <r>
      <rPr>
        <rFont val="Verdana"/>
        <b/>
        <color theme="1"/>
        <sz val="10.0"/>
      </rPr>
      <t>FIT</t>
    </r>
  </si>
  <si>
    <r>
      <rPr>
        <rFont val="Verdana"/>
        <b/>
        <color theme="1"/>
        <sz val="10.0"/>
      </rPr>
      <t>10</t>
    </r>
    <r>
      <rPr>
        <rFont val="Verdana"/>
        <b/>
        <color theme="1"/>
        <sz val="10.0"/>
        <vertAlign val="superscript"/>
      </rPr>
      <t>3</t>
    </r>
    <r>
      <rPr>
        <rFont val="Verdana"/>
        <b/>
        <color theme="1"/>
        <sz val="10.0"/>
      </rPr>
      <t xml:space="preserve"> ln(</t>
    </r>
    <r>
      <rPr>
        <rFont val="Symbol"/>
        <b/>
        <color theme="1"/>
        <sz val="10.0"/>
      </rPr>
      <t>a</t>
    </r>
    <r>
      <rPr>
        <rFont val="Verdana"/>
        <b/>
        <color theme="1"/>
        <sz val="10.0"/>
      </rPr>
      <t xml:space="preserve"> </t>
    </r>
    <r>
      <rPr>
        <rFont val="Verdana"/>
        <b/>
        <color theme="1"/>
        <sz val="10.0"/>
        <vertAlign val="superscript"/>
      </rPr>
      <t>13</t>
    </r>
    <r>
      <rPr>
        <rFont val="Verdana"/>
        <b/>
        <color theme="1"/>
        <sz val="10.0"/>
      </rPr>
      <t>CDH</t>
    </r>
    <r>
      <rPr>
        <rFont val="Verdana"/>
        <b/>
        <color theme="1"/>
        <sz val="10.0"/>
        <vertAlign val="subscript"/>
      </rPr>
      <t>3</t>
    </r>
    <r>
      <rPr>
        <rFont val="Verdana"/>
        <b/>
        <color theme="1"/>
        <sz val="10.0"/>
      </rPr>
      <t>)</t>
    </r>
  </si>
  <si>
    <r>
      <rPr>
        <rFont val="Verdana"/>
        <b/>
        <color theme="1"/>
        <sz val="10.0"/>
      </rPr>
      <t>K</t>
    </r>
    <r>
      <rPr>
        <rFont val="Verdana"/>
        <b/>
        <color theme="1"/>
        <sz val="10.0"/>
        <vertAlign val="subscript"/>
      </rPr>
      <t>eq</t>
    </r>
    <r>
      <rPr>
        <rFont val="Verdana"/>
        <b/>
        <color theme="1"/>
        <sz val="10.0"/>
      </rPr>
      <t xml:space="preserve"> </t>
    </r>
    <r>
      <rPr>
        <rFont val="Verdana"/>
        <b/>
        <color theme="1"/>
        <sz val="10.0"/>
        <vertAlign val="superscript"/>
      </rPr>
      <t>12</t>
    </r>
    <r>
      <rPr>
        <rFont val="Verdana"/>
        <b/>
        <color theme="1"/>
        <sz val="10.0"/>
      </rPr>
      <t>CH</t>
    </r>
    <r>
      <rPr>
        <rFont val="Verdana"/>
        <b/>
        <color theme="1"/>
        <sz val="10.0"/>
        <vertAlign val="subscript"/>
      </rPr>
      <t>2</t>
    </r>
    <r>
      <rPr>
        <rFont val="Verdana"/>
        <b/>
        <color theme="1"/>
        <sz val="10.0"/>
      </rPr>
      <t>D</t>
    </r>
    <r>
      <rPr>
        <rFont val="Verdana"/>
        <b/>
        <color theme="1"/>
        <sz val="10.0"/>
        <vertAlign val="subscript"/>
      </rPr>
      <t xml:space="preserve">2 </t>
    </r>
    <r>
      <rPr>
        <rFont val="Verdana"/>
        <b/>
        <color theme="1"/>
        <sz val="10.0"/>
      </rPr>
      <t>FIT</t>
    </r>
  </si>
  <si>
    <r>
      <rPr>
        <rFont val="Verdana"/>
        <b/>
        <color theme="1"/>
        <sz val="10.0"/>
      </rPr>
      <t>10</t>
    </r>
    <r>
      <rPr>
        <rFont val="Verdana"/>
        <b/>
        <color theme="1"/>
        <sz val="10.0"/>
        <vertAlign val="superscript"/>
      </rPr>
      <t>3</t>
    </r>
    <r>
      <rPr>
        <rFont val="Verdana"/>
        <b/>
        <color theme="1"/>
        <sz val="10.0"/>
      </rPr>
      <t xml:space="preserve"> ln(</t>
    </r>
    <r>
      <rPr>
        <rFont val="Symbol"/>
        <b/>
        <color theme="1"/>
        <sz val="10.0"/>
      </rPr>
      <t>a</t>
    </r>
    <r>
      <rPr>
        <rFont val="Verdana"/>
        <b/>
        <color theme="1"/>
        <sz val="10.0"/>
      </rPr>
      <t xml:space="preserve"> </t>
    </r>
    <r>
      <rPr>
        <rFont val="Verdana"/>
        <b/>
        <color theme="1"/>
        <sz val="10.0"/>
        <vertAlign val="superscript"/>
      </rPr>
      <t>12</t>
    </r>
    <r>
      <rPr>
        <rFont val="Verdana"/>
        <b/>
        <color theme="1"/>
        <sz val="10.0"/>
      </rPr>
      <t>CH</t>
    </r>
    <r>
      <rPr>
        <rFont val="Verdana"/>
        <b/>
        <color theme="1"/>
        <sz val="10.0"/>
        <vertAlign val="subscript"/>
      </rPr>
      <t>2</t>
    </r>
    <r>
      <rPr>
        <rFont val="Verdana"/>
        <b/>
        <color theme="1"/>
        <sz val="10.0"/>
      </rPr>
      <t>D</t>
    </r>
    <r>
      <rPr>
        <rFont val="Verdana"/>
        <b/>
        <color theme="1"/>
        <sz val="10.0"/>
        <vertAlign val="subscript"/>
      </rPr>
      <t>2</t>
    </r>
    <r>
      <rPr>
        <rFont val="Verdana"/>
        <b/>
        <color theme="1"/>
        <sz val="10.0"/>
      </rPr>
      <t>)</t>
    </r>
  </si>
  <si>
    <t>***calculated as an average over the total incubation length</t>
  </si>
  <si>
    <t>TABLE THREE: SUBSTRATE ISOTOPE COMPOSITIONS</t>
  </si>
  <si>
    <t>𝜹13C_PDB</t>
  </si>
  <si>
    <t>+/- 1σ</t>
  </si>
  <si>
    <t>𝜹D_VSMOW</t>
  </si>
  <si>
    <t>𝜹18O_VSMOW</t>
  </si>
  <si>
    <t>measurement details</t>
  </si>
  <si>
    <t>Lab water, Dartmouth</t>
  </si>
  <si>
    <t>errors are presented as 1 stdev of the four measurements</t>
  </si>
  <si>
    <t>Spiked water 1, Dartmouth</t>
  </si>
  <si>
    <t>Spiked water 2, Dartmouth</t>
  </si>
  <si>
    <t>Water, Radbound</t>
  </si>
  <si>
    <t>n = 12, 4 types of water were analyzed from multiple sources in the microbiology facilities at Radboud  (tap (1); distilled (2); and milli-q (2)) and were all within 1 standard deviation</t>
  </si>
  <si>
    <t>MeOH 2.5M</t>
  </si>
  <si>
    <t>n/a`</t>
  </si>
  <si>
    <t>n=2</t>
  </si>
  <si>
    <t>TMA 2.5M</t>
  </si>
  <si>
    <t>n=3</t>
  </si>
  <si>
    <t>TMB 0.5M</t>
  </si>
  <si>
    <t>n=1, error calculated from 5 repeated measurements of stearic acid during hydrogen isotope runs and 2 repeated measurements of USGS40 during carbon isotope runs</t>
  </si>
  <si>
    <t>MeOH, Dartmouth</t>
  </si>
  <si>
    <t>Measured by Daniel Stolper</t>
  </si>
  <si>
    <t>Sodium acetate, Dartmouth</t>
  </si>
  <si>
    <t>TABLE 3: IMPLIED 𝛂 VALUES</t>
  </si>
  <si>
    <t>Methanogen</t>
  </si>
  <si>
    <t>Pathway</t>
  </si>
  <si>
    <t>𝛂_CH3/CH4</t>
  </si>
  <si>
    <t>𝛂_H20/CH4</t>
  </si>
  <si>
    <t>Methylotrophy</t>
  </si>
  <si>
    <t>Methoxydotrophy</t>
  </si>
  <si>
    <t>Experiment</t>
  </si>
  <si>
    <t>𝛂_CH3/CH4*</t>
  </si>
  <si>
    <t>𝛂_H20/CH4&amp;</t>
  </si>
  <si>
    <t>𝛂_DD/𝛂_D^2+</t>
  </si>
  <si>
    <t>𝛂_CH3_stochastic/CH3%</t>
  </si>
  <si>
    <t>Water+MeOH</t>
  </si>
  <si>
    <t>Average Methanosarcina mazei on MeOH</t>
  </si>
  <si>
    <t>Water+TMA</t>
  </si>
  <si>
    <t>Methanosarcina mazei on TMA</t>
  </si>
  <si>
    <t>Water+TMB</t>
  </si>
  <si>
    <t>Methermicoccus shengliensis on TMB</t>
  </si>
  <si>
    <t>*calculated effective alpha between substrate and methane from incubations</t>
  </si>
  <si>
    <t xml:space="preserve">&amp;calculated effective alpha between water and methane from incubations, assumes that only 1 hydrogen is replaced </t>
  </si>
  <si>
    <t>=+FIGURE OUT WHAT TO SAY HERE</t>
  </si>
  <si>
    <t xml:space="preserve">%correction factor to D13CH3D, posits that CH3 is not stochastically distributed </t>
  </si>
  <si>
    <t>TABLE TWO: SUBSTRATE ISOTOPE COMPOSITIONS</t>
  </si>
  <si>
    <t>+/-</t>
  </si>
  <si>
    <t>R</t>
  </si>
  <si>
    <t>+/- 2σ</t>
  </si>
  <si>
    <t>Water</t>
  </si>
  <si>
    <t>my way</t>
  </si>
  <si>
    <t>lina's way</t>
  </si>
  <si>
    <t>epsilon</t>
  </si>
  <si>
    <t>average</t>
  </si>
  <si>
    <t>dD_H2O+1000</t>
  </si>
  <si>
    <t>2sig</t>
  </si>
  <si>
    <t>dD_CH4+1000</t>
  </si>
  <si>
    <t>H2/CO2</t>
  </si>
  <si>
    <t>alpha CH4_H2O</t>
  </si>
  <si>
    <t>slope</t>
  </si>
  <si>
    <t>1sig</t>
  </si>
  <si>
    <t>intercept</t>
  </si>
  <si>
    <t>alpha13C CH4_CH3</t>
  </si>
  <si>
    <t/>
  </si>
  <si>
    <t>DILUTION DETAILS (preparation for measurement)</t>
  </si>
  <si>
    <t>Intended volumes for dilutions based on estimations of d2H sample and standards</t>
  </si>
  <si>
    <t>Actual (measured) masses of sample and standards used for dilution</t>
  </si>
  <si>
    <t>0.0001 g error for mass measurment, and 0.2 error for standard dD</t>
  </si>
  <si>
    <t>Sample_name</t>
  </si>
  <si>
    <t>Measured d2H v SMOW</t>
  </si>
  <si>
    <t>Measurement StdErr</t>
  </si>
  <si>
    <t>Sample diluted for measurement? Y/N</t>
  </si>
  <si>
    <t>Estimated d2H sample (undiluted)</t>
  </si>
  <si>
    <t>Amount of sample (mL)</t>
  </si>
  <si>
    <t>Standard used for dilution</t>
  </si>
  <si>
    <t>Estimated d2H Standard</t>
  </si>
  <si>
    <t>Amount of Standard (mL)</t>
  </si>
  <si>
    <t>Estimated d2H Diluted Sample</t>
  </si>
  <si>
    <t>Ampule of X. Feng's standard used</t>
  </si>
  <si>
    <t>Empty tube (g)</t>
  </si>
  <si>
    <t>Tube + std water (g)</t>
  </si>
  <si>
    <t>Tube + std water + sample (g)</t>
  </si>
  <si>
    <t>Actual amount of sample (g)</t>
  </si>
  <si>
    <t>Actual amount of standard (g)</t>
  </si>
  <si>
    <t>dD of water</t>
  </si>
  <si>
    <t>std err</t>
  </si>
  <si>
    <t>stdev</t>
  </si>
  <si>
    <t>2020-02-28_3000‰_HS</t>
  </si>
  <si>
    <t>Y</t>
  </si>
  <si>
    <t>SPI</t>
  </si>
  <si>
    <t>SPI-15</t>
  </si>
  <si>
    <t>2020-06-09_barkeriCombi_049_3000‰_H2/CO2</t>
  </si>
  <si>
    <t>2020-06-09_barkeriCombi_050_3000‰_MeOH</t>
  </si>
  <si>
    <t>2020-06-09_barkeriCombi_051_3000‰_Acetate</t>
  </si>
  <si>
    <t>2020-02-28_9000‰_HS</t>
  </si>
  <si>
    <t>SPI-14</t>
  </si>
  <si>
    <t>2020-06-09_barkeriCombi_052_9000‰_H2/CO2</t>
  </si>
  <si>
    <t>2020-06-09_barkeriCombi_053_9000‰_MeOH</t>
  </si>
  <si>
    <t>SPI-16</t>
  </si>
  <si>
    <t>2020-06-09_barkeriCombi_054_9000‰_Acetate</t>
  </si>
  <si>
    <t>2020-06-09_barkeriCombi_046_-50‰_H2/CO2</t>
  </si>
  <si>
    <t>N</t>
  </si>
  <si>
    <t>2020-02-28_-50‰_HS</t>
  </si>
  <si>
    <t>2020-06-09_barkeriCombi_047_-50‰_MeOH</t>
  </si>
  <si>
    <t>2020-06-09_barkeriCombi_048_-50‰_Acetate</t>
  </si>
  <si>
    <t>Info</t>
  </si>
  <si>
    <t>Calculated data</t>
  </si>
  <si>
    <t>num</t>
  </si>
  <si>
    <t>date</t>
  </si>
  <si>
    <t>ref gas ID</t>
  </si>
  <si>
    <t>sample ID</t>
  </si>
  <si>
    <t>dD_vsmow</t>
  </si>
  <si>
    <t>dD_std_error</t>
  </si>
  <si>
    <t>d13C_vpdb</t>
  </si>
  <si>
    <t>d13C_std_error</t>
  </si>
  <si>
    <t>D13CH2D_thermodynamic reference frame</t>
  </si>
  <si>
    <t>D13CD_std_error</t>
  </si>
  <si>
    <t>DD2_thermodynamic reference frame</t>
  </si>
  <si>
    <t>DD2_std_error</t>
  </si>
  <si>
    <t>CIT_CH3CL_2</t>
  </si>
  <si>
    <t>Leavitt-MeOH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</si>
</sst>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0.000"/>
    <numFmt numFmtId="166" formatCode="0.0000000"/>
    <numFmt numFmtId="167" formatCode="0.000000000000"/>
    <numFmt numFmtId="168" formatCode="0.00000000000"/>
    <numFmt numFmtId="169" formatCode="#,##0.0000000"/>
    <numFmt numFmtId="170" formatCode="m/d/yy"/>
  </numFmts>
  <fonts count="24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i/>
      <sz val="12.0"/>
      <color theme="1"/>
      <name val="Times New Roman"/>
    </font>
    <font>
      <sz val="12.0"/>
      <color theme="1"/>
      <name val="Times New Roman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  <scheme val="minor"/>
    </font>
    <font>
      <i/>
      <sz val="12.0"/>
      <color theme="1"/>
      <name val="Calibri"/>
    </font>
    <font>
      <b/>
      <sz val="12.0"/>
      <color theme="1"/>
      <name val="Times New Roman"/>
    </font>
    <font>
      <b/>
      <sz val="10.0"/>
      <color theme="1"/>
      <name val="Verdana"/>
    </font>
    <font>
      <sz val="11.0"/>
      <color rgb="FF000000"/>
      <name val="Calibri"/>
    </font>
    <font>
      <b/>
      <i/>
      <sz val="12.0"/>
      <color theme="1"/>
      <name val="Times New Roman"/>
    </font>
    <font>
      <color rgb="FF000000"/>
      <name val="Calibri"/>
    </font>
    <font>
      <sz val="11.0"/>
      <color rgb="FF000000"/>
      <name val="Monospace"/>
    </font>
    <font>
      <sz val="11.0"/>
      <color rgb="FF000000"/>
      <name val="Arial"/>
    </font>
    <font>
      <color rgb="FF000000"/>
      <name val="Arial"/>
    </font>
    <font>
      <b/>
      <sz val="12.0"/>
      <color rgb="FF000000"/>
      <name val="Calibri"/>
    </font>
    <font/>
    <font>
      <b/>
      <color rgb="FF000000"/>
      <name val="Calibri"/>
    </font>
    <font>
      <b/>
      <color rgb="FF000000"/>
      <name val="Arial"/>
    </font>
    <font>
      <b/>
      <sz val="13.0"/>
      <color rgb="FF44546A"/>
      <name val="Calibri"/>
    </font>
    <font>
      <b/>
      <sz val="11.0"/>
      <color rgb="FF44546A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D9F1"/>
        <bgColor rgb="FFC5D9F1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5B9BD5"/>
      </bottom>
    </border>
    <border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0" xfId="0" applyFont="1"/>
    <xf borderId="0" fillId="0" fontId="6" numFmtId="165" xfId="0" applyFont="1" applyNumberFormat="1"/>
    <xf borderId="0" fillId="0" fontId="7" numFmtId="165" xfId="0" applyFont="1" applyNumberFormat="1"/>
    <xf borderId="0" fillId="0" fontId="6" numFmtId="1" xfId="0" applyFont="1" applyNumberFormat="1"/>
    <xf borderId="0" fillId="0" fontId="6" numFmtId="11" xfId="0" applyFont="1" applyNumberFormat="1"/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6" numFmtId="0" xfId="0" applyFont="1"/>
    <xf borderId="0" fillId="0" fontId="8" numFmtId="164" xfId="0" applyFont="1" applyNumberFormat="1"/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6" numFmtId="1" xfId="0" applyAlignment="1" applyFont="1" applyNumberFormat="1">
      <alignment horizontal="right" readingOrder="0"/>
    </xf>
    <xf borderId="0" fillId="0" fontId="6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8" numFmtId="1" xfId="0" applyAlignment="1" applyFont="1" applyNumberFormat="1">
      <alignment readingOrder="0"/>
    </xf>
    <xf borderId="0" fillId="0" fontId="10" numFmtId="0" xfId="0" applyAlignment="1" applyFont="1">
      <alignment shrinkToFit="0" vertical="center" wrapText="1"/>
    </xf>
    <xf borderId="0" fillId="0" fontId="1" numFmtId="165" xfId="0" applyFont="1" applyNumberFormat="1"/>
    <xf borderId="0" fillId="0" fontId="1" numFmtId="1" xfId="0" applyFont="1" applyNumberFormat="1"/>
    <xf borderId="0" fillId="0" fontId="6" numFmtId="164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  <xf borderId="0" fillId="0" fontId="6" numFmtId="0" xfId="0" applyAlignment="1" applyFont="1">
      <alignment horizontal="right"/>
    </xf>
    <xf borderId="0" fillId="0" fontId="4" numFmtId="0" xfId="0" applyAlignment="1" applyFont="1">
      <alignment readingOrder="0" shrinkToFit="0" vertical="center" wrapText="1"/>
    </xf>
    <xf borderId="0" fillId="2" fontId="6" numFmtId="0" xfId="0" applyAlignment="1" applyFont="1">
      <alignment readingOrder="0"/>
    </xf>
    <xf borderId="0" fillId="2" fontId="6" numFmtId="165" xfId="0" applyFont="1" applyNumberFormat="1"/>
    <xf borderId="0" fillId="2" fontId="6" numFmtId="0" xfId="0" applyFont="1"/>
    <xf borderId="0" fillId="2" fontId="8" numFmtId="0" xfId="0" applyFont="1"/>
    <xf borderId="1" fillId="0" fontId="11" numFmtId="0" xfId="0" applyBorder="1" applyFont="1"/>
    <xf borderId="2" fillId="0" fontId="11" numFmtId="0" xfId="0" applyBorder="1" applyFont="1"/>
    <xf borderId="2" fillId="0" fontId="11" numFmtId="0" xfId="0" applyAlignment="1" applyBorder="1" applyFont="1">
      <alignment horizontal="center"/>
    </xf>
    <xf borderId="3" fillId="0" fontId="11" numFmtId="0" xfId="0" applyBorder="1" applyFont="1"/>
    <xf borderId="4" fillId="3" fontId="6" numFmtId="0" xfId="0" applyBorder="1" applyFill="1" applyFont="1"/>
    <xf borderId="5" fillId="0" fontId="6" numFmtId="0" xfId="0" applyBorder="1" applyFont="1"/>
    <xf borderId="5" fillId="0" fontId="6" numFmtId="166" xfId="0" applyBorder="1" applyFont="1" applyNumberFormat="1"/>
    <xf borderId="5" fillId="0" fontId="11" numFmtId="0" xfId="0" applyBorder="1" applyFont="1"/>
    <xf borderId="6" fillId="0" fontId="11" numFmtId="0" xfId="0" applyBorder="1" applyFont="1"/>
    <xf quotePrefix="1" borderId="0" fillId="0" fontId="1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6" numFmtId="0" xfId="0" applyFont="1"/>
    <xf borderId="0" fillId="0" fontId="5" numFmtId="0" xfId="0" applyFont="1"/>
    <xf borderId="0" fillId="0" fontId="6" numFmtId="2" xfId="0" applyFont="1" applyNumberFormat="1"/>
    <xf borderId="0" fillId="0" fontId="12" numFmtId="0" xfId="0" applyAlignment="1" applyFont="1">
      <alignment horizontal="right" readingOrder="0" shrinkToFit="0" vertical="bottom" wrapText="0"/>
    </xf>
    <xf borderId="0" fillId="0" fontId="6" numFmtId="167" xfId="0" applyFont="1" applyNumberFormat="1"/>
    <xf borderId="7" fillId="0" fontId="6" numFmtId="0" xfId="0" applyBorder="1" applyFont="1"/>
    <xf borderId="8" fillId="0" fontId="6" numFmtId="165" xfId="0" applyBorder="1" applyFont="1" applyNumberForma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1" fillId="0" fontId="6" numFmtId="165" xfId="0" applyBorder="1" applyFont="1" applyNumberFormat="1"/>
    <xf borderId="12" fillId="0" fontId="6" numFmtId="165" xfId="0" applyBorder="1" applyFont="1" applyNumberFormat="1"/>
    <xf borderId="10" fillId="0" fontId="6" numFmtId="0" xfId="0" applyAlignment="1" applyBorder="1" applyFont="1">
      <alignment shrinkToFit="0" vertical="center" wrapText="1"/>
    </xf>
    <xf borderId="11" fillId="0" fontId="6" numFmtId="164" xfId="0" applyBorder="1" applyFont="1" applyNumberFormat="1"/>
    <xf borderId="0" fillId="0" fontId="6" numFmtId="0" xfId="0" applyAlignment="1" applyFont="1">
      <alignment shrinkToFit="0" vertical="center" wrapText="1"/>
    </xf>
    <xf quotePrefix="1" borderId="0" fillId="0" fontId="6" numFmtId="0" xfId="0" applyFont="1"/>
    <xf borderId="0" fillId="0" fontId="6" numFmtId="168" xfId="0" applyFont="1" applyNumberFormat="1"/>
    <xf borderId="0" fillId="0" fontId="5" numFmtId="165" xfId="0" applyAlignment="1" applyFont="1" applyNumberFormat="1">
      <alignment horizontal="center"/>
    </xf>
    <xf borderId="8" fillId="0" fontId="6" numFmtId="165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horizontal="right" readingOrder="0" shrinkToFit="0" vertical="top" wrapText="0"/>
    </xf>
    <xf borderId="0" fillId="0" fontId="8" numFmtId="1" xfId="0" applyFont="1" applyNumberFormat="1"/>
    <xf borderId="0" fillId="0" fontId="12" numFmtId="164" xfId="0" applyAlignment="1" applyFont="1" applyNumberFormat="1">
      <alignment horizontal="right" readingOrder="0" shrinkToFit="0" vertical="bottom" wrapText="0"/>
    </xf>
    <xf borderId="0" fillId="4" fontId="15" numFmtId="0" xfId="0" applyAlignment="1" applyFill="1" applyFont="1">
      <alignment horizontal="left" readingOrder="0" shrinkToFit="0" wrapText="1"/>
    </xf>
    <xf borderId="0" fillId="4" fontId="16" numFmtId="0" xfId="0" applyAlignment="1" applyFont="1">
      <alignment horizontal="left" readingOrder="0" shrinkToFit="0" wrapText="1"/>
    </xf>
    <xf borderId="0" fillId="4" fontId="15" numFmtId="169" xfId="0" applyAlignment="1" applyFont="1" applyNumberFormat="1">
      <alignment horizontal="left" readingOrder="0" shrinkToFit="0" wrapText="1"/>
    </xf>
    <xf quotePrefix="1" borderId="0" fillId="0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horizontal="center" vertical="bottom"/>
    </xf>
    <xf borderId="1" fillId="5" fontId="18" numFmtId="0" xfId="0" applyAlignment="1" applyBorder="1" applyFill="1" applyFont="1">
      <alignment horizontal="center" readingOrder="0" vertical="bottom"/>
    </xf>
    <xf borderId="2" fillId="0" fontId="19" numFmtId="0" xfId="0" applyBorder="1" applyFont="1"/>
    <xf borderId="3" fillId="0" fontId="19" numFmtId="0" xfId="0" applyBorder="1" applyFont="1"/>
    <xf borderId="0" fillId="0" fontId="16" numFmtId="0" xfId="0" applyAlignment="1" applyFont="1">
      <alignment shrinkToFit="0" vertical="bottom" wrapText="0"/>
    </xf>
    <xf borderId="1" fillId="5" fontId="20" numFmtId="0" xfId="0" applyAlignment="1" applyBorder="1" applyFont="1">
      <alignment horizontal="center" readingOrder="0" vertical="bottom"/>
    </xf>
    <xf borderId="2" fillId="5" fontId="21" numFmtId="0" xfId="0" applyAlignment="1" applyBorder="1" applyFont="1">
      <alignment horizontal="center"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vertical="bottom"/>
    </xf>
    <xf borderId="13" fillId="5" fontId="20" numFmtId="0" xfId="0" applyAlignment="1" applyBorder="1" applyFont="1">
      <alignment readingOrder="0" vertical="bottom"/>
    </xf>
    <xf borderId="0" fillId="5" fontId="21" numFmtId="0" xfId="0" applyAlignment="1" applyFont="1">
      <alignment readingOrder="0" shrinkToFit="0" vertical="bottom" wrapText="0"/>
    </xf>
    <xf borderId="14" fillId="5" fontId="20" numFmtId="0" xfId="0" applyAlignment="1" applyBorder="1" applyFont="1">
      <alignment readingOrder="0" vertical="bottom"/>
    </xf>
    <xf borderId="0" fillId="5" fontId="21" numFmtId="0" xfId="0" applyAlignment="1" applyFont="1">
      <alignment readingOrder="0" vertical="bottom"/>
    </xf>
    <xf borderId="14" fillId="5" fontId="21" numFmtId="0" xfId="0" applyAlignment="1" applyBorder="1" applyFont="1">
      <alignment readingOrder="0" vertical="bottom"/>
    </xf>
    <xf borderId="0" fillId="0" fontId="1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13" fillId="5" fontId="7" numFmtId="0" xfId="0" applyAlignment="1" applyBorder="1" applyFont="1">
      <alignment horizontal="right" readingOrder="0" shrinkToFit="0" vertical="bottom" wrapText="0"/>
    </xf>
    <xf borderId="0" fillId="5" fontId="7" numFmtId="0" xfId="0" applyAlignment="1" applyFont="1">
      <alignment horizontal="right" readingOrder="0" shrinkToFit="0" vertical="bottom" wrapText="0"/>
    </xf>
    <xf borderId="0" fillId="5" fontId="17" numFmtId="0" xfId="0" applyAlignment="1" applyFont="1">
      <alignment readingOrder="0" shrinkToFit="0" vertical="bottom" wrapText="0"/>
    </xf>
    <xf borderId="14" fillId="5" fontId="7" numFmtId="0" xfId="0" applyAlignment="1" applyBorder="1" applyFont="1">
      <alignment horizontal="righ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14" fillId="5" fontId="17" numFmtId="0" xfId="0" applyAlignment="1" applyBorder="1" applyFont="1">
      <alignment horizontal="right" readingOrder="0" shrinkToFit="0" vertical="bottom" wrapText="0"/>
    </xf>
    <xf borderId="15" fillId="5" fontId="7" numFmtId="0" xfId="0" applyAlignment="1" applyBorder="1" applyFont="1">
      <alignment horizontal="right" readingOrder="0" shrinkToFit="0" vertical="bottom" wrapText="0"/>
    </xf>
    <xf borderId="5" fillId="5" fontId="7" numFmtId="0" xfId="0" applyAlignment="1" applyBorder="1" applyFont="1">
      <alignment horizontal="right" readingOrder="0" shrinkToFit="0" vertical="bottom" wrapText="0"/>
    </xf>
    <xf borderId="5" fillId="5" fontId="17" numFmtId="0" xfId="0" applyAlignment="1" applyBorder="1" applyFont="1">
      <alignment readingOrder="0" shrinkToFit="0" vertical="bottom" wrapText="0"/>
    </xf>
    <xf borderId="6" fillId="5" fontId="7" numFmtId="0" xfId="0" applyAlignment="1" applyBorder="1" applyFont="1">
      <alignment horizontal="right" readingOrder="0" shrinkToFit="0" vertical="bottom" wrapText="0"/>
    </xf>
    <xf borderId="5" fillId="5" fontId="17" numFmtId="0" xfId="0" applyAlignment="1" applyBorder="1" applyFont="1">
      <alignment horizontal="right" readingOrder="0" shrinkToFit="0" vertical="bottom" wrapText="0"/>
    </xf>
    <xf borderId="6" fillId="5" fontId="17" numFmtId="0" xfId="0" applyAlignment="1" applyBorder="1" applyFont="1">
      <alignment horizontal="right" readingOrder="0" shrinkToFit="0" vertical="bottom" wrapText="0"/>
    </xf>
    <xf borderId="0" fillId="4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16" fillId="0" fontId="22" numFmtId="0" xfId="0" applyAlignment="1" applyBorder="1" applyFont="1">
      <alignment horizontal="center" readingOrder="0" shrinkToFit="0" vertical="bottom" wrapText="0"/>
    </xf>
    <xf borderId="16" fillId="0" fontId="19" numFmtId="0" xfId="0" applyBorder="1" applyFont="1"/>
    <xf borderId="17" fillId="0" fontId="22" numFmtId="0" xfId="0" applyAlignment="1" applyBorder="1" applyFont="1">
      <alignment horizontal="center" readingOrder="0" shrinkToFit="0" vertical="bottom" wrapText="0"/>
    </xf>
    <xf borderId="17" fillId="0" fontId="19" numFmtId="0" xfId="0" applyBorder="1" applyFont="1"/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horizontal="center" readingOrder="0" shrinkToFit="0" vertical="bottom" wrapText="0"/>
    </xf>
    <xf borderId="0" fillId="0" fontId="12" numFmtId="170" xfId="0" applyAlignment="1" applyFont="1" applyNumberFormat="1">
      <alignment horizontal="right" readingOrder="0" shrinkToFit="0" vertical="bottom" wrapText="0"/>
    </xf>
    <xf borderId="0" fillId="2" fontId="1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67"/>
    <col customWidth="1" min="2" max="2" width="17.0"/>
    <col customWidth="1" min="3" max="3" width="26.89"/>
    <col customWidth="1" min="4" max="4" width="10.44"/>
    <col customWidth="1" min="5" max="5" width="15.67"/>
    <col customWidth="1" min="6" max="6" width="11.44"/>
    <col customWidth="1" min="7" max="7" width="11.0"/>
    <col customWidth="1" min="8" max="8" width="10.78"/>
    <col customWidth="1" min="9" max="9" width="14.78"/>
    <col customWidth="1" min="10" max="10" width="6.22"/>
    <col customWidth="1" min="11" max="14" width="10.56"/>
    <col customWidth="1" min="15" max="15" width="14.22"/>
    <col customWidth="1" min="16" max="16" width="16.11"/>
    <col customWidth="1" min="17" max="17" width="14.33"/>
    <col customWidth="1" min="18" max="18" width="12.56"/>
    <col customWidth="1" min="19" max="19" width="8.56"/>
    <col customWidth="1" min="20" max="28" width="10.56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1" t="s">
        <v>6</v>
      </c>
      <c r="G3" s="1" t="s">
        <v>7</v>
      </c>
      <c r="H3" s="3" t="s">
        <v>8</v>
      </c>
      <c r="I3" s="1" t="s">
        <v>9</v>
      </c>
      <c r="J3" s="3" t="s">
        <v>8</v>
      </c>
      <c r="K3" s="1" t="s">
        <v>10</v>
      </c>
      <c r="L3" s="3" t="s">
        <v>8</v>
      </c>
      <c r="M3" s="1" t="s">
        <v>11</v>
      </c>
      <c r="N3" s="3" t="s">
        <v>8</v>
      </c>
      <c r="O3" s="1" t="s">
        <v>12</v>
      </c>
      <c r="P3" s="1" t="s">
        <v>13</v>
      </c>
      <c r="Q3" s="1" t="s">
        <v>14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5.75" customHeight="1">
      <c r="A4" s="4" t="s">
        <v>15</v>
      </c>
      <c r="B4" s="5"/>
    </row>
    <row r="5" ht="15.75" customHeight="1">
      <c r="A5" s="6" t="s">
        <v>16</v>
      </c>
      <c r="B5" s="7" t="s">
        <v>17</v>
      </c>
      <c r="C5" s="8" t="s">
        <v>18</v>
      </c>
      <c r="D5" s="9">
        <v>-50.31618094422691</v>
      </c>
      <c r="E5" s="10" t="s">
        <v>19</v>
      </c>
      <c r="F5" s="10" t="s">
        <v>20</v>
      </c>
      <c r="G5" s="11">
        <v>-97.306869727</v>
      </c>
      <c r="H5" s="10">
        <v>0.005</v>
      </c>
      <c r="I5" s="11">
        <v>-271.38047976300004</v>
      </c>
      <c r="J5" s="10">
        <v>0.019</v>
      </c>
      <c r="K5" s="12">
        <v>-2.514</v>
      </c>
      <c r="L5" s="12">
        <v>0.151</v>
      </c>
      <c r="M5" s="11">
        <v>-44.85141768181844</v>
      </c>
      <c r="N5" s="11">
        <v>0.6215380512363566</v>
      </c>
      <c r="O5" s="13">
        <v>216.0</v>
      </c>
      <c r="P5" s="9">
        <v>1513.447275</v>
      </c>
      <c r="Q5" s="14">
        <v>0.0028234117575017446</v>
      </c>
      <c r="R5" s="10"/>
      <c r="S5" s="10"/>
    </row>
    <row r="6" ht="15.75" customHeight="1">
      <c r="A6" s="6" t="s">
        <v>16</v>
      </c>
      <c r="B6" s="7" t="s">
        <v>21</v>
      </c>
      <c r="C6" s="8" t="s">
        <v>18</v>
      </c>
      <c r="D6" s="9">
        <v>-50.31618094422691</v>
      </c>
      <c r="E6" s="10" t="s">
        <v>19</v>
      </c>
      <c r="F6" s="10" t="s">
        <v>20</v>
      </c>
      <c r="G6" s="11">
        <v>-97.95907054</v>
      </c>
      <c r="H6" s="10">
        <v>0.004</v>
      </c>
      <c r="I6" s="11">
        <v>-271.94500716299996</v>
      </c>
      <c r="J6" s="10">
        <v>0.014</v>
      </c>
      <c r="K6" s="12">
        <v>-2.145</v>
      </c>
      <c r="L6" s="12">
        <v>0.152</v>
      </c>
      <c r="M6" s="11">
        <v>-44.5026529788064</v>
      </c>
      <c r="N6" s="11">
        <v>0.579585949230208</v>
      </c>
      <c r="O6" s="13">
        <v>216.0</v>
      </c>
      <c r="P6" s="9">
        <v>1613.2606500000002</v>
      </c>
      <c r="Q6" s="14">
        <v>0.0030096186120027913</v>
      </c>
      <c r="R6" s="10"/>
      <c r="S6" s="10"/>
    </row>
    <row r="7" ht="15.75" customHeight="1">
      <c r="A7" s="6" t="s">
        <v>16</v>
      </c>
      <c r="B7" s="7" t="s">
        <v>22</v>
      </c>
      <c r="C7" s="8" t="s">
        <v>18</v>
      </c>
      <c r="D7" s="9">
        <v>-50.31618094422691</v>
      </c>
      <c r="E7" s="10" t="s">
        <v>23</v>
      </c>
      <c r="F7" s="10" t="s">
        <v>20</v>
      </c>
      <c r="G7" s="11">
        <v>-64.91069699500001</v>
      </c>
      <c r="H7" s="10">
        <v>0.003</v>
      </c>
      <c r="I7" s="11">
        <v>-358.99701400099997</v>
      </c>
      <c r="J7" s="10">
        <v>0.017</v>
      </c>
      <c r="K7" s="11">
        <v>-0.2564674578972026</v>
      </c>
      <c r="L7" s="11">
        <v>0.1250419653714074</v>
      </c>
      <c r="M7" s="11">
        <v>-17.85848690001435</v>
      </c>
      <c r="N7" s="11">
        <v>0.6358743893224996</v>
      </c>
      <c r="O7" s="13">
        <v>216.0</v>
      </c>
      <c r="P7" s="9">
        <v>1221.7017750000002</v>
      </c>
      <c r="Q7" s="14">
        <v>0.002271221195062587</v>
      </c>
      <c r="R7" s="10"/>
      <c r="S7" s="10"/>
    </row>
    <row r="8" ht="15.75" customHeight="1">
      <c r="A8" s="6" t="s">
        <v>16</v>
      </c>
      <c r="B8" s="7" t="s">
        <v>24</v>
      </c>
      <c r="C8" s="8" t="s">
        <v>18</v>
      </c>
      <c r="D8" s="9">
        <v>-50.31618094422691</v>
      </c>
      <c r="E8" s="10" t="s">
        <v>23</v>
      </c>
      <c r="F8" s="10" t="s">
        <v>20</v>
      </c>
      <c r="G8" s="11">
        <v>-69.638912047</v>
      </c>
      <c r="H8" s="10">
        <v>0.005</v>
      </c>
      <c r="I8" s="11">
        <v>-362.56200453199995</v>
      </c>
      <c r="J8" s="10">
        <v>0.029</v>
      </c>
      <c r="K8" s="11">
        <v>-0.4840230644559407</v>
      </c>
      <c r="L8" s="11">
        <v>0.2063001683790136</v>
      </c>
      <c r="M8" s="11">
        <v>-16.485557450146015</v>
      </c>
      <c r="N8" s="11">
        <v>1.0180587717007417</v>
      </c>
      <c r="O8" s="13">
        <v>216.0</v>
      </c>
      <c r="P8" s="9">
        <v>263.77515000000005</v>
      </c>
      <c r="Q8" s="14">
        <v>4.8969368125E-4</v>
      </c>
      <c r="R8" s="10"/>
      <c r="S8" s="10"/>
    </row>
    <row r="9" ht="15.75" customHeight="1">
      <c r="A9" s="6" t="s">
        <v>16</v>
      </c>
      <c r="B9" s="7" t="s">
        <v>25</v>
      </c>
      <c r="C9" s="8" t="s">
        <v>18</v>
      </c>
      <c r="D9" s="9">
        <v>-50.31618094422691</v>
      </c>
      <c r="E9" s="10" t="s">
        <v>23</v>
      </c>
      <c r="F9" s="10" t="s">
        <v>20</v>
      </c>
      <c r="G9" s="11">
        <v>-67.953016297</v>
      </c>
      <c r="H9" s="10">
        <v>0.005</v>
      </c>
      <c r="I9" s="11">
        <v>-361.870458467</v>
      </c>
      <c r="J9" s="10">
        <v>0.026</v>
      </c>
      <c r="K9" s="11">
        <v>0.077110166622818</v>
      </c>
      <c r="L9" s="11">
        <v>0.1750147875630898</v>
      </c>
      <c r="M9" s="11">
        <v>-16.552567533849928</v>
      </c>
      <c r="N9" s="11">
        <v>0.9381072644462979</v>
      </c>
      <c r="O9" s="13">
        <v>216.0</v>
      </c>
      <c r="P9" s="9">
        <v>617.6195250000001</v>
      </c>
      <c r="Q9" s="14">
        <v>0.0029483979705357145</v>
      </c>
      <c r="R9" s="10"/>
      <c r="S9" s="10"/>
    </row>
    <row r="10" ht="15.75" customHeight="1">
      <c r="A10" s="15" t="s">
        <v>26</v>
      </c>
      <c r="B10" s="16" t="s">
        <v>27</v>
      </c>
      <c r="C10" s="8" t="s">
        <v>18</v>
      </c>
      <c r="D10" s="9">
        <v>-50.31618094422691</v>
      </c>
      <c r="E10" s="10" t="s">
        <v>28</v>
      </c>
      <c r="F10" s="10" t="s">
        <v>29</v>
      </c>
      <c r="G10" s="11">
        <v>-79.113646162</v>
      </c>
      <c r="H10" s="10">
        <v>0.003</v>
      </c>
      <c r="I10" s="11">
        <v>-275.57774098199997</v>
      </c>
      <c r="J10" s="10">
        <v>0.034</v>
      </c>
      <c r="K10" s="11">
        <v>-4.173654262705884</v>
      </c>
      <c r="L10" s="11">
        <v>0.14155293511131972</v>
      </c>
      <c r="M10" s="11">
        <v>-45.79551728888731</v>
      </c>
      <c r="N10" s="11">
        <v>0.6560091291340414</v>
      </c>
      <c r="O10" s="13">
        <v>55.0</v>
      </c>
      <c r="P10" s="9">
        <v>1670.8902825000002</v>
      </c>
      <c r="Q10" s="14">
        <v>0.0077549421676215285</v>
      </c>
      <c r="R10" s="10"/>
      <c r="S10" s="10"/>
    </row>
    <row r="11" ht="15.75" customHeight="1">
      <c r="A11" s="15" t="s">
        <v>26</v>
      </c>
      <c r="B11" s="16" t="s">
        <v>30</v>
      </c>
      <c r="C11" s="8" t="s">
        <v>18</v>
      </c>
      <c r="D11" s="9">
        <v>-50.31618094422691</v>
      </c>
      <c r="E11" s="10" t="s">
        <v>28</v>
      </c>
      <c r="F11" s="10" t="s">
        <v>29</v>
      </c>
      <c r="G11" s="11">
        <v>-72.148488292</v>
      </c>
      <c r="H11" s="10">
        <v>0.003</v>
      </c>
      <c r="I11" s="11">
        <v>-270.374680112</v>
      </c>
      <c r="J11" s="10">
        <v>0.031</v>
      </c>
      <c r="K11" s="11">
        <v>-5.509001650157219</v>
      </c>
      <c r="L11" s="11">
        <v>0.11680695062175424</v>
      </c>
      <c r="M11" s="11">
        <v>-47.81527841033495</v>
      </c>
      <c r="N11" s="11">
        <v>0.5588298078885572</v>
      </c>
      <c r="O11" s="13">
        <v>55.0</v>
      </c>
      <c r="P11" s="9">
        <v>1793.6098650000001</v>
      </c>
      <c r="Q11" s="14">
        <v>0.008324508748437499</v>
      </c>
      <c r="R11" s="10"/>
      <c r="S11" s="10"/>
    </row>
    <row r="12" ht="15.75" customHeight="1">
      <c r="A12" s="15" t="s">
        <v>26</v>
      </c>
      <c r="B12" s="16" t="s">
        <v>31</v>
      </c>
      <c r="C12" s="8" t="s">
        <v>18</v>
      </c>
      <c r="D12" s="9">
        <v>-50.31618094422691</v>
      </c>
      <c r="E12" s="10" t="s">
        <v>28</v>
      </c>
      <c r="F12" s="10" t="s">
        <v>29</v>
      </c>
      <c r="G12" s="11">
        <v>-65.998340596</v>
      </c>
      <c r="H12" s="10">
        <v>0.005</v>
      </c>
      <c r="I12" s="11">
        <v>-269.489312973</v>
      </c>
      <c r="J12" s="10">
        <v>0.028</v>
      </c>
      <c r="K12" s="11">
        <v>-3.2182330572408935</v>
      </c>
      <c r="L12" s="11">
        <v>0.21039868836534542</v>
      </c>
      <c r="M12" s="11">
        <v>-45.703090064618145</v>
      </c>
      <c r="N12" s="11">
        <v>0.8025973149644103</v>
      </c>
      <c r="O12" s="13">
        <v>55.0</v>
      </c>
      <c r="P12" s="9">
        <v>2069.4184575000004</v>
      </c>
      <c r="Q12" s="14">
        <v>0.009604592609461806</v>
      </c>
      <c r="R12" s="10"/>
      <c r="S12" s="10"/>
    </row>
    <row r="13" ht="15.75" customHeight="1">
      <c r="A13" s="15" t="s">
        <v>26</v>
      </c>
      <c r="B13" s="16" t="s">
        <v>32</v>
      </c>
      <c r="C13" s="8" t="s">
        <v>18</v>
      </c>
      <c r="D13" s="9">
        <v>-50.31618094422691</v>
      </c>
      <c r="E13" s="10" t="s">
        <v>33</v>
      </c>
      <c r="F13" s="10" t="s">
        <v>29</v>
      </c>
      <c r="G13" s="11">
        <v>-86.652008587</v>
      </c>
      <c r="H13" s="10">
        <v>0.005</v>
      </c>
      <c r="I13" s="11">
        <v>-282.044402349</v>
      </c>
      <c r="J13" s="10">
        <v>0.022</v>
      </c>
      <c r="K13" s="11">
        <v>0.355483257449718</v>
      </c>
      <c r="L13" s="11">
        <v>0.20940294207595028</v>
      </c>
      <c r="M13" s="11">
        <v>-34.28773911325711</v>
      </c>
      <c r="N13" s="11">
        <v>0.7188572209101035</v>
      </c>
      <c r="O13" s="13">
        <v>128.0</v>
      </c>
      <c r="P13" s="9">
        <v>1063.8080400000001</v>
      </c>
      <c r="Q13" s="14">
        <v>0.002449537892850991</v>
      </c>
      <c r="R13" s="10"/>
      <c r="S13" s="10"/>
    </row>
    <row r="14" ht="15.75" customHeight="1">
      <c r="A14" s="15" t="s">
        <v>34</v>
      </c>
      <c r="B14" s="16" t="s">
        <v>35</v>
      </c>
      <c r="C14" s="8" t="s">
        <v>18</v>
      </c>
      <c r="D14" s="9">
        <v>-50.31618094422691</v>
      </c>
      <c r="E14" s="10" t="s">
        <v>36</v>
      </c>
      <c r="F14" s="10" t="s">
        <v>37</v>
      </c>
      <c r="G14" s="11">
        <v>-38.650221424</v>
      </c>
      <c r="H14" s="10">
        <v>0.005</v>
      </c>
      <c r="I14" s="11">
        <v>-523.122065003</v>
      </c>
      <c r="J14" s="10">
        <v>0.03</v>
      </c>
      <c r="K14" s="11">
        <v>-3.6263056375501757</v>
      </c>
      <c r="L14" s="11">
        <v>0.1837795922675231</v>
      </c>
      <c r="M14" s="11">
        <v>-12.98189493598889</v>
      </c>
      <c r="N14" s="11">
        <v>0.9693970048160263</v>
      </c>
      <c r="O14" s="13">
        <v>55.0</v>
      </c>
      <c r="P14" s="9">
        <v>1272.1363125000003</v>
      </c>
      <c r="Q14" s="14">
        <v>0.009473104202646241</v>
      </c>
      <c r="R14" s="10"/>
      <c r="S14" s="10"/>
    </row>
    <row r="15" ht="15.75" customHeight="1">
      <c r="A15" s="15" t="s">
        <v>34</v>
      </c>
      <c r="B15" s="16" t="s">
        <v>38</v>
      </c>
      <c r="C15" s="8" t="s">
        <v>18</v>
      </c>
      <c r="D15" s="9">
        <v>-50.31618094422691</v>
      </c>
      <c r="E15" s="10" t="s">
        <v>28</v>
      </c>
      <c r="F15" s="10" t="s">
        <v>37</v>
      </c>
      <c r="G15" s="11">
        <v>-108.638979274</v>
      </c>
      <c r="H15" s="10">
        <v>0.004</v>
      </c>
      <c r="I15" s="11">
        <v>-287.119503675</v>
      </c>
      <c r="J15" s="10">
        <v>0.029</v>
      </c>
      <c r="K15" s="11">
        <v>-3.5097186752661713</v>
      </c>
      <c r="L15" s="11">
        <v>0.15461695204145698</v>
      </c>
      <c r="M15" s="11">
        <v>-51.84694250150501</v>
      </c>
      <c r="N15" s="11">
        <v>0.8262695335323955</v>
      </c>
      <c r="O15" s="13">
        <v>216.0</v>
      </c>
      <c r="P15" s="9">
        <v>407.6971500000001</v>
      </c>
      <c r="Q15" s="14">
        <v>0.0014435899086092715</v>
      </c>
      <c r="R15" s="10"/>
      <c r="S15" s="10"/>
    </row>
    <row r="16" ht="15.75" customHeight="1">
      <c r="A16" s="15" t="s">
        <v>34</v>
      </c>
      <c r="B16" s="16" t="s">
        <v>39</v>
      </c>
      <c r="C16" s="8" t="s">
        <v>18</v>
      </c>
      <c r="D16" s="9">
        <v>-50.31618094422691</v>
      </c>
      <c r="E16" s="10" t="s">
        <v>28</v>
      </c>
      <c r="F16" s="10" t="s">
        <v>37</v>
      </c>
      <c r="G16" s="11">
        <v>-108.734352805</v>
      </c>
      <c r="H16" s="10">
        <v>0.006</v>
      </c>
      <c r="I16" s="11">
        <v>-287.00001204200004</v>
      </c>
      <c r="J16" s="10">
        <v>0.029</v>
      </c>
      <c r="K16" s="11">
        <v>-3.950943080428093</v>
      </c>
      <c r="L16" s="11">
        <v>0.22163119238771817</v>
      </c>
      <c r="M16" s="11">
        <v>-48.10031707134965</v>
      </c>
      <c r="N16" s="11">
        <v>1.0361628856195753</v>
      </c>
      <c r="O16" s="13">
        <v>216.0</v>
      </c>
      <c r="P16" s="9">
        <v>338.6622750000001</v>
      </c>
      <c r="Q16" s="14">
        <v>0.0015851171386600158</v>
      </c>
      <c r="R16" s="10"/>
      <c r="S16" s="10"/>
    </row>
    <row r="17" ht="15.75" customHeight="1">
      <c r="A17" s="15" t="s">
        <v>34</v>
      </c>
      <c r="B17" s="16" t="s">
        <v>40</v>
      </c>
      <c r="C17" s="8" t="s">
        <v>18</v>
      </c>
      <c r="D17" s="9">
        <v>-50.31618094422691</v>
      </c>
      <c r="E17" s="10" t="s">
        <v>41</v>
      </c>
      <c r="F17" s="10" t="s">
        <v>37</v>
      </c>
      <c r="G17" s="11">
        <v>-89.473716388</v>
      </c>
      <c r="H17" s="10">
        <v>0.003</v>
      </c>
      <c r="I17" s="11">
        <v>-379.519466749</v>
      </c>
      <c r="J17" s="10">
        <v>0.024</v>
      </c>
      <c r="K17" s="11">
        <v>-3.4516053525226464</v>
      </c>
      <c r="L17" s="11">
        <v>0.14114733227959939</v>
      </c>
      <c r="M17" s="11">
        <v>-31.290961282690265</v>
      </c>
      <c r="N17" s="11">
        <v>0.7888486218614638</v>
      </c>
      <c r="O17" s="13">
        <v>151.0</v>
      </c>
      <c r="P17" s="9">
        <v>1512.2816250000003</v>
      </c>
      <c r="Q17" s="14">
        <v>0.0058003341140602585</v>
      </c>
      <c r="R17" s="10"/>
      <c r="S17" s="10"/>
    </row>
    <row r="18" ht="15.75" customHeight="1">
      <c r="A18" s="4" t="s">
        <v>42</v>
      </c>
      <c r="B18" s="17"/>
      <c r="D18" s="18"/>
      <c r="G18" s="11"/>
      <c r="I18" s="11"/>
      <c r="K18" s="11"/>
      <c r="M18" s="11"/>
      <c r="N18" s="11"/>
      <c r="O18" s="13"/>
      <c r="P18" s="9"/>
      <c r="Q18" s="14"/>
    </row>
    <row r="19" ht="15.75" customHeight="1">
      <c r="A19" s="6" t="s">
        <v>16</v>
      </c>
      <c r="B19" s="7" t="s">
        <v>43</v>
      </c>
      <c r="C19" s="8" t="s">
        <v>44</v>
      </c>
      <c r="D19" s="9">
        <v>-50.31618094422691</v>
      </c>
      <c r="E19" s="10" t="s">
        <v>45</v>
      </c>
      <c r="F19" s="10" t="s">
        <v>20</v>
      </c>
      <c r="G19" s="11">
        <v>-99.418574575</v>
      </c>
      <c r="H19" s="10">
        <v>0.007</v>
      </c>
      <c r="I19" s="11">
        <v>-272.081434618</v>
      </c>
      <c r="J19" s="10">
        <v>0.025</v>
      </c>
      <c r="K19" s="11">
        <v>-2.587673592483908</v>
      </c>
      <c r="L19" s="11">
        <v>0.13143813412539965</v>
      </c>
      <c r="M19" s="11">
        <v>-44.98245214960151</v>
      </c>
      <c r="N19" s="11">
        <v>0.7512957348742823</v>
      </c>
      <c r="O19" s="13">
        <v>174.0</v>
      </c>
      <c r="P19" s="9">
        <v>1136.4106499999998</v>
      </c>
      <c r="Q19" s="14">
        <v>0.0017745353218457942</v>
      </c>
      <c r="R19" s="10"/>
      <c r="S19" s="10"/>
    </row>
    <row r="20" ht="15.75" customHeight="1">
      <c r="A20" s="6" t="s">
        <v>16</v>
      </c>
      <c r="B20" s="7" t="s">
        <v>46</v>
      </c>
      <c r="C20" s="8" t="s">
        <v>44</v>
      </c>
      <c r="D20" s="9">
        <v>-50.31618094422691</v>
      </c>
      <c r="E20" s="10" t="s">
        <v>45</v>
      </c>
      <c r="F20" s="10" t="s">
        <v>20</v>
      </c>
      <c r="G20" s="11">
        <v>-99.711438751</v>
      </c>
      <c r="H20" s="10">
        <v>0.003</v>
      </c>
      <c r="I20" s="11">
        <v>-272.343939859</v>
      </c>
      <c r="J20" s="10">
        <v>0.017</v>
      </c>
      <c r="K20" s="11">
        <v>-2.254717488159308</v>
      </c>
      <c r="L20" s="11">
        <v>0.1223988657268636</v>
      </c>
      <c r="M20" s="11">
        <v>-44.48204220291152</v>
      </c>
      <c r="N20" s="11">
        <v>0.6365562400704495</v>
      </c>
      <c r="O20" s="13">
        <v>174.0</v>
      </c>
      <c r="P20" s="9">
        <v>1119.7209</v>
      </c>
      <c r="Q20" s="14">
        <v>0.001753595316930287</v>
      </c>
      <c r="R20" s="10"/>
      <c r="S20" s="10"/>
    </row>
    <row r="21" ht="15.75" customHeight="1">
      <c r="A21" s="6" t="s">
        <v>16</v>
      </c>
      <c r="B21" s="7" t="s">
        <v>47</v>
      </c>
      <c r="C21" s="8" t="s">
        <v>44</v>
      </c>
      <c r="D21" s="9">
        <v>-50.31618094422691</v>
      </c>
      <c r="E21" s="10" t="s">
        <v>48</v>
      </c>
      <c r="F21" s="10" t="s">
        <v>20</v>
      </c>
      <c r="G21" s="11">
        <v>-69.995358577</v>
      </c>
      <c r="H21" s="10">
        <v>0.003</v>
      </c>
      <c r="I21" s="11">
        <v>-361.768843535</v>
      </c>
      <c r="J21" s="10">
        <v>0.02</v>
      </c>
      <c r="K21" s="11">
        <v>-0.4853367899360084</v>
      </c>
      <c r="L21" s="11">
        <v>0.13314166857001195</v>
      </c>
      <c r="M21" s="11">
        <v>-17.202270894378646</v>
      </c>
      <c r="N21" s="11">
        <v>0.7452634092380226</v>
      </c>
      <c r="O21" s="13">
        <v>216.0</v>
      </c>
      <c r="P21" s="9">
        <v>1080.7059</v>
      </c>
      <c r="Q21" s="14">
        <v>0.0013180141906934304</v>
      </c>
      <c r="R21" s="10"/>
      <c r="S21" s="10"/>
    </row>
    <row r="22" ht="15.75" customHeight="1">
      <c r="A22" s="6" t="s">
        <v>16</v>
      </c>
      <c r="B22" s="7" t="s">
        <v>49</v>
      </c>
      <c r="C22" s="8" t="s">
        <v>44</v>
      </c>
      <c r="D22" s="9">
        <v>-50.31618094422691</v>
      </c>
      <c r="E22" s="10" t="s">
        <v>48</v>
      </c>
      <c r="F22" s="10" t="s">
        <v>20</v>
      </c>
      <c r="G22" s="11">
        <v>-69.350864716</v>
      </c>
      <c r="H22" s="10">
        <v>0.005</v>
      </c>
      <c r="I22" s="11">
        <v>-362.228933366</v>
      </c>
      <c r="J22" s="10">
        <v>0.027</v>
      </c>
      <c r="K22" s="11">
        <v>0.989221474433144</v>
      </c>
      <c r="L22" s="11">
        <v>0.202557074818195</v>
      </c>
      <c r="M22" s="11">
        <v>-16.196941379400755</v>
      </c>
      <c r="N22" s="11">
        <v>0.8597236858107095</v>
      </c>
      <c r="O22" s="13">
        <v>216.0</v>
      </c>
      <c r="P22" s="9">
        <v>893.8673999999999</v>
      </c>
      <c r="Q22" s="14">
        <v>0.0011001867016574584</v>
      </c>
      <c r="R22" s="10"/>
      <c r="S22" s="10"/>
    </row>
    <row r="23" ht="15.75" customHeight="1">
      <c r="A23" s="15" t="s">
        <v>26</v>
      </c>
      <c r="B23" s="16" t="s">
        <v>50</v>
      </c>
      <c r="C23" s="8" t="s">
        <v>44</v>
      </c>
      <c r="D23" s="9">
        <v>-50.31618094422691</v>
      </c>
      <c r="E23" s="10" t="s">
        <v>51</v>
      </c>
      <c r="F23" s="10" t="s">
        <v>29</v>
      </c>
      <c r="G23" s="11">
        <v>-93.175943455</v>
      </c>
      <c r="H23" s="10">
        <v>0.003</v>
      </c>
      <c r="I23" s="11">
        <v>-286.154161821</v>
      </c>
      <c r="J23" s="10">
        <v>0.029</v>
      </c>
      <c r="K23" s="11">
        <v>-3.8389953157771384</v>
      </c>
      <c r="L23" s="11">
        <v>0.13840031152321414</v>
      </c>
      <c r="M23" s="11">
        <v>-47.03602548857233</v>
      </c>
      <c r="N23" s="11">
        <v>0.7890859441839704</v>
      </c>
      <c r="O23" s="13">
        <v>78.0</v>
      </c>
      <c r="P23" s="9">
        <v>1189.4953425</v>
      </c>
      <c r="Q23" s="14">
        <v>0.0037454859233804474</v>
      </c>
      <c r="R23" s="10"/>
      <c r="S23" s="10"/>
    </row>
    <row r="24" ht="15.75" customHeight="1">
      <c r="A24" s="15" t="s">
        <v>26</v>
      </c>
      <c r="B24" s="16" t="s">
        <v>52</v>
      </c>
      <c r="C24" s="8" t="s">
        <v>44</v>
      </c>
      <c r="D24" s="9">
        <v>-50.31618094422691</v>
      </c>
      <c r="E24" s="10" t="s">
        <v>51</v>
      </c>
      <c r="F24" s="10" t="s">
        <v>29</v>
      </c>
      <c r="G24" s="11">
        <v>-91.980402526</v>
      </c>
      <c r="H24" s="10">
        <v>0.003</v>
      </c>
      <c r="I24" s="11">
        <v>-285.74487945600004</v>
      </c>
      <c r="J24" s="10">
        <v>0.016</v>
      </c>
      <c r="K24" s="11">
        <v>-3.5711738642838498</v>
      </c>
      <c r="L24" s="11">
        <v>0.11243338343684943</v>
      </c>
      <c r="M24" s="11">
        <v>-46.732147794175674</v>
      </c>
      <c r="N24" s="11">
        <v>0.6075028110618149</v>
      </c>
      <c r="O24" s="13">
        <v>78.0</v>
      </c>
      <c r="P24" s="9">
        <v>1284.8937300000002</v>
      </c>
      <c r="Q24" s="14">
        <v>0.004045876605653711</v>
      </c>
      <c r="R24" s="10"/>
      <c r="S24" s="10"/>
    </row>
    <row r="25" ht="15.75" customHeight="1">
      <c r="A25" s="15" t="s">
        <v>26</v>
      </c>
      <c r="B25" s="16" t="s">
        <v>53</v>
      </c>
      <c r="C25" s="8" t="s">
        <v>44</v>
      </c>
      <c r="D25" s="9">
        <v>-50.31618094422691</v>
      </c>
      <c r="E25" s="10" t="s">
        <v>54</v>
      </c>
      <c r="F25" s="10" t="s">
        <v>29</v>
      </c>
      <c r="G25" s="11">
        <v>-98.64017242300001</v>
      </c>
      <c r="H25" s="10">
        <v>0.006</v>
      </c>
      <c r="I25" s="11">
        <v>-298.756295147</v>
      </c>
      <c r="J25" s="10">
        <v>0.02</v>
      </c>
      <c r="K25" s="11">
        <v>0.41951414608099036</v>
      </c>
      <c r="L25" s="11">
        <v>0.22255915981192945</v>
      </c>
      <c r="M25" s="11">
        <v>-35.84383554654724</v>
      </c>
      <c r="N25" s="11">
        <v>0.7244524806595845</v>
      </c>
      <c r="O25" s="13">
        <v>191.0</v>
      </c>
      <c r="P25" s="9">
        <v>919.9857750000001</v>
      </c>
      <c r="Q25" s="14">
        <v>0.0012769619099169262</v>
      </c>
      <c r="R25" s="10"/>
      <c r="S25" s="10"/>
    </row>
    <row r="26" ht="15.75" customHeight="1">
      <c r="A26" s="4" t="s">
        <v>55</v>
      </c>
      <c r="B26" s="1"/>
      <c r="N26" s="11"/>
      <c r="O26" s="13"/>
      <c r="P26" s="9"/>
      <c r="Q26" s="14"/>
    </row>
    <row r="27" ht="15.75" customHeight="1">
      <c r="A27" s="19" t="s">
        <v>56</v>
      </c>
      <c r="B27" s="20" t="s">
        <v>57</v>
      </c>
      <c r="C27" s="21" t="s">
        <v>58</v>
      </c>
      <c r="D27" s="22">
        <v>-54.65</v>
      </c>
      <c r="E27" s="21" t="s">
        <v>59</v>
      </c>
      <c r="F27" s="21" t="s">
        <v>60</v>
      </c>
      <c r="G27" s="21">
        <v>-73.153</v>
      </c>
      <c r="H27" s="21">
        <v>0.004</v>
      </c>
      <c r="I27" s="21">
        <v>-536.753</v>
      </c>
      <c r="J27" s="21">
        <v>0.028</v>
      </c>
      <c r="K27" s="21">
        <v>-1.975</v>
      </c>
      <c r="L27" s="21">
        <v>0.215</v>
      </c>
      <c r="M27" s="21">
        <v>-9.876</v>
      </c>
      <c r="N27" s="23">
        <v>0.981</v>
      </c>
      <c r="O27" s="24" t="s">
        <v>61</v>
      </c>
      <c r="P27" s="25">
        <v>93.2</v>
      </c>
      <c r="Q27" s="9">
        <f t="shared" ref="Q27:Q33" si="1">P27/10*8</f>
        <v>74.56</v>
      </c>
    </row>
    <row r="28" ht="15.75" customHeight="1">
      <c r="A28" s="19" t="s">
        <v>56</v>
      </c>
      <c r="B28" s="20" t="s">
        <v>57</v>
      </c>
      <c r="C28" s="21" t="s">
        <v>58</v>
      </c>
      <c r="D28" s="22">
        <v>-54.65</v>
      </c>
      <c r="E28" s="21" t="s">
        <v>59</v>
      </c>
      <c r="F28" s="21" t="s">
        <v>60</v>
      </c>
      <c r="G28" s="21">
        <v>-71.834</v>
      </c>
      <c r="H28" s="21">
        <v>0.005</v>
      </c>
      <c r="I28" s="21">
        <v>-536.883</v>
      </c>
      <c r="J28" s="21">
        <v>0.0027</v>
      </c>
      <c r="K28" s="21">
        <v>-2.509</v>
      </c>
      <c r="L28" s="21">
        <v>0.215</v>
      </c>
      <c r="M28" s="21">
        <v>-9.857</v>
      </c>
      <c r="N28" s="23">
        <v>0.963</v>
      </c>
      <c r="O28" s="24" t="s">
        <v>61</v>
      </c>
      <c r="P28" s="25">
        <v>87.8</v>
      </c>
      <c r="Q28" s="9">
        <f t="shared" si="1"/>
        <v>70.24</v>
      </c>
    </row>
    <row r="29" ht="15.75" customHeight="1">
      <c r="A29" s="19" t="s">
        <v>56</v>
      </c>
      <c r="B29" s="20" t="s">
        <v>57</v>
      </c>
      <c r="C29" s="21" t="s">
        <v>58</v>
      </c>
      <c r="D29" s="22">
        <v>-54.996</v>
      </c>
      <c r="E29" s="21" t="s">
        <v>28</v>
      </c>
      <c r="F29" s="21" t="s">
        <v>60</v>
      </c>
      <c r="G29" s="21">
        <v>-103.899</v>
      </c>
      <c r="H29" s="21">
        <v>0.005</v>
      </c>
      <c r="I29" s="21">
        <v>-295.189</v>
      </c>
      <c r="J29" s="21">
        <v>0.022</v>
      </c>
      <c r="K29" s="21">
        <v>-4.432</v>
      </c>
      <c r="L29" s="21">
        <v>0.121</v>
      </c>
      <c r="M29" s="21">
        <v>-47.647</v>
      </c>
      <c r="N29" s="23">
        <v>0.682</v>
      </c>
      <c r="O29" s="24" t="s">
        <v>61</v>
      </c>
      <c r="P29" s="25">
        <v>135.6</v>
      </c>
      <c r="Q29" s="9">
        <f t="shared" si="1"/>
        <v>108.48</v>
      </c>
    </row>
    <row r="30" ht="15.75" customHeight="1">
      <c r="A30" s="19" t="s">
        <v>56</v>
      </c>
      <c r="B30" s="20" t="s">
        <v>57</v>
      </c>
      <c r="C30" s="21" t="s">
        <v>62</v>
      </c>
      <c r="D30" s="22">
        <v>-54.996</v>
      </c>
      <c r="E30" s="21" t="s">
        <v>28</v>
      </c>
      <c r="F30" s="21" t="s">
        <v>60</v>
      </c>
      <c r="G30" s="21">
        <v>-98.504</v>
      </c>
      <c r="H30" s="21">
        <v>0.005</v>
      </c>
      <c r="I30" s="21">
        <v>-290.482</v>
      </c>
      <c r="J30" s="21">
        <v>0.037</v>
      </c>
      <c r="K30" s="21">
        <v>-9.235</v>
      </c>
      <c r="L30" s="21">
        <v>0.193</v>
      </c>
      <c r="M30" s="21">
        <v>-47.879</v>
      </c>
      <c r="N30" s="23">
        <v>0.873</v>
      </c>
      <c r="O30" s="24" t="s">
        <v>61</v>
      </c>
      <c r="P30" s="25">
        <v>185.4</v>
      </c>
      <c r="Q30" s="9">
        <f t="shared" si="1"/>
        <v>148.32</v>
      </c>
    </row>
    <row r="31" ht="15.75" customHeight="1">
      <c r="A31" s="19" t="s">
        <v>56</v>
      </c>
      <c r="B31" s="20" t="s">
        <v>57</v>
      </c>
      <c r="C31" s="21" t="s">
        <v>58</v>
      </c>
      <c r="D31" s="22">
        <v>-54.996</v>
      </c>
      <c r="E31" s="21" t="s">
        <v>28</v>
      </c>
      <c r="F31" s="21" t="s">
        <v>60</v>
      </c>
      <c r="G31" s="21">
        <v>-85.93</v>
      </c>
      <c r="H31" s="21">
        <v>0.005</v>
      </c>
      <c r="I31" s="21">
        <v>-279.402</v>
      </c>
      <c r="J31" s="21">
        <v>0.019</v>
      </c>
      <c r="K31" s="21">
        <v>-5.21</v>
      </c>
      <c r="L31" s="21">
        <v>0.219</v>
      </c>
      <c r="M31" s="21">
        <v>-49.478</v>
      </c>
      <c r="N31" s="23">
        <v>0.749</v>
      </c>
      <c r="O31" s="24" t="s">
        <v>61</v>
      </c>
      <c r="P31" s="25">
        <v>355.0</v>
      </c>
      <c r="Q31" s="9">
        <f t="shared" si="1"/>
        <v>284</v>
      </c>
    </row>
    <row r="32" ht="15.75" customHeight="1">
      <c r="A32" s="19" t="s">
        <v>56</v>
      </c>
      <c r="B32" s="20" t="s">
        <v>57</v>
      </c>
      <c r="C32" s="21" t="s">
        <v>58</v>
      </c>
      <c r="D32" s="22">
        <v>-56.04</v>
      </c>
      <c r="E32" s="21" t="s">
        <v>63</v>
      </c>
      <c r="F32" s="21" t="s">
        <v>60</v>
      </c>
      <c r="G32" s="21">
        <v>-47.773</v>
      </c>
      <c r="H32" s="21">
        <v>0.003</v>
      </c>
      <c r="I32" s="21">
        <v>-318.49</v>
      </c>
      <c r="J32" s="21">
        <v>0.022</v>
      </c>
      <c r="K32" s="21">
        <v>-1.961</v>
      </c>
      <c r="L32" s="21">
        <v>0.244</v>
      </c>
      <c r="M32" s="21">
        <v>-39.768</v>
      </c>
      <c r="N32" s="23">
        <v>0.774</v>
      </c>
      <c r="O32" s="24" t="s">
        <v>61</v>
      </c>
      <c r="P32" s="25">
        <v>231.0</v>
      </c>
      <c r="Q32" s="9">
        <f t="shared" si="1"/>
        <v>184.8</v>
      </c>
    </row>
    <row r="33" ht="15.75" customHeight="1">
      <c r="A33" s="19" t="s">
        <v>56</v>
      </c>
      <c r="B33" s="20" t="s">
        <v>57</v>
      </c>
      <c r="C33" s="21" t="s">
        <v>62</v>
      </c>
      <c r="D33" s="22">
        <v>-56.04</v>
      </c>
      <c r="E33" s="21" t="s">
        <v>63</v>
      </c>
      <c r="F33" s="21" t="s">
        <v>60</v>
      </c>
      <c r="G33" s="21">
        <v>-48.577</v>
      </c>
      <c r="H33" s="21">
        <v>0.029</v>
      </c>
      <c r="I33" s="21">
        <v>-319.383</v>
      </c>
      <c r="J33" s="21">
        <v>0.023</v>
      </c>
      <c r="K33" s="21">
        <v>-1.906</v>
      </c>
      <c r="L33" s="21">
        <v>0.238</v>
      </c>
      <c r="M33" s="21">
        <v>-41.24</v>
      </c>
      <c r="N33" s="23">
        <v>0.728</v>
      </c>
      <c r="O33" s="24" t="s">
        <v>61</v>
      </c>
      <c r="P33" s="25">
        <v>223.2</v>
      </c>
      <c r="Q33" s="9">
        <f t="shared" si="1"/>
        <v>178.56</v>
      </c>
    </row>
    <row r="34" ht="15.75" customHeight="1">
      <c r="A34" s="26" t="s">
        <v>64</v>
      </c>
      <c r="B34" s="1"/>
      <c r="N34" s="11"/>
      <c r="O34" s="24"/>
      <c r="P34" s="9"/>
      <c r="Q34" s="9"/>
    </row>
    <row r="35" ht="15.75" customHeight="1">
      <c r="A35" s="19" t="s">
        <v>56</v>
      </c>
      <c r="B35" s="27" t="s">
        <v>57</v>
      </c>
      <c r="C35" s="21" t="s">
        <v>58</v>
      </c>
      <c r="D35" s="28">
        <v>2937.232</v>
      </c>
      <c r="E35" s="21" t="s">
        <v>59</v>
      </c>
      <c r="F35" s="21" t="s">
        <v>60</v>
      </c>
      <c r="G35" s="21">
        <v>-75.521</v>
      </c>
      <c r="H35" s="21">
        <v>0.005</v>
      </c>
      <c r="I35" s="21">
        <v>806.047</v>
      </c>
      <c r="J35" s="21">
        <v>0.051</v>
      </c>
      <c r="K35" s="21">
        <v>-4.873</v>
      </c>
      <c r="L35" s="21">
        <v>0.14</v>
      </c>
      <c r="M35" s="21">
        <v>-16.254</v>
      </c>
      <c r="N35" s="23">
        <v>0.434</v>
      </c>
      <c r="O35" s="24" t="s">
        <v>61</v>
      </c>
      <c r="P35" s="25">
        <v>81.0</v>
      </c>
      <c r="Q35" s="9">
        <f t="shared" ref="Q35:Q42" si="2">P35/10*8</f>
        <v>64.8</v>
      </c>
    </row>
    <row r="36" ht="15.75" customHeight="1">
      <c r="A36" s="19" t="s">
        <v>56</v>
      </c>
      <c r="B36" s="27" t="s">
        <v>57</v>
      </c>
      <c r="C36" s="21" t="s">
        <v>62</v>
      </c>
      <c r="D36" s="28">
        <v>2937.232</v>
      </c>
      <c r="E36" s="21" t="s">
        <v>59</v>
      </c>
      <c r="F36" s="21" t="s">
        <v>60</v>
      </c>
      <c r="G36" s="21">
        <v>-74.604</v>
      </c>
      <c r="H36" s="21">
        <v>0.012</v>
      </c>
      <c r="I36" s="21">
        <v>793.236</v>
      </c>
      <c r="J36" s="21">
        <v>0.044</v>
      </c>
      <c r="K36" s="21">
        <v>-5.266</v>
      </c>
      <c r="L36" s="21">
        <v>0.139</v>
      </c>
      <c r="M36" s="21">
        <v>-15.509</v>
      </c>
      <c r="N36" s="23">
        <v>0.446</v>
      </c>
      <c r="O36" s="24" t="s">
        <v>61</v>
      </c>
      <c r="P36" s="25">
        <v>71.9</v>
      </c>
      <c r="Q36" s="9">
        <f t="shared" si="2"/>
        <v>57.52</v>
      </c>
    </row>
    <row r="37" ht="15.75" customHeight="1">
      <c r="A37" s="19" t="s">
        <v>56</v>
      </c>
      <c r="B37" s="27" t="s">
        <v>57</v>
      </c>
      <c r="C37" s="21" t="s">
        <v>58</v>
      </c>
      <c r="D37" s="28">
        <v>7988.017</v>
      </c>
      <c r="E37" s="21" t="s">
        <v>59</v>
      </c>
      <c r="F37" s="21" t="s">
        <v>60</v>
      </c>
      <c r="G37" s="21">
        <v>-74.144</v>
      </c>
      <c r="H37" s="21">
        <v>0.004</v>
      </c>
      <c r="I37" s="21">
        <v>3333.248</v>
      </c>
      <c r="J37" s="21">
        <v>0.177</v>
      </c>
      <c r="K37" s="21">
        <v>-4.573</v>
      </c>
      <c r="L37" s="21">
        <v>0.129</v>
      </c>
      <c r="M37" s="21">
        <v>-14.599</v>
      </c>
      <c r="N37" s="23">
        <v>0.307</v>
      </c>
      <c r="O37" s="24" t="s">
        <v>61</v>
      </c>
      <c r="P37" s="25">
        <v>114.0</v>
      </c>
      <c r="Q37" s="9">
        <f t="shared" si="2"/>
        <v>91.2</v>
      </c>
    </row>
    <row r="38" ht="15.75" customHeight="1">
      <c r="A38" s="19" t="s">
        <v>56</v>
      </c>
      <c r="B38" s="27" t="s">
        <v>57</v>
      </c>
      <c r="C38" s="21" t="s">
        <v>62</v>
      </c>
      <c r="D38" s="28">
        <v>7988.017</v>
      </c>
      <c r="E38" s="21" t="s">
        <v>59</v>
      </c>
      <c r="F38" s="21" t="s">
        <v>60</v>
      </c>
      <c r="G38" s="21">
        <v>-78.341</v>
      </c>
      <c r="H38" s="21">
        <v>0.004</v>
      </c>
      <c r="I38" s="21">
        <v>3344.288</v>
      </c>
      <c r="J38" s="21">
        <v>0.168</v>
      </c>
      <c r="K38" s="21">
        <v>-5.026</v>
      </c>
      <c r="L38" s="21">
        <v>0.11</v>
      </c>
      <c r="M38" s="21">
        <v>-18.001</v>
      </c>
      <c r="N38" s="23">
        <v>0.394</v>
      </c>
      <c r="O38" s="24" t="s">
        <v>61</v>
      </c>
      <c r="P38" s="25">
        <v>52.4</v>
      </c>
      <c r="Q38" s="9">
        <f t="shared" si="2"/>
        <v>41.92</v>
      </c>
    </row>
    <row r="39" ht="15.75" customHeight="1">
      <c r="A39" s="19" t="s">
        <v>56</v>
      </c>
      <c r="B39" s="27" t="s">
        <v>57</v>
      </c>
      <c r="C39" s="21" t="s">
        <v>58</v>
      </c>
      <c r="D39" s="28">
        <v>2491.858</v>
      </c>
      <c r="E39" s="21" t="s">
        <v>28</v>
      </c>
      <c r="F39" s="21" t="s">
        <v>60</v>
      </c>
      <c r="G39" s="21">
        <v>-95.23</v>
      </c>
      <c r="H39" s="21">
        <v>0.004</v>
      </c>
      <c r="I39" s="21">
        <v>-60.943</v>
      </c>
      <c r="J39" s="21">
        <v>0.022</v>
      </c>
      <c r="K39" s="21">
        <v>-10.385</v>
      </c>
      <c r="L39" s="21">
        <v>0.129</v>
      </c>
      <c r="M39" s="21">
        <v>-10.005</v>
      </c>
      <c r="N39" s="23">
        <v>0.563</v>
      </c>
      <c r="O39" s="24" t="s">
        <v>61</v>
      </c>
      <c r="P39" s="25">
        <v>166.8</v>
      </c>
      <c r="Q39" s="9">
        <f t="shared" si="2"/>
        <v>133.44</v>
      </c>
    </row>
    <row r="40" ht="15.75" customHeight="1">
      <c r="A40" s="19" t="s">
        <v>56</v>
      </c>
      <c r="B40" s="27" t="s">
        <v>57</v>
      </c>
      <c r="C40" s="21" t="s">
        <v>58</v>
      </c>
      <c r="D40" s="28">
        <v>2491.858</v>
      </c>
      <c r="E40" s="21" t="s">
        <v>28</v>
      </c>
      <c r="F40" s="21" t="s">
        <v>60</v>
      </c>
      <c r="G40" s="21">
        <v>-90.257</v>
      </c>
      <c r="H40" s="21">
        <v>0.003</v>
      </c>
      <c r="I40" s="21">
        <v>-57.29</v>
      </c>
      <c r="J40" s="21">
        <v>0.019</v>
      </c>
      <c r="K40" s="21">
        <v>-9.993</v>
      </c>
      <c r="L40" s="21">
        <v>0.31</v>
      </c>
      <c r="M40" s="21">
        <v>-11.614</v>
      </c>
      <c r="N40" s="23">
        <v>0.571</v>
      </c>
      <c r="O40" s="24" t="s">
        <v>61</v>
      </c>
      <c r="P40" s="25">
        <v>175.9</v>
      </c>
      <c r="Q40" s="9">
        <f t="shared" si="2"/>
        <v>140.72</v>
      </c>
    </row>
    <row r="41" ht="15.75" customHeight="1">
      <c r="A41" s="19" t="s">
        <v>56</v>
      </c>
      <c r="B41" s="27" t="s">
        <v>57</v>
      </c>
      <c r="C41" s="21" t="s">
        <v>58</v>
      </c>
      <c r="D41" s="28">
        <v>8041.949</v>
      </c>
      <c r="E41" s="21" t="s">
        <v>28</v>
      </c>
      <c r="F41" s="21" t="s">
        <v>60</v>
      </c>
      <c r="G41" s="21">
        <v>-93.7</v>
      </c>
      <c r="H41" s="21">
        <v>0.007</v>
      </c>
      <c r="I41" s="21">
        <v>374.73</v>
      </c>
      <c r="J41" s="21">
        <v>0.03</v>
      </c>
      <c r="K41" s="21">
        <v>-15.926</v>
      </c>
      <c r="L41" s="21">
        <v>0.111</v>
      </c>
      <c r="M41" s="21">
        <v>-95.988</v>
      </c>
      <c r="N41" s="23">
        <v>0.454</v>
      </c>
      <c r="O41" s="24" t="s">
        <v>61</v>
      </c>
      <c r="P41" s="25">
        <v>183.9</v>
      </c>
      <c r="Q41" s="9">
        <f t="shared" si="2"/>
        <v>147.12</v>
      </c>
    </row>
    <row r="42" ht="15.75" customHeight="1">
      <c r="A42" s="19" t="s">
        <v>56</v>
      </c>
      <c r="B42" s="27" t="s">
        <v>57</v>
      </c>
      <c r="C42" s="21" t="s">
        <v>58</v>
      </c>
      <c r="D42" s="28">
        <v>8041.949</v>
      </c>
      <c r="E42" s="21" t="s">
        <v>28</v>
      </c>
      <c r="F42" s="21" t="s">
        <v>60</v>
      </c>
      <c r="G42" s="21">
        <v>-79.267</v>
      </c>
      <c r="H42" s="21">
        <v>0.004</v>
      </c>
      <c r="I42" s="21">
        <v>402.655</v>
      </c>
      <c r="J42" s="21">
        <v>0.032</v>
      </c>
      <c r="K42" s="21">
        <v>-15.959</v>
      </c>
      <c r="L42" s="21">
        <v>0.237</v>
      </c>
      <c r="M42" s="21">
        <v>-68.162</v>
      </c>
      <c r="N42" s="23">
        <v>0.547</v>
      </c>
      <c r="O42" s="24" t="s">
        <v>61</v>
      </c>
      <c r="P42" s="25">
        <v>351.9</v>
      </c>
      <c r="Q42" s="9">
        <f t="shared" si="2"/>
        <v>281.52</v>
      </c>
    </row>
    <row r="43" ht="15.75" customHeight="1">
      <c r="A43" s="4"/>
      <c r="B43" s="1"/>
      <c r="N43" s="11"/>
      <c r="O43" s="13"/>
      <c r="P43" s="9"/>
      <c r="Q43" s="14"/>
    </row>
    <row r="44" ht="15.75" customHeight="1">
      <c r="A44" s="5" t="s">
        <v>65</v>
      </c>
      <c r="B44" s="29"/>
      <c r="C44" s="1"/>
      <c r="D44" s="1"/>
      <c r="E44" s="1"/>
      <c r="F44" s="1"/>
      <c r="G44" s="30"/>
      <c r="H44" s="1"/>
      <c r="I44" s="30"/>
      <c r="J44" s="1"/>
      <c r="K44" s="30"/>
      <c r="L44" s="30"/>
      <c r="M44" s="30"/>
      <c r="N44" s="1"/>
      <c r="O44" s="31"/>
      <c r="P44" s="1" t="s">
        <v>66</v>
      </c>
      <c r="Q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5" t="s">
        <v>67</v>
      </c>
      <c r="B45" s="16" t="s">
        <v>68</v>
      </c>
      <c r="C45" s="10" t="str">
        <f t="shared" ref="C45:C57" si="3">B45</f>
        <v>Young et al., 2017 GCA</v>
      </c>
      <c r="D45" s="10"/>
      <c r="E45" s="10" t="s">
        <v>28</v>
      </c>
      <c r="F45" s="10" t="s">
        <v>69</v>
      </c>
      <c r="G45" s="11">
        <v>-32.768</v>
      </c>
      <c r="H45" s="10">
        <v>0.007</v>
      </c>
      <c r="I45" s="11">
        <v>-328.407</v>
      </c>
      <c r="J45" s="10">
        <v>0.019</v>
      </c>
      <c r="K45" s="11">
        <v>-3.88</v>
      </c>
      <c r="L45" s="11">
        <v>0.203</v>
      </c>
      <c r="M45" s="11">
        <v>-40.858</v>
      </c>
      <c r="N45" s="11">
        <v>0.364</v>
      </c>
      <c r="O45" s="32" t="s">
        <v>70</v>
      </c>
      <c r="P45" s="32" t="s">
        <v>70</v>
      </c>
      <c r="Q45" s="32" t="s">
        <v>70</v>
      </c>
      <c r="R45" s="10" t="s">
        <v>71</v>
      </c>
      <c r="S45" s="10" t="s">
        <v>71</v>
      </c>
    </row>
    <row r="46" ht="15.75" customHeight="1">
      <c r="A46" s="15" t="s">
        <v>72</v>
      </c>
      <c r="B46" s="16" t="s">
        <v>68</v>
      </c>
      <c r="C46" s="10" t="str">
        <f t="shared" si="3"/>
        <v>Young et al., 2017 GCA</v>
      </c>
      <c r="D46" s="10"/>
      <c r="E46" s="10" t="s">
        <v>28</v>
      </c>
      <c r="F46" s="10" t="s">
        <v>69</v>
      </c>
      <c r="G46" s="11">
        <v>-32.763</v>
      </c>
      <c r="H46" s="10">
        <v>0.005</v>
      </c>
      <c r="I46" s="11">
        <v>-328.448</v>
      </c>
      <c r="J46" s="10">
        <v>0.019</v>
      </c>
      <c r="K46" s="11">
        <v>-3.837</v>
      </c>
      <c r="L46" s="11">
        <v>0.091</v>
      </c>
      <c r="M46" s="11">
        <v>-43.239</v>
      </c>
      <c r="N46" s="11">
        <v>0.308</v>
      </c>
      <c r="O46" s="32" t="s">
        <v>70</v>
      </c>
      <c r="P46" s="32" t="s">
        <v>70</v>
      </c>
      <c r="Q46" s="32" t="s">
        <v>70</v>
      </c>
      <c r="R46" s="10" t="s">
        <v>71</v>
      </c>
      <c r="S46" s="10" t="s">
        <v>71</v>
      </c>
    </row>
    <row r="47" ht="15.75" customHeight="1">
      <c r="A47" s="15" t="s">
        <v>56</v>
      </c>
      <c r="B47" s="16" t="s">
        <v>68</v>
      </c>
      <c r="C47" s="10" t="str">
        <f t="shared" si="3"/>
        <v>Young et al., 2017 GCA</v>
      </c>
      <c r="D47" s="10"/>
      <c r="E47" s="10" t="s">
        <v>28</v>
      </c>
      <c r="F47" s="10" t="s">
        <v>69</v>
      </c>
      <c r="G47" s="11">
        <v>-56.55</v>
      </c>
      <c r="H47" s="10">
        <v>0.007</v>
      </c>
      <c r="I47" s="11">
        <v>-340.178</v>
      </c>
      <c r="J47" s="10">
        <v>0.016</v>
      </c>
      <c r="K47" s="11">
        <v>-1.108</v>
      </c>
      <c r="L47" s="11">
        <v>0.127</v>
      </c>
      <c r="M47" s="11">
        <v>-34.327</v>
      </c>
      <c r="N47" s="11">
        <v>0.346</v>
      </c>
      <c r="O47" s="32" t="s">
        <v>70</v>
      </c>
      <c r="P47" s="32" t="s">
        <v>70</v>
      </c>
      <c r="Q47" s="32" t="s">
        <v>70</v>
      </c>
      <c r="R47" s="10">
        <v>185.0</v>
      </c>
      <c r="S47" s="10" t="s">
        <v>71</v>
      </c>
    </row>
    <row r="48" ht="16.5" customHeight="1">
      <c r="A48" s="15" t="s">
        <v>73</v>
      </c>
      <c r="B48" s="16" t="s">
        <v>68</v>
      </c>
      <c r="C48" s="10" t="str">
        <f t="shared" si="3"/>
        <v>Young et al., 2017 GCA</v>
      </c>
      <c r="D48" s="10"/>
      <c r="E48" s="10" t="s">
        <v>74</v>
      </c>
      <c r="F48" s="10" t="s">
        <v>29</v>
      </c>
      <c r="G48" s="11">
        <v>-49.355</v>
      </c>
      <c r="H48" s="10">
        <v>0.011</v>
      </c>
      <c r="I48" s="11">
        <v>-394.37</v>
      </c>
      <c r="J48" s="10">
        <v>0.02</v>
      </c>
      <c r="K48" s="11">
        <v>2.66</v>
      </c>
      <c r="L48" s="11">
        <v>0.1</v>
      </c>
      <c r="M48" s="11">
        <v>-19.44</v>
      </c>
      <c r="N48" s="11">
        <v>0.3</v>
      </c>
      <c r="O48" s="32" t="s">
        <v>70</v>
      </c>
      <c r="P48" s="32" t="s">
        <v>70</v>
      </c>
      <c r="Q48" s="32" t="s">
        <v>70</v>
      </c>
      <c r="R48" s="10">
        <v>172.0</v>
      </c>
      <c r="S48" s="10" t="s">
        <v>71</v>
      </c>
    </row>
    <row r="49" ht="15.75" customHeight="1">
      <c r="A49" s="15" t="s">
        <v>75</v>
      </c>
      <c r="B49" s="16" t="s">
        <v>76</v>
      </c>
      <c r="C49" s="10" t="str">
        <f t="shared" si="3"/>
        <v>Guinta et al., 2019 GCA</v>
      </c>
      <c r="D49" s="10"/>
      <c r="E49" s="10" t="s">
        <v>74</v>
      </c>
      <c r="F49" s="10" t="s">
        <v>77</v>
      </c>
      <c r="G49" s="11">
        <v>-53.221</v>
      </c>
      <c r="H49" s="10">
        <v>0.007</v>
      </c>
      <c r="I49" s="11">
        <v>-390.902</v>
      </c>
      <c r="J49" s="10">
        <v>0.015</v>
      </c>
      <c r="K49" s="11">
        <v>2.83</v>
      </c>
      <c r="L49" s="11">
        <v>0.219</v>
      </c>
      <c r="M49" s="11">
        <v>-17.343</v>
      </c>
      <c r="N49" s="10">
        <v>0.337</v>
      </c>
      <c r="O49" s="32" t="s">
        <v>70</v>
      </c>
      <c r="P49" s="32" t="s">
        <v>70</v>
      </c>
      <c r="Q49" s="32" t="s">
        <v>70</v>
      </c>
      <c r="R49" s="10">
        <v>105.0</v>
      </c>
      <c r="S49" s="10" t="s">
        <v>71</v>
      </c>
    </row>
    <row r="50" ht="15.75" customHeight="1">
      <c r="A50" s="15" t="s">
        <v>75</v>
      </c>
      <c r="B50" s="16" t="s">
        <v>76</v>
      </c>
      <c r="C50" s="10" t="str">
        <f t="shared" si="3"/>
        <v>Guinta et al., 2019 GCA</v>
      </c>
      <c r="D50" s="10"/>
      <c r="E50" s="10" t="s">
        <v>74</v>
      </c>
      <c r="F50" s="10" t="s">
        <v>77</v>
      </c>
      <c r="G50" s="11">
        <v>-51.451</v>
      </c>
      <c r="H50" s="10">
        <v>0.003</v>
      </c>
      <c r="I50" s="11">
        <v>-399.598</v>
      </c>
      <c r="J50" s="10">
        <v>0.014</v>
      </c>
      <c r="K50" s="11">
        <v>3.804</v>
      </c>
      <c r="L50" s="10">
        <v>0.302</v>
      </c>
      <c r="M50" s="11">
        <v>-16.937</v>
      </c>
      <c r="N50" s="10">
        <v>0.296</v>
      </c>
      <c r="O50" s="32" t="s">
        <v>70</v>
      </c>
      <c r="P50" s="32" t="s">
        <v>70</v>
      </c>
      <c r="Q50" s="32" t="s">
        <v>70</v>
      </c>
      <c r="R50" s="10" t="s">
        <v>71</v>
      </c>
      <c r="S50" s="10" t="s">
        <v>71</v>
      </c>
    </row>
    <row r="51" ht="15.75" customHeight="1">
      <c r="A51" s="15" t="s">
        <v>56</v>
      </c>
      <c r="B51" s="16" t="s">
        <v>76</v>
      </c>
      <c r="C51" s="10" t="str">
        <f t="shared" si="3"/>
        <v>Guinta et al., 2019 GCA</v>
      </c>
      <c r="D51" s="10"/>
      <c r="E51" s="10" t="s">
        <v>28</v>
      </c>
      <c r="F51" s="10" t="s">
        <v>20</v>
      </c>
      <c r="G51" s="11">
        <v>-53.703</v>
      </c>
      <c r="H51" s="10">
        <v>0.004</v>
      </c>
      <c r="I51" s="11">
        <v>-250.103</v>
      </c>
      <c r="J51" s="10">
        <v>0.011</v>
      </c>
      <c r="K51" s="11">
        <v>-2.373</v>
      </c>
      <c r="L51" s="10">
        <v>0.011</v>
      </c>
      <c r="M51" s="11">
        <v>-54.488</v>
      </c>
      <c r="N51" s="10">
        <v>0.356</v>
      </c>
      <c r="O51" s="32" t="s">
        <v>70</v>
      </c>
      <c r="P51" s="32" t="s">
        <v>70</v>
      </c>
      <c r="Q51" s="32" t="s">
        <v>70</v>
      </c>
      <c r="R51" s="10" t="s">
        <v>71</v>
      </c>
      <c r="S51" s="10" t="s">
        <v>71</v>
      </c>
    </row>
    <row r="52" ht="15.75" customHeight="1">
      <c r="A52" s="15" t="s">
        <v>56</v>
      </c>
      <c r="B52" s="16" t="s">
        <v>76</v>
      </c>
      <c r="C52" s="10" t="str">
        <f t="shared" si="3"/>
        <v>Guinta et al., 2019 GCA</v>
      </c>
      <c r="D52" s="10"/>
      <c r="E52" s="10" t="s">
        <v>28</v>
      </c>
      <c r="F52" s="10" t="s">
        <v>20</v>
      </c>
      <c r="G52" s="11">
        <v>-53.356</v>
      </c>
      <c r="H52" s="10">
        <v>0.005</v>
      </c>
      <c r="I52" s="11">
        <v>-249.879</v>
      </c>
      <c r="J52" s="10">
        <v>0.013</v>
      </c>
      <c r="K52" s="11">
        <v>-2.261</v>
      </c>
      <c r="L52" s="10">
        <v>0.013</v>
      </c>
      <c r="M52" s="11">
        <v>-55.34</v>
      </c>
      <c r="N52" s="10">
        <v>0.342</v>
      </c>
      <c r="O52" s="32" t="s">
        <v>70</v>
      </c>
      <c r="P52" s="32" t="s">
        <v>70</v>
      </c>
      <c r="Q52" s="32" t="s">
        <v>70</v>
      </c>
      <c r="R52" s="10" t="s">
        <v>71</v>
      </c>
      <c r="S52" s="10" t="s">
        <v>71</v>
      </c>
    </row>
    <row r="53" ht="18.0" customHeight="1">
      <c r="A53" s="15" t="s">
        <v>67</v>
      </c>
      <c r="B53" s="16" t="s">
        <v>78</v>
      </c>
      <c r="C53" s="10" t="str">
        <f t="shared" si="3"/>
        <v>Douglas et al., 2020 GRL</v>
      </c>
      <c r="D53" s="10"/>
      <c r="E53" s="10" t="s">
        <v>28</v>
      </c>
      <c r="F53" s="10" t="s">
        <v>79</v>
      </c>
      <c r="G53" s="11">
        <v>-29.16</v>
      </c>
      <c r="H53" s="10">
        <v>0.005</v>
      </c>
      <c r="I53" s="11">
        <v>-343.22</v>
      </c>
      <c r="J53" s="10">
        <v>0.108</v>
      </c>
      <c r="K53" s="11">
        <v>-4.2</v>
      </c>
      <c r="L53" s="10">
        <v>0.278</v>
      </c>
      <c r="M53" s="11">
        <v>-30.0</v>
      </c>
      <c r="N53" s="10">
        <v>1.54</v>
      </c>
      <c r="O53" s="33">
        <v>120.0</v>
      </c>
      <c r="P53" s="34">
        <v>40.0</v>
      </c>
      <c r="Q53" s="34" t="s">
        <v>80</v>
      </c>
      <c r="R53" s="10" t="s">
        <v>71</v>
      </c>
      <c r="S53" s="10" t="s">
        <v>71</v>
      </c>
    </row>
    <row r="54" ht="15.75" customHeight="1">
      <c r="A54" s="15" t="s">
        <v>67</v>
      </c>
      <c r="B54" s="16" t="s">
        <v>78</v>
      </c>
      <c r="C54" s="10" t="str">
        <f t="shared" si="3"/>
        <v>Douglas et al., 2020 GRL</v>
      </c>
      <c r="D54" s="10"/>
      <c r="E54" s="10" t="s">
        <v>28</v>
      </c>
      <c r="F54" s="10" t="s">
        <v>79</v>
      </c>
      <c r="G54" s="11">
        <v>-88.22</v>
      </c>
      <c r="H54" s="10">
        <v>0.005</v>
      </c>
      <c r="I54" s="11">
        <v>-372.49</v>
      </c>
      <c r="J54" s="10">
        <v>0.087</v>
      </c>
      <c r="K54" s="11">
        <v>-6.4</v>
      </c>
      <c r="L54" s="10">
        <v>0.32</v>
      </c>
      <c r="M54" s="11">
        <v>-38.0</v>
      </c>
      <c r="N54" s="10">
        <v>2.61</v>
      </c>
      <c r="O54" s="33">
        <v>48.0</v>
      </c>
      <c r="P54" s="34">
        <v>17.0</v>
      </c>
      <c r="Q54" s="34" t="s">
        <v>81</v>
      </c>
      <c r="R54" s="10" t="s">
        <v>71</v>
      </c>
      <c r="S54" s="10" t="s">
        <v>71</v>
      </c>
    </row>
    <row r="55" ht="15.75" customHeight="1">
      <c r="A55" s="15" t="s">
        <v>67</v>
      </c>
      <c r="B55" s="16" t="s">
        <v>78</v>
      </c>
      <c r="C55" s="10" t="str">
        <f t="shared" si="3"/>
        <v>Douglas et al., 2020 GRL</v>
      </c>
      <c r="D55" s="10"/>
      <c r="E55" s="10" t="s">
        <v>28</v>
      </c>
      <c r="F55" s="10" t="s">
        <v>79</v>
      </c>
      <c r="G55" s="11">
        <v>-29.17</v>
      </c>
      <c r="H55" s="10">
        <v>0.005</v>
      </c>
      <c r="I55" s="11">
        <v>-343.03</v>
      </c>
      <c r="J55" s="10">
        <v>0.071</v>
      </c>
      <c r="K55" s="11">
        <v>-3.8</v>
      </c>
      <c r="L55" s="10">
        <v>0.277</v>
      </c>
      <c r="M55" s="11">
        <v>-35.0</v>
      </c>
      <c r="N55" s="10">
        <v>1.69</v>
      </c>
      <c r="O55" s="33">
        <v>168.0</v>
      </c>
      <c r="P55" s="34">
        <v>39.0</v>
      </c>
      <c r="Q55" s="34" t="s">
        <v>82</v>
      </c>
      <c r="R55" s="10" t="s">
        <v>71</v>
      </c>
      <c r="S55" s="10" t="s">
        <v>71</v>
      </c>
    </row>
    <row r="56" ht="15.75" customHeight="1">
      <c r="A56" s="15" t="s">
        <v>83</v>
      </c>
      <c r="B56" s="35" t="s">
        <v>84</v>
      </c>
      <c r="C56" s="10" t="str">
        <f t="shared" si="3"/>
        <v>Young et al., 2017 GCA (from USC?)</v>
      </c>
      <c r="D56" s="10"/>
      <c r="E56" s="10" t="s">
        <v>74</v>
      </c>
      <c r="F56" s="10" t="s">
        <v>20</v>
      </c>
      <c r="G56" s="11">
        <v>-50.529</v>
      </c>
      <c r="H56" s="10">
        <v>0.003</v>
      </c>
      <c r="I56" s="11">
        <v>-372.563</v>
      </c>
      <c r="J56" s="10">
        <v>0.021</v>
      </c>
      <c r="K56" s="11">
        <v>2.3</v>
      </c>
      <c r="L56" s="10">
        <v>0.122</v>
      </c>
      <c r="M56" s="11">
        <v>-12.108</v>
      </c>
      <c r="N56" s="10">
        <v>0.387</v>
      </c>
      <c r="O56" s="11" t="s">
        <v>70</v>
      </c>
    </row>
    <row r="57" ht="15.75" customHeight="1">
      <c r="A57" s="35" t="s">
        <v>85</v>
      </c>
      <c r="B57" s="35" t="s">
        <v>86</v>
      </c>
      <c r="C57" s="17" t="str">
        <f t="shared" si="3"/>
        <v>Gonzalez et al., 2019 </v>
      </c>
      <c r="D57" s="36"/>
      <c r="E57" s="36" t="s">
        <v>87</v>
      </c>
      <c r="F57" s="36" t="s">
        <v>88</v>
      </c>
      <c r="G57" s="37"/>
      <c r="H57" s="38"/>
      <c r="I57" s="37"/>
      <c r="J57" s="38"/>
      <c r="K57" s="37"/>
      <c r="L57" s="39"/>
      <c r="M57" s="37"/>
      <c r="N57" s="39"/>
      <c r="O57" s="39"/>
      <c r="P57" s="39"/>
      <c r="Q57" s="39"/>
      <c r="R57" s="39"/>
      <c r="S57" s="39"/>
    </row>
    <row r="58" ht="15.75" customHeight="1">
      <c r="A58" s="15"/>
      <c r="B58" s="16"/>
      <c r="C58" s="17"/>
      <c r="D58" s="17"/>
      <c r="E58" s="17"/>
      <c r="F58" s="17"/>
      <c r="G58" s="11"/>
      <c r="H58" s="17"/>
      <c r="I58" s="11"/>
      <c r="J58" s="17"/>
      <c r="K58" s="11"/>
      <c r="M58" s="11"/>
    </row>
    <row r="59" ht="15.75" customHeight="1">
      <c r="A59" s="19" t="s">
        <v>56</v>
      </c>
      <c r="B59" s="27" t="s">
        <v>57</v>
      </c>
      <c r="C59" s="21" t="s">
        <v>58</v>
      </c>
      <c r="D59" s="28">
        <v>2676.333</v>
      </c>
      <c r="E59" s="21" t="s">
        <v>63</v>
      </c>
      <c r="F59" s="21" t="s">
        <v>60</v>
      </c>
      <c r="G59" s="21">
        <v>-53.663</v>
      </c>
      <c r="H59" s="21">
        <v>0.004</v>
      </c>
      <c r="I59" s="21">
        <v>5.394</v>
      </c>
      <c r="J59" s="21">
        <v>0.019</v>
      </c>
      <c r="K59" s="21">
        <v>-4.377</v>
      </c>
      <c r="L59" s="21">
        <v>0.222</v>
      </c>
      <c r="M59" s="21">
        <v>43.251</v>
      </c>
      <c r="N59" s="23">
        <v>0.53</v>
      </c>
      <c r="O59" s="24" t="s">
        <v>61</v>
      </c>
      <c r="P59" s="25">
        <v>81.8</v>
      </c>
      <c r="Q59" s="9">
        <f t="shared" ref="Q59:Q62" si="4">P59/10*8</f>
        <v>65.44</v>
      </c>
    </row>
    <row r="60" ht="15.75" customHeight="1">
      <c r="A60" s="19" t="s">
        <v>56</v>
      </c>
      <c r="B60" s="27" t="s">
        <v>57</v>
      </c>
      <c r="C60" s="21" t="s">
        <v>58</v>
      </c>
      <c r="D60" s="28">
        <v>2676.333</v>
      </c>
      <c r="E60" s="21" t="s">
        <v>63</v>
      </c>
      <c r="F60" s="21" t="s">
        <v>60</v>
      </c>
      <c r="G60" s="21">
        <v>-53.159</v>
      </c>
      <c r="H60" s="21">
        <v>0.004</v>
      </c>
      <c r="I60" s="21">
        <v>0.301</v>
      </c>
      <c r="J60" s="21">
        <v>0.02</v>
      </c>
      <c r="K60" s="21">
        <v>-4.646</v>
      </c>
      <c r="L60" s="21">
        <v>0.162</v>
      </c>
      <c r="M60" s="21">
        <v>39.672</v>
      </c>
      <c r="N60" s="23">
        <v>0.618</v>
      </c>
      <c r="O60" s="24" t="s">
        <v>61</v>
      </c>
      <c r="P60" s="25">
        <v>106.1</v>
      </c>
      <c r="Q60" s="9">
        <f t="shared" si="4"/>
        <v>84.88</v>
      </c>
    </row>
    <row r="61" ht="15.75" customHeight="1">
      <c r="A61" s="19" t="s">
        <v>56</v>
      </c>
      <c r="B61" s="27" t="s">
        <v>57</v>
      </c>
      <c r="C61" s="21" t="s">
        <v>58</v>
      </c>
      <c r="D61" s="28">
        <v>7909.292</v>
      </c>
      <c r="E61" s="21" t="s">
        <v>63</v>
      </c>
      <c r="F61" s="21" t="s">
        <v>60</v>
      </c>
      <c r="G61" s="21">
        <v>-54.093</v>
      </c>
      <c r="H61" s="21">
        <v>0.004</v>
      </c>
      <c r="I61" s="21">
        <v>665.184</v>
      </c>
      <c r="J61" s="21">
        <v>0.051</v>
      </c>
      <c r="K61" s="21">
        <v>-6.407</v>
      </c>
      <c r="L61" s="21">
        <v>0.332</v>
      </c>
      <c r="M61" s="21">
        <v>98.668</v>
      </c>
      <c r="N61" s="23">
        <v>0.614</v>
      </c>
      <c r="O61" s="24" t="s">
        <v>61</v>
      </c>
      <c r="P61" s="25">
        <v>67.1</v>
      </c>
      <c r="Q61" s="9">
        <f t="shared" si="4"/>
        <v>53.68</v>
      </c>
    </row>
    <row r="62" ht="15.75" customHeight="1">
      <c r="A62" s="19" t="s">
        <v>56</v>
      </c>
      <c r="B62" s="27" t="s">
        <v>57</v>
      </c>
      <c r="C62" s="21" t="s">
        <v>62</v>
      </c>
      <c r="D62" s="28">
        <v>7909.292</v>
      </c>
      <c r="E62" s="21" t="s">
        <v>63</v>
      </c>
      <c r="F62" s="21" t="s">
        <v>60</v>
      </c>
      <c r="G62" s="21">
        <v>-54.099</v>
      </c>
      <c r="H62" s="21">
        <v>0.006</v>
      </c>
      <c r="I62" s="21">
        <v>621.528</v>
      </c>
      <c r="J62" s="21">
        <v>0.045</v>
      </c>
      <c r="K62" s="21">
        <v>-7.084</v>
      </c>
      <c r="L62" s="21">
        <v>0.288</v>
      </c>
      <c r="M62" s="21">
        <v>80.557</v>
      </c>
      <c r="N62" s="23">
        <v>0.544</v>
      </c>
      <c r="O62" s="24" t="s">
        <v>61</v>
      </c>
      <c r="P62" s="25">
        <v>62.3</v>
      </c>
      <c r="Q62" s="9">
        <f t="shared" si="4"/>
        <v>49.84</v>
      </c>
    </row>
    <row r="63" ht="15.75" customHeight="1">
      <c r="A63" s="19"/>
      <c r="B63" s="27"/>
      <c r="C63" s="21"/>
      <c r="D63" s="28"/>
      <c r="E63" s="21"/>
      <c r="F63" s="21"/>
      <c r="G63" s="21"/>
      <c r="H63" s="21"/>
      <c r="I63" s="21"/>
      <c r="J63" s="21"/>
      <c r="K63" s="21"/>
      <c r="L63" s="21"/>
      <c r="M63" s="21"/>
      <c r="N63" s="23"/>
      <c r="O63" s="24"/>
      <c r="P63" s="25"/>
      <c r="Q63" s="9"/>
    </row>
    <row r="64" ht="15.75" customHeight="1">
      <c r="A64" s="19"/>
      <c r="B64" s="27"/>
      <c r="C64" s="21"/>
      <c r="D64" s="28"/>
      <c r="E64" s="21"/>
      <c r="F64" s="21"/>
      <c r="G64" s="21"/>
      <c r="H64" s="21"/>
      <c r="I64" s="21"/>
      <c r="J64" s="21"/>
      <c r="K64" s="21"/>
      <c r="L64" s="21"/>
      <c r="M64" s="21"/>
      <c r="N64" s="23"/>
      <c r="O64" s="24"/>
      <c r="P64" s="25"/>
      <c r="Q64" s="9"/>
    </row>
    <row r="65" ht="15.75" customHeight="1">
      <c r="A65" s="15" t="s">
        <v>89</v>
      </c>
      <c r="B65" s="17" t="s">
        <v>90</v>
      </c>
      <c r="C65" s="17"/>
      <c r="D65" s="17"/>
      <c r="E65" s="17"/>
      <c r="F65" s="17"/>
      <c r="G65" s="17"/>
      <c r="H65" s="17"/>
      <c r="I65" s="17"/>
      <c r="J65" s="17"/>
    </row>
    <row r="66" ht="15.75" customHeight="1">
      <c r="A66" s="15" t="s">
        <v>91</v>
      </c>
      <c r="B66" s="40" t="s">
        <v>92</v>
      </c>
      <c r="C66" s="41"/>
      <c r="D66" s="41"/>
      <c r="E66" s="41" t="s">
        <v>93</v>
      </c>
      <c r="F66" s="41" t="s">
        <v>94</v>
      </c>
      <c r="G66" s="42" t="s">
        <v>95</v>
      </c>
      <c r="H66" s="41" t="s">
        <v>96</v>
      </c>
      <c r="I66" s="42" t="s">
        <v>97</v>
      </c>
      <c r="J66" s="43" t="s">
        <v>98</v>
      </c>
    </row>
    <row r="67" ht="15.75" customHeight="1">
      <c r="A67" s="15" t="s">
        <v>99</v>
      </c>
      <c r="B67" s="44">
        <v>105.0</v>
      </c>
      <c r="C67" s="45"/>
      <c r="D67" s="45"/>
      <c r="E67" s="45">
        <f>B67+273.15</f>
        <v>378.15</v>
      </c>
      <c r="F67" s="45">
        <f>1/E67</f>
        <v>0.002644453259</v>
      </c>
      <c r="G67" s="46">
        <f>1+0.0355502*F67-433.038*F67^2+1270210*F67^3-594804000*F67^4+119663000000*F67^5-9072300000000*F67^6</f>
        <v>1.003840148</v>
      </c>
      <c r="H67" s="47">
        <f>1000*LN(G67)</f>
        <v>3.832793741</v>
      </c>
      <c r="I67" s="45">
        <f>1+0.183798*F67-785.483*F67^2+1056280*F67^3+93730700*F67^4-89194800000*F67^5+9901730000000*F67^6</f>
        <v>1.010961926</v>
      </c>
      <c r="J67" s="48">
        <f>1000*LN(I67)</f>
        <v>10.90228005</v>
      </c>
    </row>
    <row r="68" ht="15.75" customHeight="1"/>
    <row r="69" ht="15.75" customHeight="1"/>
    <row r="70" ht="15.75" customHeight="1">
      <c r="A70" s="1" t="s">
        <v>100</v>
      </c>
    </row>
    <row r="71" ht="15.75" customHeight="1"/>
    <row r="72" ht="15.75" customHeight="1">
      <c r="A72" s="1" t="s">
        <v>5</v>
      </c>
      <c r="B72" s="1" t="s">
        <v>101</v>
      </c>
      <c r="C72" s="49" t="s">
        <v>102</v>
      </c>
      <c r="D72" s="1" t="s">
        <v>103</v>
      </c>
      <c r="E72" s="49" t="s">
        <v>102</v>
      </c>
      <c r="F72" s="1" t="s">
        <v>104</v>
      </c>
      <c r="G72" s="49" t="s">
        <v>102</v>
      </c>
      <c r="H72" s="1" t="s">
        <v>105</v>
      </c>
      <c r="I72" s="1"/>
      <c r="J72" s="1"/>
      <c r="K72" s="1"/>
      <c r="L72" s="1"/>
      <c r="M72" s="1"/>
      <c r="N72" s="1"/>
      <c r="O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8" t="s">
        <v>106</v>
      </c>
      <c r="B73" s="10" t="s">
        <v>71</v>
      </c>
      <c r="C73" s="10" t="s">
        <v>71</v>
      </c>
      <c r="D73" s="50">
        <v>-55.404999999999994</v>
      </c>
      <c r="E73" s="50">
        <v>0.6862701120307266</v>
      </c>
      <c r="F73" s="10" t="s">
        <v>71</v>
      </c>
      <c r="G73" s="10" t="s">
        <v>71</v>
      </c>
      <c r="H73" s="19" t="s">
        <v>107</v>
      </c>
    </row>
    <row r="74" ht="15.75" customHeight="1">
      <c r="A74" s="8" t="s">
        <v>108</v>
      </c>
      <c r="B74" s="10"/>
      <c r="C74" s="10"/>
      <c r="D74" s="50">
        <v>2697.45986975</v>
      </c>
      <c r="E74" s="50">
        <v>182.9200230060325</v>
      </c>
      <c r="F74" s="10"/>
      <c r="G74" s="10"/>
      <c r="H74" s="51"/>
    </row>
    <row r="75" ht="15.75" customHeight="1">
      <c r="A75" s="8" t="s">
        <v>109</v>
      </c>
      <c r="B75" s="10"/>
      <c r="C75" s="10"/>
      <c r="D75" s="52">
        <v>8029.932175</v>
      </c>
      <c r="E75" s="53">
        <v>114.1883598447537</v>
      </c>
      <c r="F75" s="10"/>
      <c r="G75" s="10"/>
      <c r="H75" s="51"/>
    </row>
    <row r="76" ht="15.75" customHeight="1">
      <c r="A76" s="8" t="s">
        <v>110</v>
      </c>
      <c r="B76" s="10" t="s">
        <v>71</v>
      </c>
      <c r="C76" s="10" t="s">
        <v>71</v>
      </c>
      <c r="D76" s="54">
        <v>-50.31618094422691</v>
      </c>
      <c r="E76" s="10">
        <f>0.1/2</f>
        <v>0.05</v>
      </c>
      <c r="F76" s="54">
        <v>-7.46614312585445</v>
      </c>
      <c r="G76" s="54">
        <v>0.020336272417009117</v>
      </c>
      <c r="H76" s="51" t="s">
        <v>111</v>
      </c>
    </row>
    <row r="77" ht="15.75" customHeight="1">
      <c r="A77" s="17" t="s">
        <v>112</v>
      </c>
      <c r="B77" s="10">
        <v>-37.57</v>
      </c>
      <c r="C77" s="10">
        <f>2.46/2</f>
        <v>1.23</v>
      </c>
      <c r="D77" s="10">
        <v>-65.03</v>
      </c>
      <c r="E77" s="10">
        <f>0.641/2</f>
        <v>0.3205</v>
      </c>
      <c r="F77" s="10" t="s">
        <v>113</v>
      </c>
      <c r="G77" s="10" t="s">
        <v>71</v>
      </c>
      <c r="H77" s="51" t="s">
        <v>114</v>
      </c>
    </row>
    <row r="78" ht="15.75" customHeight="1">
      <c r="A78" s="17" t="s">
        <v>115</v>
      </c>
      <c r="B78" s="10">
        <v>-41.67</v>
      </c>
      <c r="C78" s="10">
        <f>0.67/2</f>
        <v>0.335</v>
      </c>
      <c r="D78" s="10">
        <v>-109.73</v>
      </c>
      <c r="E78" s="10">
        <f>0.31/2</f>
        <v>0.155</v>
      </c>
      <c r="F78" s="10" t="s">
        <v>113</v>
      </c>
      <c r="G78" s="10" t="s">
        <v>71</v>
      </c>
      <c r="H78" s="51" t="s">
        <v>116</v>
      </c>
    </row>
    <row r="79" ht="15.75" customHeight="1">
      <c r="A79" s="17" t="s">
        <v>117</v>
      </c>
      <c r="B79" s="10">
        <v>-37.59</v>
      </c>
      <c r="C79" s="10">
        <f>2.63/2</f>
        <v>1.315</v>
      </c>
      <c r="D79" s="10">
        <v>1.97</v>
      </c>
      <c r="E79" s="10">
        <f>0.38/2</f>
        <v>0.19</v>
      </c>
      <c r="F79" s="10" t="s">
        <v>113</v>
      </c>
      <c r="G79" s="10" t="s">
        <v>71</v>
      </c>
      <c r="H79" s="51" t="s">
        <v>118</v>
      </c>
    </row>
    <row r="80" ht="15.75" customHeight="1">
      <c r="A80" s="21" t="s">
        <v>119</v>
      </c>
      <c r="B80" s="55">
        <v>-41.343</v>
      </c>
      <c r="C80" s="55">
        <v>0.017</v>
      </c>
      <c r="D80" s="55">
        <v>-54.113</v>
      </c>
      <c r="E80" s="55">
        <v>0.246</v>
      </c>
      <c r="H80" s="21" t="s">
        <v>120</v>
      </c>
    </row>
    <row r="81" ht="15.75" customHeight="1">
      <c r="A81" s="21" t="s">
        <v>121</v>
      </c>
    </row>
    <row r="82" ht="15.75" customHeight="1"/>
    <row r="83" ht="15.75" customHeight="1">
      <c r="A83" s="1" t="s">
        <v>122</v>
      </c>
    </row>
    <row r="84" ht="15.75" customHeight="1"/>
    <row r="85" ht="15.75" customHeight="1">
      <c r="A85" s="1" t="s">
        <v>123</v>
      </c>
      <c r="B85" s="1" t="s">
        <v>5</v>
      </c>
      <c r="C85" s="1"/>
      <c r="D85" s="1"/>
      <c r="E85" s="1" t="s">
        <v>124</v>
      </c>
      <c r="F85" s="10" t="s">
        <v>125</v>
      </c>
      <c r="G85" s="10" t="s">
        <v>126</v>
      </c>
    </row>
    <row r="86" ht="15.75" customHeight="1">
      <c r="A86" s="15" t="s">
        <v>34</v>
      </c>
      <c r="B86" s="10" t="s">
        <v>28</v>
      </c>
      <c r="C86" s="10"/>
      <c r="D86" s="10"/>
      <c r="E86" s="10" t="s">
        <v>127</v>
      </c>
      <c r="F86" s="10">
        <f>(B77-1000)/(G15-1000)</f>
        <v>0.9358952909</v>
      </c>
      <c r="G86" s="56">
        <f>(D76-1000)/(I15-1000)</f>
        <v>0.8160207175</v>
      </c>
    </row>
    <row r="87" ht="15.75" customHeight="1">
      <c r="A87" s="15" t="s">
        <v>34</v>
      </c>
      <c r="B87" s="10" t="s">
        <v>28</v>
      </c>
      <c r="C87" s="10"/>
      <c r="D87" s="10"/>
      <c r="E87" s="10" t="s">
        <v>127</v>
      </c>
      <c r="F87" s="10">
        <f t="shared" ref="F87:F88" si="5">(B77-1000)/(G16-1000)</f>
        <v>0.935814785</v>
      </c>
      <c r="G87" s="56">
        <f>(D76-1000)/(I16-1000)</f>
        <v>0.8160964811</v>
      </c>
    </row>
    <row r="88" ht="15.75" customHeight="1">
      <c r="A88" s="15" t="s">
        <v>34</v>
      </c>
      <c r="B88" s="10" t="s">
        <v>41</v>
      </c>
      <c r="C88" s="10"/>
      <c r="D88" s="10"/>
      <c r="E88" s="10" t="s">
        <v>127</v>
      </c>
      <c r="F88" s="10">
        <f t="shared" si="5"/>
        <v>0.956122194</v>
      </c>
      <c r="G88" s="56">
        <f>(D76-1000)/(I17-1000)</f>
        <v>0.7613637982</v>
      </c>
    </row>
    <row r="89" ht="15.75" customHeight="1">
      <c r="A89" s="15" t="s">
        <v>26</v>
      </c>
      <c r="B89" s="10" t="s">
        <v>33</v>
      </c>
      <c r="C89" s="10"/>
      <c r="D89" s="10"/>
      <c r="E89" s="10" t="s">
        <v>128</v>
      </c>
      <c r="F89" s="10">
        <f>(B79-1000)/(G13-1000)</f>
        <v>0.9548503033</v>
      </c>
      <c r="G89" s="56">
        <f>(D76-1000)/(I13-1000)</f>
        <v>0.8192510174</v>
      </c>
    </row>
    <row r="90" ht="15.75" customHeight="1"/>
    <row r="91" ht="15.75" customHeight="1">
      <c r="A91" s="15"/>
      <c r="G91" s="56"/>
    </row>
    <row r="92" ht="15.75" customHeight="1">
      <c r="A92" s="15"/>
      <c r="G92" s="56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78"/>
    <col customWidth="1" min="2" max="2" width="12.33"/>
    <col customWidth="1" min="3" max="3" width="15.33"/>
    <col customWidth="1" min="4" max="4" width="13.33"/>
    <col customWidth="1" min="5" max="5" width="15.33"/>
    <col customWidth="1" min="6" max="6" width="9.67"/>
    <col customWidth="1" min="7" max="7" width="12.78"/>
    <col customWidth="1" min="8" max="8" width="13.67"/>
    <col customWidth="1" min="9" max="26" width="10.56"/>
  </cols>
  <sheetData>
    <row r="1" ht="15.75" customHeight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7</v>
      </c>
      <c r="G1" s="1" t="s">
        <v>9</v>
      </c>
      <c r="H1" s="1" t="s">
        <v>10</v>
      </c>
      <c r="I1" s="1" t="s">
        <v>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7" t="s">
        <v>134</v>
      </c>
      <c r="B2" s="58">
        <v>0.9538</v>
      </c>
      <c r="C2" s="59">
        <v>0.204</v>
      </c>
      <c r="D2" s="59">
        <v>1.017</v>
      </c>
      <c r="E2" s="59">
        <v>0.997</v>
      </c>
      <c r="F2" s="59">
        <v>-103.942</v>
      </c>
      <c r="G2" s="59">
        <v>-250.172</v>
      </c>
      <c r="H2" s="59">
        <v>-3.826</v>
      </c>
      <c r="I2" s="60">
        <v>-49.067</v>
      </c>
    </row>
    <row r="3" ht="15.75" customHeight="1">
      <c r="A3" s="61" t="s">
        <v>135</v>
      </c>
      <c r="B3" s="62"/>
      <c r="C3" s="62"/>
      <c r="D3" s="62"/>
      <c r="E3" s="62"/>
      <c r="F3" s="63">
        <v>-108.6866660395</v>
      </c>
      <c r="G3" s="63">
        <v>-287.0597578585</v>
      </c>
      <c r="H3" s="63">
        <v>-3.7303308778471322</v>
      </c>
      <c r="I3" s="64">
        <v>-49.97362978642733</v>
      </c>
    </row>
    <row r="4" ht="15.75" customHeight="1"/>
    <row r="5" ht="15.75" customHeight="1">
      <c r="A5" s="57" t="s">
        <v>136</v>
      </c>
      <c r="B5" s="59">
        <v>0.956</v>
      </c>
      <c r="C5" s="58">
        <v>0.19025</v>
      </c>
      <c r="D5" s="59">
        <v>1.04</v>
      </c>
      <c r="E5" s="59">
        <v>0.997</v>
      </c>
      <c r="F5" s="59">
        <v>-88.5</v>
      </c>
      <c r="G5" s="59">
        <v>-286.975</v>
      </c>
      <c r="H5" s="59">
        <v>-3.609</v>
      </c>
      <c r="I5" s="60">
        <v>-31.719</v>
      </c>
    </row>
    <row r="6" ht="15.75" customHeight="1">
      <c r="A6" s="65" t="s">
        <v>137</v>
      </c>
      <c r="B6" s="62"/>
      <c r="C6" s="62"/>
      <c r="D6" s="62"/>
      <c r="E6" s="62"/>
      <c r="F6" s="66">
        <v>-89.473716388</v>
      </c>
      <c r="G6" s="63">
        <v>-379.519466749</v>
      </c>
      <c r="H6" s="63">
        <v>-3.4516053525226464</v>
      </c>
      <c r="I6" s="64">
        <v>-31.290961282690265</v>
      </c>
    </row>
    <row r="7" ht="15.75" customHeight="1">
      <c r="A7" s="67"/>
      <c r="F7" s="11"/>
      <c r="G7" s="11"/>
      <c r="H7" s="11"/>
      <c r="I7" s="11"/>
    </row>
    <row r="8" ht="15.75" customHeight="1">
      <c r="A8" s="57" t="s">
        <v>138</v>
      </c>
      <c r="B8" s="59">
        <v>0.955</v>
      </c>
      <c r="C8" s="58">
        <f>0.8192/4</f>
        <v>0.2048</v>
      </c>
      <c r="D8" s="59">
        <v>1.039</v>
      </c>
      <c r="E8" s="59">
        <v>1.001</v>
      </c>
      <c r="F8" s="59">
        <v>-88.5</v>
      </c>
      <c r="G8" s="59">
        <v>-199.718</v>
      </c>
      <c r="H8" s="59">
        <v>0.099</v>
      </c>
      <c r="I8" s="60">
        <v>-34.129</v>
      </c>
    </row>
    <row r="9" ht="15.75" customHeight="1">
      <c r="A9" s="65" t="s">
        <v>139</v>
      </c>
      <c r="B9" s="62"/>
      <c r="C9" s="62"/>
      <c r="D9" s="62"/>
      <c r="E9" s="62"/>
      <c r="F9" s="66">
        <v>-89.473716388</v>
      </c>
      <c r="G9" s="63">
        <v>-282.044402349</v>
      </c>
      <c r="H9" s="63">
        <v>0.355483257449718</v>
      </c>
      <c r="I9" s="64">
        <v>-34.28773911325711</v>
      </c>
    </row>
    <row r="10" ht="15.75" customHeight="1"/>
    <row r="11" ht="15.75" customHeight="1"/>
    <row r="12" ht="15.75" customHeight="1"/>
    <row r="13" ht="15.75" customHeight="1"/>
    <row r="14" ht="15.75" customHeight="1">
      <c r="A14" s="10" t="s">
        <v>140</v>
      </c>
    </row>
    <row r="15" ht="15.75" customHeight="1">
      <c r="A15" s="10" t="s">
        <v>141</v>
      </c>
    </row>
    <row r="16" ht="15.75" customHeight="1">
      <c r="A16" s="68" t="s">
        <v>142</v>
      </c>
    </row>
    <row r="17" ht="15.75" customHeight="1">
      <c r="A17" s="10" t="s">
        <v>143</v>
      </c>
    </row>
    <row r="18" ht="15.75" customHeight="1"/>
    <row r="19" ht="15.75" customHeight="1"/>
    <row r="20" ht="15.75" customHeight="1">
      <c r="A20" s="1" t="s">
        <v>144</v>
      </c>
    </row>
    <row r="21" ht="15.75" customHeight="1"/>
    <row r="22" ht="15.75" customHeight="1">
      <c r="A22" s="1" t="s">
        <v>5</v>
      </c>
      <c r="B22" s="1" t="s">
        <v>101</v>
      </c>
      <c r="C22" s="3" t="s">
        <v>145</v>
      </c>
      <c r="D22" s="1" t="s">
        <v>103</v>
      </c>
      <c r="E22" s="1" t="s">
        <v>146</v>
      </c>
      <c r="F22" s="3" t="s">
        <v>147</v>
      </c>
      <c r="G22" s="1" t="s">
        <v>104</v>
      </c>
      <c r="H22" s="3" t="s">
        <v>147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" t="s">
        <v>148</v>
      </c>
      <c r="B23" s="10" t="s">
        <v>71</v>
      </c>
      <c r="C23" s="10" t="s">
        <v>71</v>
      </c>
      <c r="D23" s="54">
        <v>-50.31618094422691</v>
      </c>
      <c r="E23" s="69">
        <f t="shared" ref="E23:E26" si="1">0.00015576*(D23/1000+1)</f>
        <v>0.0001479227517</v>
      </c>
      <c r="F23" s="10">
        <v>0.1</v>
      </c>
      <c r="G23" s="54">
        <v>-7.46614312585445</v>
      </c>
      <c r="H23" s="54">
        <v>0.020336272417009117</v>
      </c>
      <c r="I23" s="51"/>
    </row>
    <row r="24" ht="15.75" customHeight="1">
      <c r="A24" s="17" t="s">
        <v>112</v>
      </c>
      <c r="B24" s="10">
        <v>-37.57</v>
      </c>
      <c r="C24" s="10">
        <v>2.46</v>
      </c>
      <c r="D24" s="10">
        <v>-65.03</v>
      </c>
      <c r="E24" s="69">
        <f t="shared" si="1"/>
        <v>0.0001456309272</v>
      </c>
      <c r="F24" s="10">
        <v>0.641</v>
      </c>
      <c r="G24" s="10" t="s">
        <v>113</v>
      </c>
      <c r="H24" s="10" t="s">
        <v>71</v>
      </c>
      <c r="I24" s="51"/>
    </row>
    <row r="25" ht="15.75" customHeight="1">
      <c r="A25" s="17" t="s">
        <v>115</v>
      </c>
      <c r="B25" s="10">
        <v>-41.67</v>
      </c>
      <c r="C25" s="10">
        <v>0.67</v>
      </c>
      <c r="D25" s="10">
        <v>-109.73</v>
      </c>
      <c r="E25" s="69">
        <f t="shared" si="1"/>
        <v>0.0001386684552</v>
      </c>
      <c r="F25" s="10">
        <v>0.31</v>
      </c>
      <c r="G25" s="10" t="s">
        <v>113</v>
      </c>
      <c r="H25" s="10" t="s">
        <v>71</v>
      </c>
      <c r="I25" s="51"/>
    </row>
    <row r="26" ht="15.75" customHeight="1">
      <c r="A26" s="17" t="s">
        <v>117</v>
      </c>
      <c r="B26" s="10">
        <v>-37.59</v>
      </c>
      <c r="C26" s="10">
        <v>2.63</v>
      </c>
      <c r="D26" s="10">
        <v>1.97</v>
      </c>
      <c r="E26" s="69">
        <f t="shared" si="1"/>
        <v>0.0001560668472</v>
      </c>
      <c r="F26" s="10">
        <v>0.38</v>
      </c>
      <c r="G26" s="10" t="s">
        <v>113</v>
      </c>
      <c r="H26" s="10" t="s">
        <v>71</v>
      </c>
      <c r="I26" s="51"/>
    </row>
    <row r="27" ht="15.75" customHeight="1"/>
    <row r="28" ht="15.75" customHeight="1"/>
    <row r="29" ht="15.75" customHeight="1"/>
    <row r="30" ht="15.75" customHeight="1">
      <c r="A30" s="1" t="s">
        <v>122</v>
      </c>
    </row>
    <row r="31" ht="15.75" customHeight="1">
      <c r="D31" s="10" t="s">
        <v>149</v>
      </c>
      <c r="E31" s="10" t="s">
        <v>149</v>
      </c>
      <c r="F31" s="10" t="s">
        <v>149</v>
      </c>
      <c r="G31" s="10" t="s">
        <v>150</v>
      </c>
      <c r="H31" s="10">
        <v>1.5576E-4</v>
      </c>
    </row>
    <row r="32" ht="15.75" customHeight="1">
      <c r="A32" s="1" t="s">
        <v>123</v>
      </c>
      <c r="B32" s="1" t="s">
        <v>5</v>
      </c>
      <c r="C32" s="1" t="s">
        <v>124</v>
      </c>
      <c r="D32" s="10" t="s">
        <v>125</v>
      </c>
      <c r="E32" s="10" t="s">
        <v>126</v>
      </c>
      <c r="F32" s="1" t="s">
        <v>151</v>
      </c>
      <c r="G32" s="10" t="s">
        <v>126</v>
      </c>
    </row>
    <row r="33" ht="15.75" customHeight="1">
      <c r="A33" s="15" t="s">
        <v>34</v>
      </c>
      <c r="B33" s="10" t="s">
        <v>28</v>
      </c>
      <c r="C33" s="10" t="s">
        <v>127</v>
      </c>
      <c r="D33" s="70">
        <v>0.9358952908903312</v>
      </c>
      <c r="E33" s="71">
        <v>0.204</v>
      </c>
      <c r="F33" s="72">
        <f t="shared" ref="F33:F35" si="2">(E33-1)*1000</f>
        <v>-796</v>
      </c>
      <c r="G33" s="70">
        <f>(4*(H41-0.75*E24))/E23</f>
        <v>0.0493332282</v>
      </c>
      <c r="H33" s="70">
        <f t="shared" ref="H33:H35" si="3">(1-G33)/4</f>
        <v>0.2376666929</v>
      </c>
      <c r="I33" s="70">
        <f t="shared" ref="I33:I35" si="4">(H33-1)*1000</f>
        <v>-762.3333071</v>
      </c>
    </row>
    <row r="34" ht="15.75" customHeight="1">
      <c r="A34" s="15" t="s">
        <v>34</v>
      </c>
      <c r="B34" s="10" t="s">
        <v>41</v>
      </c>
      <c r="C34" s="10" t="s">
        <v>127</v>
      </c>
      <c r="D34" s="70">
        <v>0.9561221939832688</v>
      </c>
      <c r="E34" s="71">
        <v>0.19025</v>
      </c>
      <c r="F34" s="72">
        <f t="shared" si="2"/>
        <v>-809.75</v>
      </c>
      <c r="G34" s="70">
        <f>(4*(H43-0.75*E25))/E23</f>
        <v>-0.1988955305</v>
      </c>
      <c r="H34" s="70">
        <f t="shared" si="3"/>
        <v>0.2997238826</v>
      </c>
      <c r="I34" s="70">
        <f t="shared" si="4"/>
        <v>-700.2761174</v>
      </c>
    </row>
    <row r="35" ht="15.75" customHeight="1">
      <c r="A35" s="15" t="s">
        <v>26</v>
      </c>
      <c r="B35" s="10" t="s">
        <v>33</v>
      </c>
      <c r="C35" s="10" t="s">
        <v>128</v>
      </c>
      <c r="D35" s="70">
        <v>0.9548503033176219</v>
      </c>
      <c r="E35" s="71">
        <f>0.8192/4</f>
        <v>0.2048</v>
      </c>
      <c r="F35" s="72">
        <f t="shared" si="2"/>
        <v>-795.2</v>
      </c>
      <c r="G35" s="70">
        <f>(4*(H48-0.75*E26))/E23</f>
        <v>-0.09810175087</v>
      </c>
      <c r="H35" s="70">
        <f t="shared" si="3"/>
        <v>0.2745254377</v>
      </c>
      <c r="I35" s="70">
        <f t="shared" si="4"/>
        <v>-725.4745623</v>
      </c>
    </row>
    <row r="36" ht="15.75" customHeight="1"/>
    <row r="37" ht="15.75" customHeight="1">
      <c r="A37" s="1" t="s">
        <v>123</v>
      </c>
      <c r="B37" s="1" t="s">
        <v>2</v>
      </c>
      <c r="C37" s="1" t="s">
        <v>5</v>
      </c>
      <c r="D37" s="1" t="s">
        <v>6</v>
      </c>
      <c r="E37" s="1" t="s">
        <v>7</v>
      </c>
    </row>
    <row r="38" ht="15.75" customHeight="1">
      <c r="A38" s="15" t="s">
        <v>34</v>
      </c>
      <c r="B38" s="16" t="s">
        <v>38</v>
      </c>
      <c r="C38" s="10" t="s">
        <v>28</v>
      </c>
      <c r="D38" s="10" t="s">
        <v>37</v>
      </c>
      <c r="E38" s="11">
        <v>-108.638979274</v>
      </c>
      <c r="F38" s="3" t="s">
        <v>8</v>
      </c>
      <c r="G38" s="1" t="s">
        <v>9</v>
      </c>
      <c r="H38" s="1" t="s">
        <v>146</v>
      </c>
      <c r="I38" s="3" t="s">
        <v>8</v>
      </c>
      <c r="J38" s="1" t="s">
        <v>10</v>
      </c>
      <c r="K38" s="3" t="s">
        <v>8</v>
      </c>
      <c r="L38" s="1" t="s">
        <v>11</v>
      </c>
      <c r="M38" s="3" t="s">
        <v>8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5" t="s">
        <v>34</v>
      </c>
      <c r="B39" s="16" t="s">
        <v>39</v>
      </c>
      <c r="C39" s="10" t="s">
        <v>28</v>
      </c>
      <c r="D39" s="10" t="s">
        <v>37</v>
      </c>
      <c r="E39" s="11">
        <v>-108.734352805</v>
      </c>
      <c r="F39" s="10">
        <v>0.004</v>
      </c>
      <c r="G39" s="11">
        <v>-287.119503675</v>
      </c>
      <c r="H39" s="69">
        <f t="shared" ref="H39:H40" si="5">0.00015576*(G39/1000+1)</f>
        <v>0.0001110382661</v>
      </c>
      <c r="I39" s="10">
        <v>0.029</v>
      </c>
      <c r="J39" s="11">
        <v>-3.5097186752661713</v>
      </c>
      <c r="K39" s="11">
        <v>0.15461695204145698</v>
      </c>
      <c r="L39" s="11">
        <v>-51.84694250150501</v>
      </c>
      <c r="M39" s="10">
        <v>0.8262695335323955</v>
      </c>
      <c r="N39" s="13"/>
      <c r="O39" s="9"/>
      <c r="P39" s="14"/>
    </row>
    <row r="40" ht="15.75" customHeight="1">
      <c r="A40" s="73" t="s">
        <v>152</v>
      </c>
      <c r="B40" s="16"/>
      <c r="E40" s="11">
        <f>AVERAGE(E38:E39)</f>
        <v>-108.686666</v>
      </c>
      <c r="F40" s="10">
        <v>0.006</v>
      </c>
      <c r="G40" s="11">
        <v>-287.00001204200004</v>
      </c>
      <c r="H40" s="69">
        <f t="shared" si="5"/>
        <v>0.0001110568781</v>
      </c>
      <c r="I40" s="10">
        <v>0.029</v>
      </c>
      <c r="J40" s="11">
        <v>-3.950943080428093</v>
      </c>
      <c r="K40" s="11">
        <v>0.22163119238771817</v>
      </c>
      <c r="L40" s="11">
        <v>-48.10031707134965</v>
      </c>
      <c r="M40" s="10">
        <v>1.0361628856195753</v>
      </c>
      <c r="N40" s="13"/>
      <c r="O40" s="9"/>
      <c r="P40" s="14"/>
    </row>
    <row r="41" ht="15.75" customHeight="1">
      <c r="A41" s="73"/>
      <c r="B41" s="16"/>
      <c r="E41" s="11"/>
      <c r="G41" s="11">
        <f t="shared" ref="G41:H41" si="6">AVERAGE(G39:G40)</f>
        <v>-287.0597579</v>
      </c>
      <c r="H41" s="69">
        <f t="shared" si="6"/>
        <v>0.0001110475721</v>
      </c>
      <c r="J41" s="11">
        <f>AVERAGE(J39:J40)</f>
        <v>-3.730330878</v>
      </c>
      <c r="K41" s="11"/>
      <c r="L41" s="11">
        <f>AVERAGE(L39:L40)</f>
        <v>-49.97362979</v>
      </c>
      <c r="N41" s="13"/>
      <c r="O41" s="9"/>
      <c r="P41" s="14"/>
    </row>
    <row r="42" ht="15.75" customHeight="1">
      <c r="A42" s="15" t="s">
        <v>34</v>
      </c>
      <c r="B42" s="16" t="s">
        <v>40</v>
      </c>
      <c r="C42" s="10" t="s">
        <v>41</v>
      </c>
      <c r="D42" s="10" t="s">
        <v>37</v>
      </c>
      <c r="E42" s="11">
        <v>-89.473716388</v>
      </c>
      <c r="G42" s="11"/>
      <c r="H42" s="11"/>
      <c r="J42" s="11"/>
      <c r="K42" s="11"/>
      <c r="L42" s="11"/>
      <c r="N42" s="13"/>
      <c r="O42" s="9"/>
      <c r="P42" s="14"/>
    </row>
    <row r="43" ht="15.75" customHeight="1">
      <c r="A43" s="15"/>
      <c r="B43" s="16"/>
      <c r="E43" s="11"/>
      <c r="F43" s="10">
        <v>0.003</v>
      </c>
      <c r="G43" s="11">
        <v>-379.519466749</v>
      </c>
      <c r="H43" s="69">
        <f>0.00015576*(G43/1000+1)</f>
        <v>0.00009664604786</v>
      </c>
      <c r="I43" s="10">
        <v>0.024</v>
      </c>
      <c r="J43" s="11">
        <v>-3.4516053525226464</v>
      </c>
      <c r="K43" s="11">
        <v>0.14114733227959939</v>
      </c>
      <c r="L43" s="11">
        <v>-31.290961282690265</v>
      </c>
      <c r="M43" s="10">
        <v>0.7888486218614638</v>
      </c>
      <c r="N43" s="13"/>
      <c r="O43" s="9"/>
      <c r="P43" s="14"/>
    </row>
    <row r="44" ht="15.75" customHeight="1">
      <c r="A44" s="15" t="s">
        <v>26</v>
      </c>
      <c r="B44" s="16" t="s">
        <v>27</v>
      </c>
      <c r="C44" s="10" t="s">
        <v>28</v>
      </c>
      <c r="D44" s="10" t="s">
        <v>29</v>
      </c>
      <c r="E44" s="11">
        <v>-79.113646162</v>
      </c>
      <c r="G44" s="11"/>
      <c r="H44" s="11"/>
      <c r="J44" s="11"/>
      <c r="K44" s="11"/>
      <c r="L44" s="11"/>
      <c r="N44" s="13"/>
      <c r="O44" s="9"/>
      <c r="P44" s="14"/>
    </row>
    <row r="45" ht="15.75" customHeight="1">
      <c r="A45" s="15" t="s">
        <v>26</v>
      </c>
      <c r="B45" s="16" t="s">
        <v>30</v>
      </c>
      <c r="C45" s="10" t="s">
        <v>28</v>
      </c>
      <c r="D45" s="10" t="s">
        <v>29</v>
      </c>
      <c r="E45" s="11">
        <v>-72.148488292</v>
      </c>
      <c r="F45" s="10">
        <v>0.003</v>
      </c>
      <c r="G45" s="11">
        <v>-275.57774098199997</v>
      </c>
      <c r="H45" s="69">
        <f t="shared" ref="H45:H47" si="7">0.00015576*(G45/1000+1)</f>
        <v>0.0001128360111</v>
      </c>
      <c r="I45" s="10">
        <v>0.034</v>
      </c>
      <c r="J45" s="11">
        <v>-4.173654262705884</v>
      </c>
      <c r="K45" s="11">
        <v>0.14155293511131972</v>
      </c>
      <c r="L45" s="11">
        <v>-45.79551728888731</v>
      </c>
      <c r="M45" s="10">
        <v>0.6560091291340414</v>
      </c>
      <c r="N45" s="13"/>
      <c r="O45" s="9"/>
      <c r="P45" s="14"/>
    </row>
    <row r="46" ht="15.75" customHeight="1">
      <c r="A46" s="15" t="s">
        <v>26</v>
      </c>
      <c r="B46" s="16" t="s">
        <v>31</v>
      </c>
      <c r="C46" s="10" t="s">
        <v>28</v>
      </c>
      <c r="D46" s="10" t="s">
        <v>29</v>
      </c>
      <c r="E46" s="11">
        <v>-65.998340596</v>
      </c>
      <c r="F46" s="10">
        <v>0.003</v>
      </c>
      <c r="G46" s="11">
        <v>-270.374680112</v>
      </c>
      <c r="H46" s="69">
        <f t="shared" si="7"/>
        <v>0.0001136464398</v>
      </c>
      <c r="I46" s="10">
        <v>0.031</v>
      </c>
      <c r="J46" s="11">
        <v>-5.509001650157219</v>
      </c>
      <c r="K46" s="11">
        <v>0.11680695062175424</v>
      </c>
      <c r="L46" s="11">
        <v>-47.81527841033495</v>
      </c>
      <c r="M46" s="10">
        <v>0.5588298078885572</v>
      </c>
      <c r="N46" s="13"/>
      <c r="O46" s="9"/>
      <c r="P46" s="14"/>
    </row>
    <row r="47" ht="15.75" customHeight="1">
      <c r="A47" s="73" t="s">
        <v>152</v>
      </c>
      <c r="E47" s="11">
        <f>AVERAGE(E44:E46)</f>
        <v>-72.42015835</v>
      </c>
      <c r="F47" s="10">
        <v>0.005</v>
      </c>
      <c r="G47" s="11">
        <v>-269.489312973</v>
      </c>
      <c r="H47" s="69">
        <f t="shared" si="7"/>
        <v>0.0001137843446</v>
      </c>
      <c r="I47" s="10">
        <v>0.028</v>
      </c>
      <c r="J47" s="11">
        <v>-3.2182330572408935</v>
      </c>
      <c r="K47" s="11">
        <v>0.21039868836534542</v>
      </c>
      <c r="L47" s="11">
        <v>-45.703090064618145</v>
      </c>
      <c r="M47" s="10">
        <v>0.8025973149644103</v>
      </c>
      <c r="N47" s="13"/>
      <c r="O47" s="9"/>
      <c r="P47" s="14"/>
    </row>
    <row r="48" ht="15.75" customHeight="1">
      <c r="G48" s="11">
        <f t="shared" ref="G48:H48" si="8">AVERAGE(G45:G47)</f>
        <v>-271.8139114</v>
      </c>
      <c r="H48" s="69">
        <f t="shared" si="8"/>
        <v>0.0001134222652</v>
      </c>
      <c r="J48" s="11">
        <f>AVERAGE(J45:J47)</f>
        <v>-4.300296323</v>
      </c>
      <c r="L48" s="11">
        <f>AVERAGE(L45:L47)</f>
        <v>-46.43796192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</v>
      </c>
      <c r="B1" s="1" t="s">
        <v>2</v>
      </c>
      <c r="C1" s="2" t="s">
        <v>3</v>
      </c>
      <c r="D1" s="2" t="s">
        <v>4</v>
      </c>
      <c r="E1" s="3" t="s">
        <v>8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3" t="s">
        <v>8</v>
      </c>
      <c r="L1" s="1" t="s">
        <v>10</v>
      </c>
      <c r="M1" s="3" t="s">
        <v>8</v>
      </c>
      <c r="N1" s="1" t="s">
        <v>11</v>
      </c>
      <c r="O1" s="3" t="s">
        <v>8</v>
      </c>
      <c r="P1" s="1" t="s">
        <v>12</v>
      </c>
      <c r="Q1" s="1" t="s">
        <v>13</v>
      </c>
      <c r="R1" s="1" t="s">
        <v>14</v>
      </c>
      <c r="U1" s="21" t="s">
        <v>153</v>
      </c>
      <c r="V1" s="21" t="s">
        <v>154</v>
      </c>
      <c r="W1" s="21" t="s">
        <v>155</v>
      </c>
      <c r="X1" s="21" t="s">
        <v>154</v>
      </c>
      <c r="Z1" s="21" t="s">
        <v>156</v>
      </c>
    </row>
    <row r="2">
      <c r="A2" s="4" t="s">
        <v>55</v>
      </c>
      <c r="B2" s="1"/>
      <c r="O2" s="11"/>
      <c r="P2" s="13"/>
      <c r="Q2" s="9"/>
      <c r="R2" s="14"/>
    </row>
    <row r="3">
      <c r="A3" s="19" t="s">
        <v>56</v>
      </c>
      <c r="B3" s="20" t="s">
        <v>57</v>
      </c>
      <c r="C3" s="21" t="s">
        <v>58</v>
      </c>
      <c r="D3" s="22">
        <v>-54.65</v>
      </c>
      <c r="E3" s="74">
        <v>0.22</v>
      </c>
      <c r="F3" s="21" t="s">
        <v>59</v>
      </c>
      <c r="G3" s="21" t="s">
        <v>60</v>
      </c>
      <c r="H3" s="21">
        <v>-73.153</v>
      </c>
      <c r="I3" s="21">
        <v>0.004</v>
      </c>
      <c r="J3" s="21">
        <v>-536.753</v>
      </c>
      <c r="K3" s="21">
        <v>0.028</v>
      </c>
      <c r="L3" s="21">
        <v>-1.975</v>
      </c>
      <c r="M3" s="21">
        <v>0.215</v>
      </c>
      <c r="N3" s="21">
        <v>-9.876</v>
      </c>
      <c r="O3" s="23">
        <v>0.981</v>
      </c>
      <c r="P3" s="24" t="s">
        <v>61</v>
      </c>
      <c r="Q3" s="25">
        <v>93.2</v>
      </c>
      <c r="R3" s="9">
        <f t="shared" ref="R3:R9" si="1">Q3/10*8</f>
        <v>74.56</v>
      </c>
      <c r="U3" s="18">
        <f t="shared" ref="U3:U9" si="2">D3+1000</f>
        <v>945.35</v>
      </c>
      <c r="V3" s="50">
        <f t="shared" ref="V3:V9" si="3">2*E3</f>
        <v>0.44</v>
      </c>
      <c r="W3" s="50">
        <f t="shared" ref="W3:W9" si="4">J3+1000</f>
        <v>463.247</v>
      </c>
      <c r="X3" s="50">
        <f t="shared" ref="X3:X9" si="5">K3*2</f>
        <v>0.056</v>
      </c>
      <c r="Z3" s="18">
        <v>945.35</v>
      </c>
      <c r="AA3" s="50">
        <v>0.44</v>
      </c>
      <c r="AB3" s="50">
        <v>463.24699999999996</v>
      </c>
      <c r="AC3" s="50">
        <v>0.056</v>
      </c>
    </row>
    <row r="4">
      <c r="A4" s="19" t="s">
        <v>56</v>
      </c>
      <c r="B4" s="20" t="s">
        <v>57</v>
      </c>
      <c r="C4" s="21" t="s">
        <v>58</v>
      </c>
      <c r="D4" s="22">
        <v>-54.65</v>
      </c>
      <c r="E4" s="74">
        <v>0.22</v>
      </c>
      <c r="F4" s="21" t="s">
        <v>59</v>
      </c>
      <c r="G4" s="21" t="s">
        <v>60</v>
      </c>
      <c r="H4" s="21">
        <v>-71.834</v>
      </c>
      <c r="I4" s="21">
        <v>0.005</v>
      </c>
      <c r="J4" s="21">
        <v>-536.883</v>
      </c>
      <c r="K4" s="21">
        <v>0.0027</v>
      </c>
      <c r="L4" s="21">
        <v>-2.509</v>
      </c>
      <c r="M4" s="21">
        <v>0.215</v>
      </c>
      <c r="N4" s="21">
        <v>-9.857</v>
      </c>
      <c r="O4" s="23">
        <v>0.963</v>
      </c>
      <c r="P4" s="24" t="s">
        <v>61</v>
      </c>
      <c r="Q4" s="25">
        <v>87.8</v>
      </c>
      <c r="R4" s="9">
        <f t="shared" si="1"/>
        <v>70.24</v>
      </c>
      <c r="U4" s="18">
        <f t="shared" si="2"/>
        <v>945.35</v>
      </c>
      <c r="V4" s="50">
        <f t="shared" si="3"/>
        <v>0.44</v>
      </c>
      <c r="W4" s="50">
        <f t="shared" si="4"/>
        <v>463.117</v>
      </c>
      <c r="X4" s="50">
        <f t="shared" si="5"/>
        <v>0.0054</v>
      </c>
      <c r="Z4" s="18">
        <v>945.35</v>
      </c>
      <c r="AA4" s="50">
        <v>0.44</v>
      </c>
      <c r="AB4" s="50">
        <v>463.11699999999996</v>
      </c>
      <c r="AC4" s="50">
        <v>0.0054</v>
      </c>
    </row>
    <row r="5">
      <c r="A5" s="19" t="s">
        <v>56</v>
      </c>
      <c r="B5" s="20" t="s">
        <v>57</v>
      </c>
      <c r="C5" s="21" t="s">
        <v>58</v>
      </c>
      <c r="D5" s="22">
        <v>-54.996</v>
      </c>
      <c r="E5" s="74">
        <v>0.25</v>
      </c>
      <c r="F5" s="21" t="s">
        <v>28</v>
      </c>
      <c r="G5" s="21" t="s">
        <v>60</v>
      </c>
      <c r="H5" s="21">
        <v>-103.899</v>
      </c>
      <c r="I5" s="21">
        <v>0.005</v>
      </c>
      <c r="J5" s="21">
        <v>-295.189</v>
      </c>
      <c r="K5" s="21">
        <v>0.022</v>
      </c>
      <c r="L5" s="21">
        <v>-4.432</v>
      </c>
      <c r="M5" s="21">
        <v>0.121</v>
      </c>
      <c r="N5" s="21">
        <v>-47.647</v>
      </c>
      <c r="O5" s="23">
        <v>0.682</v>
      </c>
      <c r="P5" s="24" t="s">
        <v>61</v>
      </c>
      <c r="Q5" s="25">
        <v>135.6</v>
      </c>
      <c r="R5" s="9">
        <f t="shared" si="1"/>
        <v>108.48</v>
      </c>
      <c r="U5" s="18">
        <f t="shared" si="2"/>
        <v>945.004</v>
      </c>
      <c r="V5" s="50">
        <f t="shared" si="3"/>
        <v>0.5</v>
      </c>
      <c r="W5" s="50">
        <f t="shared" si="4"/>
        <v>704.811</v>
      </c>
      <c r="X5" s="50">
        <f t="shared" si="5"/>
        <v>0.044</v>
      </c>
      <c r="Z5" s="75">
        <v>3937.232</v>
      </c>
      <c r="AA5" s="18">
        <v>6.667172954</v>
      </c>
      <c r="AB5" s="50">
        <v>1806.047</v>
      </c>
      <c r="AC5" s="50">
        <v>0.102</v>
      </c>
    </row>
    <row r="6">
      <c r="A6" s="19" t="s">
        <v>56</v>
      </c>
      <c r="B6" s="20" t="s">
        <v>57</v>
      </c>
      <c r="C6" s="21" t="s">
        <v>62</v>
      </c>
      <c r="D6" s="22">
        <v>-54.996</v>
      </c>
      <c r="E6" s="74">
        <v>0.25</v>
      </c>
      <c r="F6" s="21" t="s">
        <v>28</v>
      </c>
      <c r="G6" s="21" t="s">
        <v>60</v>
      </c>
      <c r="H6" s="21">
        <v>-98.504</v>
      </c>
      <c r="I6" s="21">
        <v>0.005</v>
      </c>
      <c r="J6" s="21">
        <v>-290.482</v>
      </c>
      <c r="K6" s="21">
        <v>0.037</v>
      </c>
      <c r="L6" s="21">
        <v>-9.235</v>
      </c>
      <c r="M6" s="21">
        <v>0.193</v>
      </c>
      <c r="N6" s="21">
        <v>-47.879</v>
      </c>
      <c r="O6" s="23">
        <v>0.873</v>
      </c>
      <c r="P6" s="24" t="s">
        <v>61</v>
      </c>
      <c r="Q6" s="25">
        <v>185.4</v>
      </c>
      <c r="R6" s="9">
        <f t="shared" si="1"/>
        <v>148.32</v>
      </c>
      <c r="U6" s="18">
        <f t="shared" si="2"/>
        <v>945.004</v>
      </c>
      <c r="V6" s="50">
        <f t="shared" si="3"/>
        <v>0.5</v>
      </c>
      <c r="W6" s="50">
        <f t="shared" si="4"/>
        <v>709.518</v>
      </c>
      <c r="X6" s="50">
        <f t="shared" si="5"/>
        <v>0.074</v>
      </c>
      <c r="Z6" s="75">
        <v>3937.232</v>
      </c>
      <c r="AA6" s="18">
        <v>6.667172954</v>
      </c>
      <c r="AB6" s="50">
        <v>1793.2359999999999</v>
      </c>
      <c r="AC6" s="50">
        <v>0.088</v>
      </c>
    </row>
    <row r="7">
      <c r="A7" s="19" t="s">
        <v>56</v>
      </c>
      <c r="B7" s="20" t="s">
        <v>57</v>
      </c>
      <c r="C7" s="21" t="s">
        <v>58</v>
      </c>
      <c r="D7" s="22">
        <v>-54.996</v>
      </c>
      <c r="E7" s="74">
        <v>0.25</v>
      </c>
      <c r="F7" s="21" t="s">
        <v>28</v>
      </c>
      <c r="G7" s="21" t="s">
        <v>60</v>
      </c>
      <c r="H7" s="21">
        <v>-85.93</v>
      </c>
      <c r="I7" s="21">
        <v>0.005</v>
      </c>
      <c r="J7" s="21">
        <v>-279.402</v>
      </c>
      <c r="K7" s="21">
        <v>0.019</v>
      </c>
      <c r="L7" s="21">
        <v>-5.21</v>
      </c>
      <c r="M7" s="21">
        <v>0.219</v>
      </c>
      <c r="N7" s="21">
        <v>-49.478</v>
      </c>
      <c r="O7" s="23">
        <v>0.749</v>
      </c>
      <c r="P7" s="24" t="s">
        <v>61</v>
      </c>
      <c r="Q7" s="25">
        <v>355.0</v>
      </c>
      <c r="R7" s="9">
        <f t="shared" si="1"/>
        <v>284</v>
      </c>
      <c r="U7" s="18">
        <f t="shared" si="2"/>
        <v>945.004</v>
      </c>
      <c r="V7" s="50">
        <f t="shared" si="3"/>
        <v>0.5</v>
      </c>
      <c r="W7" s="50">
        <f t="shared" si="4"/>
        <v>720.598</v>
      </c>
      <c r="X7" s="50">
        <f t="shared" si="5"/>
        <v>0.038</v>
      </c>
      <c r="Z7" s="75">
        <v>8988.017</v>
      </c>
      <c r="AA7" s="18">
        <v>13.769000324</v>
      </c>
      <c r="AB7" s="50">
        <v>4333.248</v>
      </c>
      <c r="AC7" s="50">
        <v>0.354</v>
      </c>
    </row>
    <row r="8">
      <c r="A8" s="19" t="s">
        <v>56</v>
      </c>
      <c r="B8" s="20" t="s">
        <v>57</v>
      </c>
      <c r="C8" s="21" t="s">
        <v>58</v>
      </c>
      <c r="D8" s="22">
        <v>-56.04</v>
      </c>
      <c r="E8" s="74">
        <v>0.4</v>
      </c>
      <c r="F8" s="21" t="s">
        <v>63</v>
      </c>
      <c r="G8" s="21" t="s">
        <v>60</v>
      </c>
      <c r="H8" s="21">
        <v>-47.773</v>
      </c>
      <c r="I8" s="21">
        <v>0.003</v>
      </c>
      <c r="J8" s="21">
        <v>-318.49</v>
      </c>
      <c r="K8" s="21">
        <v>0.022</v>
      </c>
      <c r="L8" s="21">
        <v>-1.961</v>
      </c>
      <c r="M8" s="21">
        <v>0.244</v>
      </c>
      <c r="N8" s="21">
        <v>-39.768</v>
      </c>
      <c r="O8" s="23">
        <v>0.774</v>
      </c>
      <c r="P8" s="24" t="s">
        <v>61</v>
      </c>
      <c r="Q8" s="25">
        <v>231.0</v>
      </c>
      <c r="R8" s="9">
        <f t="shared" si="1"/>
        <v>184.8</v>
      </c>
      <c r="U8" s="18">
        <f t="shared" si="2"/>
        <v>943.96</v>
      </c>
      <c r="V8" s="50">
        <f t="shared" si="3"/>
        <v>0.8</v>
      </c>
      <c r="W8" s="50">
        <f t="shared" si="4"/>
        <v>681.51</v>
      </c>
      <c r="X8" s="50">
        <f t="shared" si="5"/>
        <v>0.044</v>
      </c>
      <c r="Z8" s="75">
        <v>8988.017</v>
      </c>
      <c r="AA8" s="18">
        <v>13.769000324</v>
      </c>
      <c r="AB8" s="50">
        <v>4344.2880000000005</v>
      </c>
      <c r="AC8" s="50">
        <v>0.336</v>
      </c>
    </row>
    <row r="9">
      <c r="A9" s="19" t="s">
        <v>56</v>
      </c>
      <c r="B9" s="20" t="s">
        <v>57</v>
      </c>
      <c r="C9" s="21" t="s">
        <v>62</v>
      </c>
      <c r="D9" s="22">
        <v>-56.04</v>
      </c>
      <c r="E9" s="74">
        <v>0.4</v>
      </c>
      <c r="F9" s="21" t="s">
        <v>63</v>
      </c>
      <c r="G9" s="21" t="s">
        <v>60</v>
      </c>
      <c r="H9" s="21">
        <v>-48.577</v>
      </c>
      <c r="I9" s="21">
        <v>0.029</v>
      </c>
      <c r="J9" s="21">
        <v>-319.383</v>
      </c>
      <c r="K9" s="21">
        <v>0.023</v>
      </c>
      <c r="L9" s="21">
        <v>-1.906</v>
      </c>
      <c r="M9" s="21">
        <v>0.238</v>
      </c>
      <c r="N9" s="21">
        <v>-41.24</v>
      </c>
      <c r="O9" s="23">
        <v>0.728</v>
      </c>
      <c r="P9" s="24" t="s">
        <v>61</v>
      </c>
      <c r="Q9" s="25">
        <v>223.2</v>
      </c>
      <c r="R9" s="9">
        <f t="shared" si="1"/>
        <v>178.56</v>
      </c>
      <c r="U9" s="18">
        <f t="shared" si="2"/>
        <v>943.96</v>
      </c>
      <c r="V9" s="50">
        <f t="shared" si="3"/>
        <v>0.8</v>
      </c>
      <c r="W9" s="50">
        <f t="shared" si="4"/>
        <v>680.617</v>
      </c>
      <c r="X9" s="50">
        <f t="shared" si="5"/>
        <v>0.046</v>
      </c>
    </row>
    <row r="10">
      <c r="A10" s="26" t="s">
        <v>64</v>
      </c>
      <c r="B10" s="1"/>
      <c r="O10" s="11"/>
      <c r="P10" s="24"/>
      <c r="Q10" s="9"/>
      <c r="R10" s="9"/>
      <c r="Z10" s="21" t="s">
        <v>28</v>
      </c>
    </row>
    <row r="11">
      <c r="A11" s="19" t="s">
        <v>56</v>
      </c>
      <c r="B11" s="27" t="s">
        <v>57</v>
      </c>
      <c r="C11" s="21" t="s">
        <v>58</v>
      </c>
      <c r="D11" s="28">
        <v>2937.232</v>
      </c>
      <c r="E11" s="22">
        <v>3.333586477</v>
      </c>
      <c r="F11" s="21" t="s">
        <v>59</v>
      </c>
      <c r="G11" s="21" t="s">
        <v>60</v>
      </c>
      <c r="H11" s="21">
        <v>-75.521</v>
      </c>
      <c r="I11" s="21">
        <v>0.005</v>
      </c>
      <c r="J11" s="21">
        <v>806.047</v>
      </c>
      <c r="K11" s="21">
        <v>0.051</v>
      </c>
      <c r="L11" s="21">
        <v>-4.873</v>
      </c>
      <c r="M11" s="21">
        <v>0.14</v>
      </c>
      <c r="N11" s="21">
        <v>-16.254</v>
      </c>
      <c r="O11" s="23">
        <v>0.434</v>
      </c>
      <c r="P11" s="24" t="s">
        <v>61</v>
      </c>
      <c r="Q11" s="25">
        <v>81.0</v>
      </c>
      <c r="R11" s="9">
        <f t="shared" ref="R11:R22" si="6">Q11/10*8</f>
        <v>64.8</v>
      </c>
      <c r="U11" s="75">
        <f t="shared" ref="U11:U22" si="7">D11+1000</f>
        <v>3937.232</v>
      </c>
      <c r="V11" s="18">
        <f t="shared" ref="V11:V22" si="8">2*E11</f>
        <v>6.667172954</v>
      </c>
      <c r="W11" s="50">
        <f t="shared" ref="W11:W22" si="9">J11+1000</f>
        <v>1806.047</v>
      </c>
      <c r="X11" s="50">
        <f t="shared" ref="X11:X22" si="10">K11*2</f>
        <v>0.102</v>
      </c>
      <c r="Z11" s="18">
        <v>945.004</v>
      </c>
      <c r="AA11" s="50">
        <v>0.5</v>
      </c>
      <c r="AB11" s="50">
        <v>704.8109999999999</v>
      </c>
      <c r="AC11" s="50">
        <v>0.044</v>
      </c>
    </row>
    <row r="12">
      <c r="A12" s="19" t="s">
        <v>56</v>
      </c>
      <c r="B12" s="27" t="s">
        <v>57</v>
      </c>
      <c r="C12" s="21" t="s">
        <v>62</v>
      </c>
      <c r="D12" s="28">
        <v>2937.232</v>
      </c>
      <c r="E12" s="22">
        <v>3.333586477</v>
      </c>
      <c r="F12" s="21" t="s">
        <v>59</v>
      </c>
      <c r="G12" s="21" t="s">
        <v>60</v>
      </c>
      <c r="H12" s="21">
        <v>-74.604</v>
      </c>
      <c r="I12" s="21">
        <v>0.012</v>
      </c>
      <c r="J12" s="21">
        <v>793.236</v>
      </c>
      <c r="K12" s="21">
        <v>0.044</v>
      </c>
      <c r="L12" s="21">
        <v>-5.266</v>
      </c>
      <c r="M12" s="21">
        <v>0.139</v>
      </c>
      <c r="N12" s="21">
        <v>-15.509</v>
      </c>
      <c r="O12" s="23">
        <v>0.446</v>
      </c>
      <c r="P12" s="24" t="s">
        <v>61</v>
      </c>
      <c r="Q12" s="25">
        <v>71.9</v>
      </c>
      <c r="R12" s="9">
        <f t="shared" si="6"/>
        <v>57.52</v>
      </c>
      <c r="U12" s="75">
        <f t="shared" si="7"/>
        <v>3937.232</v>
      </c>
      <c r="V12" s="18">
        <f t="shared" si="8"/>
        <v>6.667172954</v>
      </c>
      <c r="W12" s="50">
        <f t="shared" si="9"/>
        <v>1793.236</v>
      </c>
      <c r="X12" s="50">
        <f t="shared" si="10"/>
        <v>0.088</v>
      </c>
      <c r="Z12" s="18">
        <v>945.004</v>
      </c>
      <c r="AA12" s="50">
        <v>0.5</v>
      </c>
      <c r="AB12" s="50">
        <v>709.518</v>
      </c>
      <c r="AC12" s="50">
        <v>0.074</v>
      </c>
    </row>
    <row r="13">
      <c r="A13" s="19" t="s">
        <v>56</v>
      </c>
      <c r="B13" s="27" t="s">
        <v>57</v>
      </c>
      <c r="C13" s="21" t="s">
        <v>58</v>
      </c>
      <c r="D13" s="28">
        <v>7988.017</v>
      </c>
      <c r="E13" s="76">
        <v>6.884500162</v>
      </c>
      <c r="F13" s="21" t="s">
        <v>59</v>
      </c>
      <c r="G13" s="21" t="s">
        <v>60</v>
      </c>
      <c r="H13" s="21">
        <v>-74.144</v>
      </c>
      <c r="I13" s="21">
        <v>0.004</v>
      </c>
      <c r="J13" s="21">
        <v>3333.248</v>
      </c>
      <c r="K13" s="21">
        <v>0.177</v>
      </c>
      <c r="L13" s="21">
        <v>-4.573</v>
      </c>
      <c r="M13" s="21">
        <v>0.129</v>
      </c>
      <c r="N13" s="21">
        <v>-14.599</v>
      </c>
      <c r="O13" s="23">
        <v>0.307</v>
      </c>
      <c r="P13" s="24" t="s">
        <v>61</v>
      </c>
      <c r="Q13" s="25">
        <v>114.0</v>
      </c>
      <c r="R13" s="9">
        <f t="shared" si="6"/>
        <v>91.2</v>
      </c>
      <c r="U13" s="75">
        <f t="shared" si="7"/>
        <v>8988.017</v>
      </c>
      <c r="V13" s="18">
        <f t="shared" si="8"/>
        <v>13.76900032</v>
      </c>
      <c r="W13" s="50">
        <f t="shared" si="9"/>
        <v>4333.248</v>
      </c>
      <c r="X13" s="50">
        <f t="shared" si="10"/>
        <v>0.354</v>
      </c>
      <c r="Z13" s="18">
        <v>945.004</v>
      </c>
      <c r="AA13" s="50">
        <v>0.5</v>
      </c>
      <c r="AB13" s="50">
        <v>720.598</v>
      </c>
      <c r="AC13" s="50">
        <v>0.038</v>
      </c>
    </row>
    <row r="14">
      <c r="A14" s="19" t="s">
        <v>56</v>
      </c>
      <c r="B14" s="27" t="s">
        <v>57</v>
      </c>
      <c r="C14" s="21" t="s">
        <v>62</v>
      </c>
      <c r="D14" s="28">
        <v>7988.017</v>
      </c>
      <c r="E14" s="76">
        <v>6.884500162</v>
      </c>
      <c r="F14" s="21" t="s">
        <v>59</v>
      </c>
      <c r="G14" s="21" t="s">
        <v>60</v>
      </c>
      <c r="H14" s="21">
        <v>-78.341</v>
      </c>
      <c r="I14" s="21">
        <v>0.004</v>
      </c>
      <c r="J14" s="21">
        <v>3344.288</v>
      </c>
      <c r="K14" s="21">
        <v>0.168</v>
      </c>
      <c r="L14" s="21">
        <v>-5.026</v>
      </c>
      <c r="M14" s="21">
        <v>0.11</v>
      </c>
      <c r="N14" s="21">
        <v>-18.001</v>
      </c>
      <c r="O14" s="23">
        <v>0.394</v>
      </c>
      <c r="P14" s="24" t="s">
        <v>61</v>
      </c>
      <c r="Q14" s="25">
        <v>52.4</v>
      </c>
      <c r="R14" s="9">
        <f t="shared" si="6"/>
        <v>41.92</v>
      </c>
      <c r="U14" s="75">
        <f t="shared" si="7"/>
        <v>8988.017</v>
      </c>
      <c r="V14" s="18">
        <f t="shared" si="8"/>
        <v>13.76900032</v>
      </c>
      <c r="W14" s="50">
        <f t="shared" si="9"/>
        <v>4344.288</v>
      </c>
      <c r="X14" s="50">
        <f t="shared" si="10"/>
        <v>0.336</v>
      </c>
      <c r="Z14" s="75">
        <v>3491.858</v>
      </c>
      <c r="AA14" s="18">
        <v>5.625288518</v>
      </c>
      <c r="AB14" s="50">
        <v>939.057</v>
      </c>
      <c r="AC14" s="50">
        <v>0.044</v>
      </c>
    </row>
    <row r="15">
      <c r="A15" s="19" t="s">
        <v>56</v>
      </c>
      <c r="B15" s="27" t="s">
        <v>57</v>
      </c>
      <c r="C15" s="21" t="s">
        <v>58</v>
      </c>
      <c r="D15" s="28">
        <v>2491.858</v>
      </c>
      <c r="E15" s="76">
        <v>2.812644259</v>
      </c>
      <c r="F15" s="21" t="s">
        <v>28</v>
      </c>
      <c r="G15" s="21" t="s">
        <v>60</v>
      </c>
      <c r="H15" s="21">
        <v>-95.23</v>
      </c>
      <c r="I15" s="21">
        <v>0.004</v>
      </c>
      <c r="J15" s="21">
        <v>-60.943</v>
      </c>
      <c r="K15" s="21">
        <v>0.022</v>
      </c>
      <c r="L15" s="21">
        <v>-10.385</v>
      </c>
      <c r="M15" s="21">
        <v>0.129</v>
      </c>
      <c r="N15" s="21">
        <v>-10.005</v>
      </c>
      <c r="O15" s="23">
        <v>0.563</v>
      </c>
      <c r="P15" s="24" t="s">
        <v>61</v>
      </c>
      <c r="Q15" s="25">
        <v>166.8</v>
      </c>
      <c r="R15" s="9">
        <f t="shared" si="6"/>
        <v>133.44</v>
      </c>
      <c r="U15" s="75">
        <f t="shared" si="7"/>
        <v>3491.858</v>
      </c>
      <c r="V15" s="18">
        <f t="shared" si="8"/>
        <v>5.625288518</v>
      </c>
      <c r="W15" s="50">
        <f t="shared" si="9"/>
        <v>939.057</v>
      </c>
      <c r="X15" s="50">
        <f t="shared" si="10"/>
        <v>0.044</v>
      </c>
      <c r="Z15" s="75">
        <v>3491.858</v>
      </c>
      <c r="AA15" s="18">
        <v>5.625288518</v>
      </c>
      <c r="AB15" s="50">
        <v>942.71</v>
      </c>
      <c r="AC15" s="50">
        <v>0.038</v>
      </c>
    </row>
    <row r="16">
      <c r="A16" s="19" t="s">
        <v>56</v>
      </c>
      <c r="B16" s="27" t="s">
        <v>57</v>
      </c>
      <c r="C16" s="21" t="s">
        <v>58</v>
      </c>
      <c r="D16" s="28">
        <v>2491.858</v>
      </c>
      <c r="E16" s="76">
        <v>2.812644259</v>
      </c>
      <c r="F16" s="21" t="s">
        <v>28</v>
      </c>
      <c r="G16" s="21" t="s">
        <v>60</v>
      </c>
      <c r="H16" s="21">
        <v>-90.257</v>
      </c>
      <c r="I16" s="21">
        <v>0.003</v>
      </c>
      <c r="J16" s="21">
        <v>-57.29</v>
      </c>
      <c r="K16" s="21">
        <v>0.019</v>
      </c>
      <c r="L16" s="21">
        <v>-9.993</v>
      </c>
      <c r="M16" s="21">
        <v>0.31</v>
      </c>
      <c r="N16" s="21">
        <v>-11.614</v>
      </c>
      <c r="O16" s="23">
        <v>0.571</v>
      </c>
      <c r="P16" s="24" t="s">
        <v>61</v>
      </c>
      <c r="Q16" s="25">
        <v>175.9</v>
      </c>
      <c r="R16" s="9">
        <f t="shared" si="6"/>
        <v>140.72</v>
      </c>
      <c r="U16" s="75">
        <f t="shared" si="7"/>
        <v>3491.858</v>
      </c>
      <c r="V16" s="18">
        <f t="shared" si="8"/>
        <v>5.625288518</v>
      </c>
      <c r="W16" s="50">
        <f t="shared" si="9"/>
        <v>942.71</v>
      </c>
      <c r="X16" s="50">
        <f t="shared" si="10"/>
        <v>0.038</v>
      </c>
      <c r="Z16" s="75">
        <v>9041.949</v>
      </c>
      <c r="AA16" s="18">
        <v>13.443523298</v>
      </c>
      <c r="AB16" s="50">
        <v>1374.73</v>
      </c>
      <c r="AC16" s="50">
        <v>0.06</v>
      </c>
    </row>
    <row r="17">
      <c r="A17" s="19" t="s">
        <v>56</v>
      </c>
      <c r="B17" s="27" t="s">
        <v>57</v>
      </c>
      <c r="C17" s="21" t="s">
        <v>58</v>
      </c>
      <c r="D17" s="28">
        <v>8041.949</v>
      </c>
      <c r="E17" s="76">
        <v>6.721761649</v>
      </c>
      <c r="F17" s="21" t="s">
        <v>28</v>
      </c>
      <c r="G17" s="21" t="s">
        <v>60</v>
      </c>
      <c r="H17" s="21">
        <v>-93.7</v>
      </c>
      <c r="I17" s="21">
        <v>0.007</v>
      </c>
      <c r="J17" s="21">
        <v>374.73</v>
      </c>
      <c r="K17" s="21">
        <v>0.03</v>
      </c>
      <c r="L17" s="21">
        <v>-15.926</v>
      </c>
      <c r="M17" s="21">
        <v>0.111</v>
      </c>
      <c r="N17" s="21">
        <v>-95.988</v>
      </c>
      <c r="O17" s="23">
        <v>0.454</v>
      </c>
      <c r="P17" s="24" t="s">
        <v>61</v>
      </c>
      <c r="Q17" s="25">
        <v>183.9</v>
      </c>
      <c r="R17" s="9">
        <f t="shared" si="6"/>
        <v>147.12</v>
      </c>
      <c r="U17" s="75">
        <f t="shared" si="7"/>
        <v>9041.949</v>
      </c>
      <c r="V17" s="18">
        <f t="shared" si="8"/>
        <v>13.4435233</v>
      </c>
      <c r="W17" s="50">
        <f t="shared" si="9"/>
        <v>1374.73</v>
      </c>
      <c r="X17" s="50">
        <f t="shared" si="10"/>
        <v>0.06</v>
      </c>
      <c r="Z17" s="75">
        <v>9041.949</v>
      </c>
      <c r="AA17" s="18">
        <v>13.443523298</v>
      </c>
      <c r="AB17" s="50">
        <v>1402.655</v>
      </c>
      <c r="AC17" s="50">
        <v>0.064</v>
      </c>
    </row>
    <row r="18">
      <c r="A18" s="19" t="s">
        <v>56</v>
      </c>
      <c r="B18" s="27" t="s">
        <v>57</v>
      </c>
      <c r="C18" s="21" t="s">
        <v>58</v>
      </c>
      <c r="D18" s="28">
        <v>8041.949</v>
      </c>
      <c r="E18" s="76">
        <v>6.721761649</v>
      </c>
      <c r="F18" s="21" t="s">
        <v>28</v>
      </c>
      <c r="G18" s="21" t="s">
        <v>60</v>
      </c>
      <c r="H18" s="21">
        <v>-79.267</v>
      </c>
      <c r="I18" s="21">
        <v>0.004</v>
      </c>
      <c r="J18" s="21">
        <v>402.655</v>
      </c>
      <c r="K18" s="21">
        <v>0.032</v>
      </c>
      <c r="L18" s="21">
        <v>-15.959</v>
      </c>
      <c r="M18" s="21">
        <v>0.237</v>
      </c>
      <c r="N18" s="21">
        <v>-68.162</v>
      </c>
      <c r="O18" s="23">
        <v>0.547</v>
      </c>
      <c r="P18" s="24" t="s">
        <v>61</v>
      </c>
      <c r="Q18" s="25">
        <v>351.9</v>
      </c>
      <c r="R18" s="9">
        <f t="shared" si="6"/>
        <v>281.52</v>
      </c>
      <c r="U18" s="75">
        <f t="shared" si="7"/>
        <v>9041.949</v>
      </c>
      <c r="V18" s="18">
        <f t="shared" si="8"/>
        <v>13.4435233</v>
      </c>
      <c r="W18" s="50">
        <f t="shared" si="9"/>
        <v>1402.655</v>
      </c>
      <c r="X18" s="50">
        <f t="shared" si="10"/>
        <v>0.064</v>
      </c>
    </row>
    <row r="19">
      <c r="A19" s="19" t="s">
        <v>56</v>
      </c>
      <c r="B19" s="27" t="s">
        <v>57</v>
      </c>
      <c r="C19" s="21" t="s">
        <v>58</v>
      </c>
      <c r="D19" s="28">
        <v>2676.333</v>
      </c>
      <c r="E19" s="76">
        <v>4.103039412</v>
      </c>
      <c r="F19" s="21" t="s">
        <v>63</v>
      </c>
      <c r="G19" s="21" t="s">
        <v>60</v>
      </c>
      <c r="H19" s="21">
        <v>-53.663</v>
      </c>
      <c r="I19" s="21">
        <v>0.004</v>
      </c>
      <c r="J19" s="21">
        <v>5.394</v>
      </c>
      <c r="K19" s="21">
        <v>0.019</v>
      </c>
      <c r="L19" s="21">
        <v>-4.377</v>
      </c>
      <c r="M19" s="21">
        <v>0.222</v>
      </c>
      <c r="N19" s="21">
        <v>43.251</v>
      </c>
      <c r="O19" s="23">
        <v>0.53</v>
      </c>
      <c r="P19" s="24" t="s">
        <v>61</v>
      </c>
      <c r="Q19" s="25">
        <v>81.8</v>
      </c>
      <c r="R19" s="9">
        <f t="shared" si="6"/>
        <v>65.44</v>
      </c>
      <c r="U19" s="75">
        <f t="shared" si="7"/>
        <v>3676.333</v>
      </c>
      <c r="V19" s="18">
        <f t="shared" si="8"/>
        <v>8.206078824</v>
      </c>
      <c r="W19" s="50">
        <f t="shared" si="9"/>
        <v>1005.394</v>
      </c>
      <c r="X19" s="50">
        <f t="shared" si="10"/>
        <v>0.038</v>
      </c>
      <c r="Z19" s="21" t="s">
        <v>63</v>
      </c>
    </row>
    <row r="20">
      <c r="A20" s="19" t="s">
        <v>56</v>
      </c>
      <c r="B20" s="27" t="s">
        <v>57</v>
      </c>
      <c r="C20" s="21" t="s">
        <v>58</v>
      </c>
      <c r="D20" s="28">
        <v>2676.333</v>
      </c>
      <c r="E20" s="76">
        <v>4.103039412</v>
      </c>
      <c r="F20" s="21" t="s">
        <v>63</v>
      </c>
      <c r="G20" s="21" t="s">
        <v>60</v>
      </c>
      <c r="H20" s="21">
        <v>-53.159</v>
      </c>
      <c r="I20" s="21">
        <v>0.004</v>
      </c>
      <c r="J20" s="21">
        <v>0.301</v>
      </c>
      <c r="K20" s="21">
        <v>0.02</v>
      </c>
      <c r="L20" s="21">
        <v>-4.646</v>
      </c>
      <c r="M20" s="21">
        <v>0.162</v>
      </c>
      <c r="N20" s="21">
        <v>39.672</v>
      </c>
      <c r="O20" s="23">
        <v>0.618</v>
      </c>
      <c r="P20" s="24" t="s">
        <v>61</v>
      </c>
      <c r="Q20" s="25">
        <v>106.1</v>
      </c>
      <c r="R20" s="9">
        <f t="shared" si="6"/>
        <v>84.88</v>
      </c>
      <c r="U20" s="75">
        <f t="shared" si="7"/>
        <v>3676.333</v>
      </c>
      <c r="V20" s="18">
        <f t="shared" si="8"/>
        <v>8.206078824</v>
      </c>
      <c r="W20" s="50">
        <f t="shared" si="9"/>
        <v>1000.301</v>
      </c>
      <c r="X20" s="50">
        <f t="shared" si="10"/>
        <v>0.04</v>
      </c>
      <c r="Z20" s="18">
        <v>943.96</v>
      </c>
      <c r="AA20" s="50">
        <v>0.8</v>
      </c>
      <c r="AB20" s="50">
        <v>681.51</v>
      </c>
      <c r="AC20" s="50">
        <v>0.044</v>
      </c>
    </row>
    <row r="21">
      <c r="A21" s="19" t="s">
        <v>56</v>
      </c>
      <c r="B21" s="27" t="s">
        <v>57</v>
      </c>
      <c r="C21" s="21" t="s">
        <v>58</v>
      </c>
      <c r="D21" s="28">
        <v>7909.292</v>
      </c>
      <c r="E21" s="76">
        <v>7.92233899</v>
      </c>
      <c r="F21" s="21" t="s">
        <v>63</v>
      </c>
      <c r="G21" s="21" t="s">
        <v>60</v>
      </c>
      <c r="H21" s="21">
        <v>-54.093</v>
      </c>
      <c r="I21" s="21">
        <v>0.004</v>
      </c>
      <c r="J21" s="21">
        <v>665.184</v>
      </c>
      <c r="K21" s="21">
        <v>0.051</v>
      </c>
      <c r="L21" s="21">
        <v>-6.407</v>
      </c>
      <c r="M21" s="21">
        <v>0.332</v>
      </c>
      <c r="N21" s="21">
        <v>98.668</v>
      </c>
      <c r="O21" s="23">
        <v>0.614</v>
      </c>
      <c r="P21" s="24" t="s">
        <v>61</v>
      </c>
      <c r="Q21" s="25">
        <v>67.1</v>
      </c>
      <c r="R21" s="9">
        <f t="shared" si="6"/>
        <v>53.68</v>
      </c>
      <c r="U21" s="75">
        <f t="shared" si="7"/>
        <v>8909.292</v>
      </c>
      <c r="V21" s="18">
        <f t="shared" si="8"/>
        <v>15.84467798</v>
      </c>
      <c r="W21" s="50">
        <f t="shared" si="9"/>
        <v>1665.184</v>
      </c>
      <c r="X21" s="50">
        <f t="shared" si="10"/>
        <v>0.102</v>
      </c>
      <c r="Z21" s="18">
        <v>943.96</v>
      </c>
      <c r="AA21" s="50">
        <v>0.8</v>
      </c>
      <c r="AB21" s="50">
        <v>680.617</v>
      </c>
      <c r="AC21" s="50">
        <v>0.046</v>
      </c>
    </row>
    <row r="22">
      <c r="A22" s="19" t="s">
        <v>56</v>
      </c>
      <c r="B22" s="27" t="s">
        <v>57</v>
      </c>
      <c r="C22" s="21" t="s">
        <v>62</v>
      </c>
      <c r="D22" s="28">
        <v>7909.292</v>
      </c>
      <c r="E22" s="76">
        <v>7.92233899</v>
      </c>
      <c r="F22" s="21" t="s">
        <v>63</v>
      </c>
      <c r="G22" s="21" t="s">
        <v>60</v>
      </c>
      <c r="H22" s="21">
        <v>-54.099</v>
      </c>
      <c r="I22" s="21">
        <v>0.006</v>
      </c>
      <c r="J22" s="21">
        <v>621.528</v>
      </c>
      <c r="K22" s="21">
        <v>0.045</v>
      </c>
      <c r="L22" s="21">
        <v>-7.084</v>
      </c>
      <c r="M22" s="21">
        <v>0.288</v>
      </c>
      <c r="N22" s="21">
        <v>80.557</v>
      </c>
      <c r="O22" s="23">
        <v>0.544</v>
      </c>
      <c r="P22" s="24" t="s">
        <v>61</v>
      </c>
      <c r="Q22" s="25">
        <v>62.3</v>
      </c>
      <c r="R22" s="9">
        <f t="shared" si="6"/>
        <v>49.84</v>
      </c>
      <c r="U22" s="75">
        <f t="shared" si="7"/>
        <v>8909.292</v>
      </c>
      <c r="V22" s="18">
        <f t="shared" si="8"/>
        <v>15.84467798</v>
      </c>
      <c r="W22" s="50">
        <f t="shared" si="9"/>
        <v>1621.528</v>
      </c>
      <c r="X22" s="50">
        <f t="shared" si="10"/>
        <v>0.09</v>
      </c>
      <c r="Z22" s="75">
        <v>3676.333</v>
      </c>
      <c r="AA22" s="18">
        <v>8.206078824</v>
      </c>
      <c r="AB22" s="50">
        <v>1005.394</v>
      </c>
      <c r="AC22" s="50">
        <v>0.038</v>
      </c>
    </row>
    <row r="23">
      <c r="E23" s="55"/>
      <c r="Z23" s="75">
        <v>3676.333</v>
      </c>
      <c r="AA23" s="18">
        <v>8.206078824</v>
      </c>
      <c r="AB23" s="50">
        <v>1000.301</v>
      </c>
      <c r="AC23" s="50">
        <v>0.04</v>
      </c>
    </row>
    <row r="24">
      <c r="A24" s="21" t="s">
        <v>157</v>
      </c>
      <c r="B24" s="21" t="s">
        <v>158</v>
      </c>
      <c r="C24" s="21" t="s">
        <v>159</v>
      </c>
      <c r="D24" s="21" t="s">
        <v>160</v>
      </c>
      <c r="E24" s="21" t="s">
        <v>159</v>
      </c>
      <c r="G24" s="21" t="s">
        <v>161</v>
      </c>
      <c r="Z24" s="75">
        <v>8909.292000000001</v>
      </c>
      <c r="AA24" s="18">
        <v>15.84467798</v>
      </c>
      <c r="AB24" s="50">
        <v>1665.184</v>
      </c>
      <c r="AC24" s="50">
        <v>0.102</v>
      </c>
    </row>
    <row r="25">
      <c r="A25" s="21" t="s">
        <v>156</v>
      </c>
      <c r="B25" s="77">
        <v>0.469525</v>
      </c>
      <c r="C25" s="77">
        <v>4.537E-4</v>
      </c>
      <c r="D25" s="77">
        <v>19.0921</v>
      </c>
      <c r="E25" s="77">
        <v>0.463124</v>
      </c>
      <c r="Z25" s="75">
        <v>8909.292000000001</v>
      </c>
      <c r="AA25" s="18">
        <v>15.84467798</v>
      </c>
      <c r="AB25" s="50">
        <v>1621.528</v>
      </c>
      <c r="AC25" s="50">
        <v>0.09</v>
      </c>
    </row>
    <row r="26">
      <c r="A26" s="21" t="s">
        <v>28</v>
      </c>
      <c r="B26" s="78">
        <v>0.0873424</v>
      </c>
      <c r="C26" s="79">
        <v>8.226E-5</v>
      </c>
      <c r="D26" s="77">
        <v>629.984</v>
      </c>
      <c r="E26" s="77">
        <v>0.0898757</v>
      </c>
      <c r="G26" s="50">
        <f t="shared" ref="G26:G28" si="11">(H5+1000)/(-41.343+1000)</f>
        <v>0.9347462127</v>
      </c>
      <c r="H26" s="50">
        <f>AVERAGE(G26:G32)</f>
        <v>0.9467430553</v>
      </c>
    </row>
    <row r="27">
      <c r="A27" s="21" t="s">
        <v>63</v>
      </c>
      <c r="B27" s="77">
        <v>0.119968</v>
      </c>
      <c r="C27" s="77">
        <v>1.413E-4</v>
      </c>
      <c r="D27" s="77">
        <v>567.77</v>
      </c>
      <c r="E27" s="77">
        <v>0.159683</v>
      </c>
      <c r="G27" s="50">
        <f t="shared" si="11"/>
        <v>0.9403738772</v>
      </c>
      <c r="H27" s="50">
        <f>STDEV(G26:G32)</f>
        <v>0.008496982138</v>
      </c>
    </row>
    <row r="28">
      <c r="G28" s="50">
        <f t="shared" si="11"/>
        <v>0.953490143</v>
      </c>
    </row>
    <row r="29">
      <c r="G29" s="50">
        <f t="shared" ref="G29:G32" si="12">(H15+1000)/(-41.343+1000)</f>
        <v>0.9437890716</v>
      </c>
    </row>
    <row r="30">
      <c r="G30" s="50">
        <f t="shared" si="12"/>
        <v>0.948976537</v>
      </c>
    </row>
    <row r="31">
      <c r="G31" s="50">
        <f t="shared" si="12"/>
        <v>0.9453850543</v>
      </c>
    </row>
    <row r="32">
      <c r="G32" s="50">
        <f t="shared" si="12"/>
        <v>0.9604404912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0" t="s">
        <v>162</v>
      </c>
      <c r="B1" s="81"/>
      <c r="C1" s="81"/>
      <c r="D1" s="82"/>
      <c r="E1" s="83" t="s">
        <v>163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  <c r="Q1" s="86"/>
    </row>
    <row r="2">
      <c r="A2" s="81"/>
      <c r="B2" s="81"/>
      <c r="C2" s="81"/>
      <c r="D2" s="82"/>
      <c r="E2" s="87" t="s">
        <v>164</v>
      </c>
      <c r="F2" s="84"/>
      <c r="G2" s="84"/>
      <c r="H2" s="84"/>
      <c r="I2" s="84"/>
      <c r="J2" s="85"/>
      <c r="K2" s="88" t="s">
        <v>165</v>
      </c>
      <c r="L2" s="84"/>
      <c r="M2" s="84"/>
      <c r="N2" s="84"/>
      <c r="O2" s="84"/>
      <c r="P2" s="85"/>
      <c r="Q2" s="86"/>
      <c r="R2" s="89" t="s">
        <v>166</v>
      </c>
    </row>
    <row r="3">
      <c r="A3" s="90" t="s">
        <v>167</v>
      </c>
      <c r="B3" s="90" t="s">
        <v>168</v>
      </c>
      <c r="C3" s="90" t="s">
        <v>169</v>
      </c>
      <c r="D3" s="91" t="s">
        <v>170</v>
      </c>
      <c r="E3" s="92" t="s">
        <v>171</v>
      </c>
      <c r="F3" s="93" t="s">
        <v>172</v>
      </c>
      <c r="G3" s="93" t="s">
        <v>173</v>
      </c>
      <c r="H3" s="93" t="s">
        <v>174</v>
      </c>
      <c r="I3" s="93" t="s">
        <v>175</v>
      </c>
      <c r="J3" s="94" t="s">
        <v>176</v>
      </c>
      <c r="K3" s="95" t="s">
        <v>177</v>
      </c>
      <c r="L3" s="95" t="s">
        <v>178</v>
      </c>
      <c r="M3" s="95" t="s">
        <v>179</v>
      </c>
      <c r="N3" s="95" t="s">
        <v>180</v>
      </c>
      <c r="O3" s="95" t="s">
        <v>181</v>
      </c>
      <c r="P3" s="96" t="s">
        <v>182</v>
      </c>
      <c r="Q3" s="95" t="s">
        <v>183</v>
      </c>
      <c r="R3" s="95" t="s">
        <v>184</v>
      </c>
      <c r="T3" s="21" t="s">
        <v>185</v>
      </c>
    </row>
    <row r="4">
      <c r="A4" s="97" t="s">
        <v>186</v>
      </c>
      <c r="B4" s="74">
        <v>-81.45</v>
      </c>
      <c r="C4" s="74">
        <v>0.21</v>
      </c>
      <c r="D4" s="98" t="s">
        <v>187</v>
      </c>
      <c r="E4" s="99">
        <v>3000.0</v>
      </c>
      <c r="F4" s="100">
        <v>0.5</v>
      </c>
      <c r="G4" s="101" t="s">
        <v>188</v>
      </c>
      <c r="H4" s="100">
        <v>-375.0</v>
      </c>
      <c r="I4" s="100">
        <v>5.0</v>
      </c>
      <c r="J4" s="102">
        <v>-68.1818</v>
      </c>
      <c r="K4" s="101" t="s">
        <v>189</v>
      </c>
      <c r="L4" s="100">
        <v>6.7422</v>
      </c>
      <c r="M4" s="103">
        <v>11.702</v>
      </c>
      <c r="N4" s="103">
        <v>12.2284</v>
      </c>
      <c r="O4" s="103">
        <v>0.5264</v>
      </c>
      <c r="P4" s="104">
        <v>4.9598</v>
      </c>
      <c r="Q4" s="55">
        <v>2684.41622</v>
      </c>
      <c r="R4" s="55">
        <v>2.967257352</v>
      </c>
      <c r="S4" s="50">
        <f>AVERAGE(Q4:Q7)</f>
        <v>2697.45987</v>
      </c>
      <c r="T4" s="50">
        <f>STDEV(Q4:Q7)</f>
        <v>182.920023</v>
      </c>
    </row>
    <row r="5">
      <c r="A5" s="97" t="s">
        <v>190</v>
      </c>
      <c r="B5" s="74">
        <v>-81.29</v>
      </c>
      <c r="C5" s="74">
        <v>0.23</v>
      </c>
      <c r="D5" s="98" t="s">
        <v>187</v>
      </c>
      <c r="E5" s="99">
        <v>3000.0</v>
      </c>
      <c r="F5" s="100">
        <v>0.5</v>
      </c>
      <c r="G5" s="101" t="s">
        <v>188</v>
      </c>
      <c r="H5" s="100">
        <v>-375.0</v>
      </c>
      <c r="I5" s="100">
        <v>5.0</v>
      </c>
      <c r="J5" s="102">
        <v>-68.1818</v>
      </c>
      <c r="K5" s="101" t="s">
        <v>189</v>
      </c>
      <c r="L5" s="100">
        <v>6.7842</v>
      </c>
      <c r="M5" s="103">
        <v>11.7615</v>
      </c>
      <c r="N5" s="103">
        <v>12.2458</v>
      </c>
      <c r="O5" s="103">
        <v>0.4843</v>
      </c>
      <c r="P5" s="104">
        <v>4.9773</v>
      </c>
      <c r="Q5" s="55">
        <v>2937.231952</v>
      </c>
      <c r="R5" s="55">
        <v>3.333586477</v>
      </c>
    </row>
    <row r="6">
      <c r="A6" s="97" t="s">
        <v>191</v>
      </c>
      <c r="B6" s="74">
        <v>-80.91</v>
      </c>
      <c r="C6" s="74">
        <v>0.22</v>
      </c>
      <c r="D6" s="98" t="s">
        <v>187</v>
      </c>
      <c r="E6" s="99">
        <v>3000.0</v>
      </c>
      <c r="F6" s="100">
        <v>0.5</v>
      </c>
      <c r="G6" s="101" t="s">
        <v>188</v>
      </c>
      <c r="H6" s="100">
        <v>-375.0</v>
      </c>
      <c r="I6" s="100">
        <v>5.0</v>
      </c>
      <c r="J6" s="102">
        <v>-68.1818</v>
      </c>
      <c r="K6" s="101" t="s">
        <v>189</v>
      </c>
      <c r="L6" s="103">
        <v>6.7597</v>
      </c>
      <c r="M6" s="103">
        <v>11.7208</v>
      </c>
      <c r="N6" s="103">
        <v>12.2879</v>
      </c>
      <c r="O6" s="103">
        <v>0.5671</v>
      </c>
      <c r="P6" s="104">
        <v>4.9611</v>
      </c>
      <c r="Q6" s="55">
        <v>2491.85812</v>
      </c>
      <c r="R6" s="55">
        <v>2.812644259</v>
      </c>
    </row>
    <row r="7">
      <c r="A7" s="97" t="s">
        <v>192</v>
      </c>
      <c r="B7" s="74">
        <v>-84.19</v>
      </c>
      <c r="C7" s="74">
        <v>0.34</v>
      </c>
      <c r="D7" s="98" t="s">
        <v>187</v>
      </c>
      <c r="E7" s="99">
        <v>3000.0</v>
      </c>
      <c r="F7" s="100">
        <v>0.5</v>
      </c>
      <c r="G7" s="101" t="s">
        <v>188</v>
      </c>
      <c r="H7" s="100">
        <v>-375.0</v>
      </c>
      <c r="I7" s="100">
        <v>5.0</v>
      </c>
      <c r="J7" s="102">
        <v>-68.1818</v>
      </c>
      <c r="K7" s="101" t="s">
        <v>189</v>
      </c>
      <c r="L7" s="103">
        <v>6.7343</v>
      </c>
      <c r="M7" s="103">
        <v>11.7254</v>
      </c>
      <c r="N7" s="103">
        <v>12.2512</v>
      </c>
      <c r="O7" s="103">
        <v>0.5258</v>
      </c>
      <c r="P7" s="104">
        <v>4.9911</v>
      </c>
      <c r="Q7" s="55">
        <v>2676.333187</v>
      </c>
      <c r="R7" s="55">
        <v>4.103039412</v>
      </c>
    </row>
    <row r="8">
      <c r="A8" s="97" t="s">
        <v>193</v>
      </c>
      <c r="B8" s="74">
        <v>-4.58</v>
      </c>
      <c r="C8" s="74">
        <v>0.11</v>
      </c>
      <c r="D8" s="98" t="s">
        <v>187</v>
      </c>
      <c r="E8" s="99">
        <v>9000.0</v>
      </c>
      <c r="F8" s="100">
        <v>0.3</v>
      </c>
      <c r="G8" s="101" t="s">
        <v>188</v>
      </c>
      <c r="H8" s="100">
        <v>-375.0</v>
      </c>
      <c r="I8" s="100">
        <v>7.0</v>
      </c>
      <c r="J8" s="102">
        <v>10.274</v>
      </c>
      <c r="K8" s="101" t="s">
        <v>194</v>
      </c>
      <c r="L8" s="103">
        <v>6.7545</v>
      </c>
      <c r="M8" s="103">
        <v>13.7415</v>
      </c>
      <c r="N8" s="103">
        <v>14.0577</v>
      </c>
      <c r="O8" s="103">
        <v>0.3162</v>
      </c>
      <c r="P8" s="104">
        <v>6.987</v>
      </c>
      <c r="Q8" s="55">
        <v>8180.470229</v>
      </c>
      <c r="R8" s="55">
        <v>5.668025392</v>
      </c>
      <c r="S8" s="50">
        <f>AVERAGE(Q8:Q11)</f>
        <v>8029.932175</v>
      </c>
      <c r="T8" s="50">
        <f>STDEV(Q8:Q11)</f>
        <v>114.1883598</v>
      </c>
    </row>
    <row r="9">
      <c r="A9" s="97" t="s">
        <v>195</v>
      </c>
      <c r="B9" s="74">
        <v>-7.69</v>
      </c>
      <c r="C9" s="74">
        <v>0.21</v>
      </c>
      <c r="D9" s="98" t="s">
        <v>187</v>
      </c>
      <c r="E9" s="99">
        <v>9000.0</v>
      </c>
      <c r="F9" s="100">
        <v>0.3</v>
      </c>
      <c r="G9" s="101" t="s">
        <v>188</v>
      </c>
      <c r="H9" s="100">
        <v>-375.0</v>
      </c>
      <c r="I9" s="100">
        <v>7.0</v>
      </c>
      <c r="J9" s="102">
        <v>10.274</v>
      </c>
      <c r="K9" s="101" t="s">
        <v>194</v>
      </c>
      <c r="L9" s="103">
        <v>6.8614</v>
      </c>
      <c r="M9" s="103">
        <v>13.8425</v>
      </c>
      <c r="N9" s="103">
        <v>14.1632</v>
      </c>
      <c r="O9" s="103">
        <v>0.3207</v>
      </c>
      <c r="P9" s="104">
        <v>6.9811</v>
      </c>
      <c r="Q9" s="55">
        <v>7988.016871</v>
      </c>
      <c r="R9" s="55">
        <v>6.884500162</v>
      </c>
    </row>
    <row r="10">
      <c r="A10" s="97" t="s">
        <v>196</v>
      </c>
      <c r="B10" s="74">
        <v>-6.0</v>
      </c>
      <c r="C10" s="74">
        <v>0.2</v>
      </c>
      <c r="D10" s="98" t="s">
        <v>187</v>
      </c>
      <c r="E10" s="99">
        <v>9000.0</v>
      </c>
      <c r="F10" s="100">
        <v>0.3</v>
      </c>
      <c r="G10" s="101" t="s">
        <v>188</v>
      </c>
      <c r="H10" s="100">
        <v>-375.0</v>
      </c>
      <c r="I10" s="100">
        <v>7.0</v>
      </c>
      <c r="J10" s="102">
        <v>10.274</v>
      </c>
      <c r="K10" s="101" t="s">
        <v>197</v>
      </c>
      <c r="L10" s="103">
        <v>6.7433</v>
      </c>
      <c r="M10" s="103">
        <v>13.7051</v>
      </c>
      <c r="N10" s="103">
        <v>14.0243</v>
      </c>
      <c r="O10" s="103">
        <v>0.3192</v>
      </c>
      <c r="P10" s="104">
        <v>6.9618</v>
      </c>
      <c r="Q10" s="55">
        <v>8041.949132</v>
      </c>
      <c r="R10" s="55">
        <v>6.721761649</v>
      </c>
    </row>
    <row r="11">
      <c r="A11" s="97" t="s">
        <v>198</v>
      </c>
      <c r="B11" s="74">
        <v>-10.07</v>
      </c>
      <c r="C11" s="74">
        <v>0.27</v>
      </c>
      <c r="D11" s="98" t="s">
        <v>187</v>
      </c>
      <c r="E11" s="105">
        <v>9000.0</v>
      </c>
      <c r="F11" s="106">
        <v>0.3</v>
      </c>
      <c r="G11" s="107" t="s">
        <v>188</v>
      </c>
      <c r="H11" s="106">
        <v>-375.0</v>
      </c>
      <c r="I11" s="106">
        <v>7.0</v>
      </c>
      <c r="J11" s="108">
        <v>10.274</v>
      </c>
      <c r="K11" s="107" t="s">
        <v>197</v>
      </c>
      <c r="L11" s="109">
        <v>6.7529</v>
      </c>
      <c r="M11" s="109">
        <v>13.7297</v>
      </c>
      <c r="N11" s="109">
        <v>14.0512</v>
      </c>
      <c r="O11" s="109">
        <v>0.3215</v>
      </c>
      <c r="P11" s="110">
        <v>6.9768</v>
      </c>
      <c r="Q11" s="55">
        <v>7909.292468</v>
      </c>
      <c r="R11" s="55">
        <v>7.92233899</v>
      </c>
    </row>
    <row r="12">
      <c r="A12" s="111" t="s">
        <v>199</v>
      </c>
      <c r="B12" s="74">
        <v>-54.65</v>
      </c>
      <c r="C12" s="74">
        <v>0.22</v>
      </c>
      <c r="D12" s="112" t="s">
        <v>200</v>
      </c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6">
        <f t="shared" ref="Q12:Q15" si="1">B12</f>
        <v>-54.65</v>
      </c>
      <c r="R12" s="74">
        <v>0.22</v>
      </c>
      <c r="S12" s="50">
        <f>AVERAGE(Q12:Q15)</f>
        <v>-55.405</v>
      </c>
      <c r="T12" s="50">
        <f>STDEV(Q12:Q15)</f>
        <v>0.686270112</v>
      </c>
    </row>
    <row r="13">
      <c r="A13" s="97" t="s">
        <v>201</v>
      </c>
      <c r="B13" s="74">
        <v>-55.93</v>
      </c>
      <c r="C13" s="74">
        <v>0.18</v>
      </c>
      <c r="D13" s="112" t="s">
        <v>200</v>
      </c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6">
        <f t="shared" si="1"/>
        <v>-55.93</v>
      </c>
      <c r="R13" s="74">
        <v>0.18</v>
      </c>
    </row>
    <row r="14">
      <c r="A14" s="111" t="s">
        <v>202</v>
      </c>
      <c r="B14" s="74">
        <v>-55.0</v>
      </c>
      <c r="C14" s="74">
        <v>0.25</v>
      </c>
      <c r="D14" s="112" t="s">
        <v>200</v>
      </c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6">
        <f t="shared" si="1"/>
        <v>-55</v>
      </c>
      <c r="R14" s="74">
        <v>0.25</v>
      </c>
    </row>
    <row r="15">
      <c r="A15" s="111" t="s">
        <v>203</v>
      </c>
      <c r="B15" s="74">
        <v>-56.04</v>
      </c>
      <c r="C15" s="74">
        <v>0.4</v>
      </c>
      <c r="D15" s="112" t="s">
        <v>200</v>
      </c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6">
        <f t="shared" si="1"/>
        <v>-56.04</v>
      </c>
      <c r="R15" s="74">
        <v>0.4</v>
      </c>
    </row>
  </sheetData>
  <mergeCells count="3">
    <mergeCell ref="E1:P1"/>
    <mergeCell ref="E2:J2"/>
    <mergeCell ref="K2:P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13" t="s">
        <v>204</v>
      </c>
      <c r="B1" s="114"/>
      <c r="C1" s="114"/>
      <c r="D1" s="114"/>
      <c r="E1" s="115" t="s">
        <v>205</v>
      </c>
      <c r="F1" s="116"/>
      <c r="G1" s="116"/>
      <c r="H1" s="116"/>
      <c r="I1" s="116"/>
      <c r="J1" s="116"/>
      <c r="K1" s="116"/>
      <c r="L1" s="116"/>
    </row>
    <row r="2">
      <c r="A2" s="117" t="s">
        <v>206</v>
      </c>
      <c r="B2" s="117" t="s">
        <v>207</v>
      </c>
      <c r="C2" s="117" t="s">
        <v>208</v>
      </c>
      <c r="D2" s="117" t="s">
        <v>209</v>
      </c>
      <c r="E2" s="118" t="s">
        <v>210</v>
      </c>
      <c r="F2" s="118" t="s">
        <v>211</v>
      </c>
      <c r="G2" s="118" t="s">
        <v>212</v>
      </c>
      <c r="H2" s="118" t="s">
        <v>213</v>
      </c>
      <c r="I2" s="118" t="s">
        <v>214</v>
      </c>
      <c r="J2" s="118" t="s">
        <v>215</v>
      </c>
      <c r="K2" s="118" t="s">
        <v>216</v>
      </c>
      <c r="L2" s="118" t="s">
        <v>217</v>
      </c>
    </row>
    <row r="3">
      <c r="A3" s="55">
        <v>372.0</v>
      </c>
      <c r="B3" s="119">
        <v>44882.0</v>
      </c>
      <c r="C3" s="89" t="s">
        <v>218</v>
      </c>
      <c r="D3" s="89" t="s">
        <v>219</v>
      </c>
      <c r="E3" s="55">
        <v>-54.113</v>
      </c>
      <c r="F3" s="55">
        <v>0.246</v>
      </c>
      <c r="G3" s="55">
        <v>-41.343</v>
      </c>
      <c r="H3" s="55">
        <v>0.017</v>
      </c>
      <c r="I3" s="120">
        <v>0.84216</v>
      </c>
      <c r="J3" s="55">
        <v>0.352</v>
      </c>
      <c r="K3" s="120">
        <v>6.255078</v>
      </c>
      <c r="L3" s="55">
        <v>3.776</v>
      </c>
    </row>
  </sheetData>
  <mergeCells count="2">
    <mergeCell ref="A1:D1"/>
    <mergeCell ref="E1:L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2021-06-21T13:15:07Z</dcterms:created>
  <dc:creator>Jeanine Ash</dc:creator>
</cp:coreProperties>
</file>