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60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showInkAnnotation="0" updateLinks="always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Diplon-Delphi\Win32\Debug\Модель\"/>
    </mc:Choice>
  </mc:AlternateContent>
  <xr:revisionPtr revIDLastSave="0" documentId="13_ncr:1_{A718644D-8FA6-41E0-8E52-B17694D8C030}" xr6:coauthVersionLast="40" xr6:coauthVersionMax="40" xr10:uidLastSave="{00000000-0000-0000-0000-000000000000}"/>
  <bookViews>
    <workbookView xWindow="-4140" yWindow="1545" windowWidth="24435" windowHeight="9240" tabRatio="563" activeTab="6" xr2:uid="{00000000-000D-0000-FFFF-FFFF00000000}"/>
  </bookViews>
  <sheets>
    <sheet name="ПУЛЬТ" sheetId="32" r:id="rId1"/>
    <sheet name="Графики-прогноз" sheetId="40" r:id="rId2"/>
    <sheet name="Лист1_Базовые цены" sheetId="4" r:id="rId3"/>
    <sheet name="Лист2_прогнозные цены" sheetId="5" r:id="rId4"/>
    <sheet name="рынок" sheetId="41" r:id="rId5"/>
    <sheet name="распределение " sheetId="36" r:id="rId6"/>
    <sheet name="управление" sheetId="6" r:id="rId7"/>
    <sheet name="Регуляторы" sheetId="27" r:id="rId8"/>
    <sheet name="Лист1" sheetId="37" r:id="rId9"/>
    <sheet name="Графики" sheetId="38" r:id="rId10"/>
  </sheets>
  <externalReferences>
    <externalReference r:id="rId11"/>
    <externalReference r:id="rId12"/>
    <externalReference r:id="rId13"/>
    <externalReference r:id="rId14"/>
  </externalReferences>
  <definedNames>
    <definedName name="_FilterDatabase" localSheetId="3" hidden="1">'Лист2_прогнозные цены'!$E$101:$AE$109</definedName>
    <definedName name="_FilterDatabase" localSheetId="0" hidden="1">ПУЛЬТ!$V$66:$Y$72</definedName>
    <definedName name="_FilterDatabase" localSheetId="4" hidden="1">рынок!$F$28:$AF$33</definedName>
    <definedName name="bamonepr" comment="Мощности непр сферы в базовом году (2005)">'[1]НачСост_НС_БД '!$C$21:$E$27</definedName>
    <definedName name="baplata">'[1]НачСост_НС_БД '!$C$63:$D$69</definedName>
    <definedName name="BazZpNS">'[1]НачСост_НС_БД '!$C$53:$D$59</definedName>
    <definedName name="CumIndFZP">'Лист2_прогнозные цены'!$F$103:$AE$109</definedName>
    <definedName name="cumindtarif">'Лист2_прогнозные цены'!$F$81:$AE$87</definedName>
    <definedName name="demograf">[1]Демография!$C$71:$AB$77</definedName>
    <definedName name="ditarifnas">управление!$G$8:$AF$14</definedName>
    <definedName name="DiZPGOSNS">управление!$G$21:$AF$27</definedName>
    <definedName name="Doli_Prior">управление!$G$43:$AF$43</definedName>
    <definedName name="Doli_Prop_1">управление!$G$35:$AF$35</definedName>
    <definedName name="Doli_Prop_st">управление!$G$48:$AF$54</definedName>
    <definedName name="DolPervSprocGil">ПУЛЬТ!$G$27</definedName>
    <definedName name="dolPropRasDom">ПУЛЬТ!$G$26</definedName>
    <definedName name="DolZPSU">#REF!</definedName>
    <definedName name="Expl_zatrat_fact">'распределение '!$C$677:$AB$683</definedName>
    <definedName name="ExplZaCh">#REF!</definedName>
    <definedName name="explzaNS">'[1]НачСост_НС_БД '!$E$33:$AD$39</definedName>
    <definedName name="explzans_fact">'[1]модель внешнего мира'!$D$49:$AC$55</definedName>
    <definedName name="explzans_fact_1">'[1]модель внешнего мира'!$D$60:$AC$66</definedName>
    <definedName name="Fact_finans">'распределение '!$C$417:$AA$423</definedName>
    <definedName name="INDPLAN">ПУЛЬТ!$W$15:$W$21</definedName>
    <definedName name="INDPLAN_2014">ПУЛЬТ!$AD$15:$AL$21</definedName>
    <definedName name="INDPLAN_2030">ПУЛЬТ!$AL$15:$BC$21</definedName>
    <definedName name="IndPlan_30">ПУЛЬТ!$BB$15:$BC$21</definedName>
    <definedName name="IndUdZa">'распределение '!$C$123:$AC$123</definedName>
    <definedName name="infl">#REF!</definedName>
    <definedName name="infl_ind">[1]индексы_цен!$E$6:$AD$12</definedName>
    <definedName name="infl_rash_mater">#REF!</definedName>
    <definedName name="infl_rash_mater_ind">#REF!</definedName>
    <definedName name="infltek">#REF!</definedName>
    <definedName name="infltek_ind">#REF!</definedName>
    <definedName name="infltkommun">#REF!</definedName>
    <definedName name="infltkommun_ind">#REF!</definedName>
    <definedName name="infltpotrebs">#REF!</definedName>
    <definedName name="infltpotrebs_ind">#REF!</definedName>
    <definedName name="KoefRostTarif">ПУЛЬТ!$U$29:$AL$35</definedName>
    <definedName name="KoefRostZPl">ПУЛЬТ!$U$41:$AL$47</definedName>
    <definedName name="KoInd">#REF!</definedName>
    <definedName name="KoIndCh">#REF!</definedName>
    <definedName name="KumIndBud">#REF!</definedName>
    <definedName name="KumIndPotrS">[1]Сценарии!$G$45:$AF$47</definedName>
    <definedName name="KumIndPPP">[1]Сценарии!$G$39:$AF$41</definedName>
    <definedName name="KVL_fact">'распределение '!$C$688:$AA$694</definedName>
    <definedName name="NeobhBaKVLEdMosh">'[1]НачСост_НС_БД '!$D$76:$AC$82</definedName>
    <definedName name="normprio">'распределение '!$C$175:$AA$181</definedName>
    <definedName name="NOTRNEPR">#REF!</definedName>
    <definedName name="NscenDNP">ПУЛЬТ!#REF!</definedName>
    <definedName name="NScenDoliFB">ПУЛЬТ!$G$25</definedName>
    <definedName name="NscenDoliNS">ПУЛЬТ!$G$19</definedName>
    <definedName name="NscenInfl">ПУЛЬТ!$G$15</definedName>
    <definedName name="NScenRostTarif_1">ПУЛЬТ!$L$17</definedName>
    <definedName name="NScenRostTarif_2">ПУЛЬТ!$L$18</definedName>
    <definedName name="NScenRostTarif_3">ПУЛЬТ!$L$19</definedName>
    <definedName name="NScenRostTarif_4">ПУЛЬТ!$L$20</definedName>
    <definedName name="NScenRostTarif_5">ПУЛЬТ!$L$21</definedName>
    <definedName name="NScenRostTarif_6">ПУЛЬТ!$L$22</definedName>
    <definedName name="NScenRostTarif_7">ПУЛЬТ!$L$23</definedName>
    <definedName name="NScenRostZPlat_2">ПУЛЬТ!$L$29</definedName>
    <definedName name="NScenRostZPlat_3">ПУЛЬТ!$L$30</definedName>
    <definedName name="NScenRostZPlat_4">ПУЛЬТ!$L$31</definedName>
    <definedName name="NScenRostZPlat_5">ПУЛЬТ!$L$32</definedName>
    <definedName name="NScenRostZPlat_6">ПУЛЬТ!$L$33</definedName>
    <definedName name="NScenRostZPlat_7">ПУЛЬТ!$L$34</definedName>
    <definedName name="NscenSobDoh">ПУЛЬТ!$G$23</definedName>
    <definedName name="NScenSocTransFB">ПУЛЬТ!$G$18</definedName>
    <definedName name="NScenSocTransKB">ПУЛЬТ!$G$17</definedName>
    <definedName name="NScenVvodNaselGKH">ПУЛЬТ!$G$21</definedName>
    <definedName name="NSChislo_Zan">#REF!</definedName>
    <definedName name="NSDinam_Nalog_pl">#REF!</definedName>
    <definedName name="NSDinMoOtr">#REF!</definedName>
    <definedName name="NSZayavka_Finansir">#REF!</definedName>
    <definedName name="NSZayavka_Finansir_Expl_Zatr">#REF!</definedName>
    <definedName name="ObchObFinansOtr">'распределение '!$C$111:$AB$118</definedName>
    <definedName name="ObExplZAGKH">[1]индексы_цен!$E$22:$AD$22</definedName>
    <definedName name="Opl_truda_fact">'распределение '!$C$666:$AA$672</definedName>
    <definedName name="OsDanGKH">'[1]модель внешнего мира'!$D$71:$AC$73</definedName>
    <definedName name="platanas">'[1]модель внешнего мира'!$D$7:$AC$13</definedName>
    <definedName name="RashodKBnaNS">[1]Сценарии!$D$83:$AC$83</definedName>
    <definedName name="ScenBudDohSop">#REF!</definedName>
    <definedName name="ScenBudDohTek">#REF!</definedName>
    <definedName name="ScenDoliNS">#REF!</definedName>
    <definedName name="ScenInflPotrS">#REF!</definedName>
    <definedName name="ScenInflPPP">#REF!</definedName>
    <definedName name="ScenVvodGKHNaselen">[1]Сценарии!$C$91:$AB$93</definedName>
    <definedName name="sdvig">#REF!</definedName>
    <definedName name="SpecNormNalogIm">'[1]НачСост_НС_БД '!$C$90</definedName>
    <definedName name="spotrnepr">[1]!spotrnepr</definedName>
    <definedName name="startUPN">#REF!</definedName>
    <definedName name="stavkapodna">'[1]модель внешнего мира'!$D$106:$AC$106</definedName>
    <definedName name="StepUdZa">'распределение '!$C$401:$AB$407</definedName>
    <definedName name="stobesp">ПУЛЬТ!$AB$15:$AB$21</definedName>
    <definedName name="TempVibChGF">#REF!</definedName>
    <definedName name="TrudZa">'[1]НачСост_НС_БД '!$E$43:$AD$49</definedName>
    <definedName name="Unaltrudbaz">#REF!</definedName>
    <definedName name="vibofnepr">'[1]НачСост_НС_БД '!$D$92:$AB$98</definedName>
    <definedName name="vibofnepr_NORM">'[1]НачСост_НС_БД '!$D$92:$AC$98</definedName>
    <definedName name="vibofnepr_NULL">'[1]НачСост_НС_БД '!$D$103:$AC$109</definedName>
    <definedName name="VvodNewMosh">'распределение '!$C$700:$AB$706</definedName>
    <definedName name="VVODNMBUD">'[1]модель внешнего мира'!$D$20:$AC$26</definedName>
    <definedName name="VVODNMNAS">'[1]модель внешнего мира'!$D$33:$AC$39</definedName>
    <definedName name="с443">'распределение '!$C$209</definedName>
  </definedNames>
  <calcPr calcId="191029"/>
</workbook>
</file>

<file path=xl/calcChain.xml><?xml version="1.0" encoding="utf-8"?>
<calcChain xmlns="http://schemas.openxmlformats.org/spreadsheetml/2006/main">
  <c r="G23" i="41" l="1"/>
  <c r="G22" i="41"/>
  <c r="G21" i="41"/>
  <c r="G20" i="41"/>
  <c r="G19" i="41"/>
  <c r="G18" i="41"/>
  <c r="R94" i="41" l="1"/>
  <c r="R95" i="41" s="1"/>
  <c r="F49" i="41"/>
  <c r="F56" i="41" s="1"/>
  <c r="F53" i="41" l="1"/>
  <c r="F57" i="41"/>
  <c r="F54" i="41"/>
  <c r="F58" i="41"/>
  <c r="F55" i="41"/>
  <c r="G23" i="32"/>
  <c r="BC15" i="32" l="1"/>
  <c r="BC16" i="32"/>
  <c r="BC17" i="32"/>
  <c r="BC18" i="32"/>
  <c r="BC19" i="32"/>
  <c r="BC20" i="32"/>
  <c r="BC21" i="32"/>
  <c r="AF48" i="6"/>
  <c r="AF49" i="6"/>
  <c r="AF50" i="6"/>
  <c r="AF51" i="6"/>
  <c r="AF52" i="6"/>
  <c r="AF53" i="6"/>
  <c r="AF54" i="6"/>
  <c r="AB431" i="36"/>
  <c r="AB435" i="36"/>
  <c r="AB467" i="36"/>
  <c r="AB498" i="36"/>
  <c r="AB529" i="36"/>
  <c r="AB560" i="36"/>
  <c r="AB591" i="36"/>
  <c r="AB622" i="36"/>
  <c r="AF43" i="6"/>
  <c r="AB186" i="36" s="1"/>
  <c r="AY6" i="32"/>
  <c r="AY7" i="32"/>
  <c r="AB128" i="36"/>
  <c r="AF35" i="6"/>
  <c r="AB60" i="36"/>
  <c r="AB62" i="36"/>
  <c r="A68" i="4" l="1"/>
  <c r="A57" i="4"/>
  <c r="A45" i="4"/>
  <c r="A34" i="4"/>
  <c r="A13" i="4" l="1"/>
  <c r="A6" i="4"/>
  <c r="BB21" i="32" l="1"/>
  <c r="BB20" i="32"/>
  <c r="BB19" i="32"/>
  <c r="BB18" i="32"/>
  <c r="BB17" i="32"/>
  <c r="BB16" i="32"/>
  <c r="BB15" i="32"/>
  <c r="O43" i="32"/>
  <c r="O43" i="6" l="1"/>
  <c r="O35" i="6"/>
  <c r="AJ42" i="32" l="1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AJ35" i="32"/>
  <c r="AJ34" i="32"/>
  <c r="AJ33" i="32"/>
  <c r="AJ32" i="32"/>
  <c r="AJ31" i="32"/>
  <c r="AJ29" i="32"/>
  <c r="AI29" i="32"/>
  <c r="AH29" i="32"/>
  <c r="AG29" i="32"/>
  <c r="AF29" i="32"/>
  <c r="AE29" i="32"/>
  <c r="AD29" i="32"/>
  <c r="AC29" i="32"/>
  <c r="AB29" i="32"/>
  <c r="AA29" i="32"/>
  <c r="Z29" i="32"/>
  <c r="Y29" i="32"/>
  <c r="X29" i="32"/>
  <c r="W29" i="32"/>
  <c r="V29" i="32"/>
  <c r="U29" i="32"/>
  <c r="G21" i="32"/>
  <c r="G19" i="32"/>
  <c r="AD5" i="41" l="1"/>
  <c r="Z5" i="41"/>
  <c r="V5" i="41"/>
  <c r="R5" i="41"/>
  <c r="N5" i="41"/>
  <c r="J5" i="41"/>
  <c r="AA5" i="41"/>
  <c r="O5" i="41"/>
  <c r="AC5" i="41"/>
  <c r="Y5" i="41"/>
  <c r="U5" i="41"/>
  <c r="Q5" i="41"/>
  <c r="M5" i="41"/>
  <c r="I5" i="41"/>
  <c r="S5" i="41"/>
  <c r="G5" i="41"/>
  <c r="AF5" i="41"/>
  <c r="AB5" i="41"/>
  <c r="X5" i="41"/>
  <c r="T5" i="41"/>
  <c r="P5" i="41"/>
  <c r="L5" i="41"/>
  <c r="H5" i="41"/>
  <c r="AE5" i="41"/>
  <c r="W5" i="41"/>
  <c r="K5" i="41"/>
  <c r="AL17" i="32"/>
  <c r="AM17" i="32" s="1"/>
  <c r="AN17" i="32" s="1"/>
  <c r="AL18" i="32"/>
  <c r="AM18" i="32" s="1"/>
  <c r="AN18" i="32" s="1"/>
  <c r="AL19" i="32"/>
  <c r="AM19" i="32" s="1"/>
  <c r="AN19" i="32" s="1"/>
  <c r="AL20" i="32"/>
  <c r="AM20" i="32" s="1"/>
  <c r="AN20" i="32" s="1"/>
  <c r="AL16" i="32"/>
  <c r="AM16" i="32" s="1"/>
  <c r="AN16" i="32" s="1"/>
  <c r="AL15" i="32"/>
  <c r="AM15" i="32" s="1"/>
  <c r="L77" i="36" s="1"/>
  <c r="I41" i="32"/>
  <c r="H79" i="32"/>
  <c r="J2" i="32"/>
  <c r="F51" i="32" s="1"/>
  <c r="AV7" i="32"/>
  <c r="AW7" i="32"/>
  <c r="AX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AV6" i="32"/>
  <c r="AW6" i="32"/>
  <c r="AX6" i="32"/>
  <c r="Q35" i="6"/>
  <c r="R35" i="6"/>
  <c r="N128" i="36" s="1"/>
  <c r="S35" i="6"/>
  <c r="O128" i="36" s="1"/>
  <c r="T35" i="6"/>
  <c r="P128" i="36" s="1"/>
  <c r="U35" i="6"/>
  <c r="Q128" i="36" s="1"/>
  <c r="V35" i="6"/>
  <c r="R128" i="36" s="1"/>
  <c r="W35" i="6"/>
  <c r="S128" i="36" s="1"/>
  <c r="X35" i="6"/>
  <c r="T128" i="36" s="1"/>
  <c r="Y35" i="6"/>
  <c r="U128" i="36" s="1"/>
  <c r="Z35" i="6"/>
  <c r="V128" i="36" s="1"/>
  <c r="AA35" i="6"/>
  <c r="W128" i="36" s="1"/>
  <c r="AB35" i="6"/>
  <c r="X128" i="36" s="1"/>
  <c r="AC35" i="6"/>
  <c r="Y128" i="36" s="1"/>
  <c r="AD35" i="6"/>
  <c r="Z128" i="36" s="1"/>
  <c r="AE35" i="6"/>
  <c r="AA128" i="36" s="1"/>
  <c r="Q48" i="6"/>
  <c r="M435" i="36" s="1"/>
  <c r="R48" i="6"/>
  <c r="N435" i="36" s="1"/>
  <c r="S48" i="6"/>
  <c r="O435" i="36" s="1"/>
  <c r="T48" i="6"/>
  <c r="P435" i="36" s="1"/>
  <c r="U48" i="6"/>
  <c r="Q435" i="36" s="1"/>
  <c r="V48" i="6"/>
  <c r="R435" i="36" s="1"/>
  <c r="W48" i="6"/>
  <c r="S435" i="36" s="1"/>
  <c r="X48" i="6"/>
  <c r="T435" i="36" s="1"/>
  <c r="Y48" i="6"/>
  <c r="U435" i="36" s="1"/>
  <c r="Z48" i="6"/>
  <c r="V435" i="36" s="1"/>
  <c r="AA48" i="6"/>
  <c r="W435" i="36" s="1"/>
  <c r="AB48" i="6"/>
  <c r="X435" i="36" s="1"/>
  <c r="AC48" i="6"/>
  <c r="AD48" i="6"/>
  <c r="Z435" i="36" s="1"/>
  <c r="AE48" i="6"/>
  <c r="AA435" i="36" s="1"/>
  <c r="Q49" i="6"/>
  <c r="M467" i="36" s="1"/>
  <c r="R49" i="6"/>
  <c r="N467" i="36" s="1"/>
  <c r="S49" i="6"/>
  <c r="O467" i="36" s="1"/>
  <c r="T49" i="6"/>
  <c r="P467" i="36" s="1"/>
  <c r="U49" i="6"/>
  <c r="Q467" i="36" s="1"/>
  <c r="V49" i="6"/>
  <c r="R467" i="36" s="1"/>
  <c r="W49" i="6"/>
  <c r="S467" i="36" s="1"/>
  <c r="X49" i="6"/>
  <c r="T467" i="36" s="1"/>
  <c r="Y49" i="6"/>
  <c r="U467" i="36" s="1"/>
  <c r="Z49" i="6"/>
  <c r="V467" i="36" s="1"/>
  <c r="AA49" i="6"/>
  <c r="W467" i="36" s="1"/>
  <c r="AB49" i="6"/>
  <c r="X467" i="36" s="1"/>
  <c r="AC49" i="6"/>
  <c r="Y467" i="36" s="1"/>
  <c r="AD49" i="6"/>
  <c r="Z467" i="36" s="1"/>
  <c r="AE49" i="6"/>
  <c r="AA467" i="36" s="1"/>
  <c r="Q50" i="6"/>
  <c r="M498" i="36" s="1"/>
  <c r="R50" i="6"/>
  <c r="N498" i="36" s="1"/>
  <c r="S50" i="6"/>
  <c r="O498" i="36" s="1"/>
  <c r="T50" i="6"/>
  <c r="P498" i="36" s="1"/>
  <c r="U50" i="6"/>
  <c r="Q498" i="36" s="1"/>
  <c r="V50" i="6"/>
  <c r="R498" i="36" s="1"/>
  <c r="W50" i="6"/>
  <c r="S498" i="36" s="1"/>
  <c r="X50" i="6"/>
  <c r="T498" i="36" s="1"/>
  <c r="Y50" i="6"/>
  <c r="U498" i="36" s="1"/>
  <c r="Z50" i="6"/>
  <c r="V498" i="36" s="1"/>
  <c r="AA50" i="6"/>
  <c r="W498" i="36" s="1"/>
  <c r="AB50" i="6"/>
  <c r="X498" i="36" s="1"/>
  <c r="AC50" i="6"/>
  <c r="Y498" i="36" s="1"/>
  <c r="AD50" i="6"/>
  <c r="Z498" i="36" s="1"/>
  <c r="AE50" i="6"/>
  <c r="AA498" i="36" s="1"/>
  <c r="Q51" i="6"/>
  <c r="M529" i="36" s="1"/>
  <c r="R51" i="6"/>
  <c r="N529" i="36" s="1"/>
  <c r="S51" i="6"/>
  <c r="O529" i="36" s="1"/>
  <c r="T51" i="6"/>
  <c r="P529" i="36" s="1"/>
  <c r="U51" i="6"/>
  <c r="Q529" i="36" s="1"/>
  <c r="V51" i="6"/>
  <c r="R529" i="36" s="1"/>
  <c r="W51" i="6"/>
  <c r="S529" i="36" s="1"/>
  <c r="X51" i="6"/>
  <c r="T529" i="36" s="1"/>
  <c r="Y51" i="6"/>
  <c r="U529" i="36" s="1"/>
  <c r="Z51" i="6"/>
  <c r="V529" i="36" s="1"/>
  <c r="AA51" i="6"/>
  <c r="W529" i="36" s="1"/>
  <c r="AB51" i="6"/>
  <c r="X529" i="36" s="1"/>
  <c r="AC51" i="6"/>
  <c r="Y529" i="36" s="1"/>
  <c r="AD51" i="6"/>
  <c r="Z529" i="36" s="1"/>
  <c r="AE51" i="6"/>
  <c r="AA529" i="36" s="1"/>
  <c r="Q52" i="6"/>
  <c r="M560" i="36" s="1"/>
  <c r="R52" i="6"/>
  <c r="N560" i="36" s="1"/>
  <c r="S52" i="6"/>
  <c r="O560" i="36" s="1"/>
  <c r="T52" i="6"/>
  <c r="P560" i="36" s="1"/>
  <c r="U52" i="6"/>
  <c r="Q560" i="36" s="1"/>
  <c r="V52" i="6"/>
  <c r="R560" i="36" s="1"/>
  <c r="W52" i="6"/>
  <c r="S560" i="36" s="1"/>
  <c r="X52" i="6"/>
  <c r="T560" i="36" s="1"/>
  <c r="Y52" i="6"/>
  <c r="U560" i="36" s="1"/>
  <c r="Z52" i="6"/>
  <c r="V560" i="36" s="1"/>
  <c r="AA52" i="6"/>
  <c r="W560" i="36" s="1"/>
  <c r="AB52" i="6"/>
  <c r="X560" i="36" s="1"/>
  <c r="AC52" i="6"/>
  <c r="Y560" i="36" s="1"/>
  <c r="AD52" i="6"/>
  <c r="Z560" i="36" s="1"/>
  <c r="AE52" i="6"/>
  <c r="AA560" i="36" s="1"/>
  <c r="Q53" i="6"/>
  <c r="M591" i="36" s="1"/>
  <c r="R53" i="6"/>
  <c r="N591" i="36" s="1"/>
  <c r="S53" i="6"/>
  <c r="O591" i="36" s="1"/>
  <c r="T53" i="6"/>
  <c r="P591" i="36" s="1"/>
  <c r="U53" i="6"/>
  <c r="Q591" i="36" s="1"/>
  <c r="V53" i="6"/>
  <c r="R591" i="36" s="1"/>
  <c r="W53" i="6"/>
  <c r="S591" i="36" s="1"/>
  <c r="X53" i="6"/>
  <c r="T591" i="36" s="1"/>
  <c r="Y53" i="6"/>
  <c r="U591" i="36" s="1"/>
  <c r="Z53" i="6"/>
  <c r="V591" i="36" s="1"/>
  <c r="AA53" i="6"/>
  <c r="W591" i="36" s="1"/>
  <c r="AB53" i="6"/>
  <c r="X591" i="36" s="1"/>
  <c r="AC53" i="6"/>
  <c r="Y591" i="36" s="1"/>
  <c r="AD53" i="6"/>
  <c r="Z591" i="36" s="1"/>
  <c r="AE53" i="6"/>
  <c r="AA591" i="36" s="1"/>
  <c r="Q54" i="6"/>
  <c r="M622" i="36" s="1"/>
  <c r="R54" i="6"/>
  <c r="N622" i="36" s="1"/>
  <c r="S54" i="6"/>
  <c r="O622" i="36" s="1"/>
  <c r="T54" i="6"/>
  <c r="P622" i="36" s="1"/>
  <c r="U54" i="6"/>
  <c r="Q622" i="36" s="1"/>
  <c r="V54" i="6"/>
  <c r="W54" i="6"/>
  <c r="S622" i="36" s="1"/>
  <c r="X54" i="6"/>
  <c r="T622" i="36" s="1"/>
  <c r="Y54" i="6"/>
  <c r="U622" i="36" s="1"/>
  <c r="Z54" i="6"/>
  <c r="V622" i="36" s="1"/>
  <c r="AA54" i="6"/>
  <c r="W622" i="36" s="1"/>
  <c r="AB54" i="6"/>
  <c r="X622" i="36" s="1"/>
  <c r="AC54" i="6"/>
  <c r="Y622" i="36" s="1"/>
  <c r="AD54" i="6"/>
  <c r="Z622" i="36" s="1"/>
  <c r="AE54" i="6"/>
  <c r="AA622" i="36" s="1"/>
  <c r="Y435" i="36"/>
  <c r="R622" i="36"/>
  <c r="E1" i="4"/>
  <c r="P54" i="6"/>
  <c r="L622" i="36" s="1"/>
  <c r="O54" i="6"/>
  <c r="K622" i="36" s="1"/>
  <c r="N54" i="6"/>
  <c r="J622" i="36" s="1"/>
  <c r="M54" i="6"/>
  <c r="I622" i="36" s="1"/>
  <c r="L54" i="6"/>
  <c r="H622" i="36" s="1"/>
  <c r="K54" i="6"/>
  <c r="G622" i="36" s="1"/>
  <c r="J54" i="6"/>
  <c r="F622" i="36" s="1"/>
  <c r="I54" i="6"/>
  <c r="E622" i="36" s="1"/>
  <c r="H54" i="6"/>
  <c r="D622" i="36" s="1"/>
  <c r="G54" i="6"/>
  <c r="C622" i="36" s="1"/>
  <c r="P53" i="6"/>
  <c r="L591" i="36" s="1"/>
  <c r="O53" i="6"/>
  <c r="K591" i="36" s="1"/>
  <c r="N53" i="6"/>
  <c r="J591" i="36" s="1"/>
  <c r="M53" i="6"/>
  <c r="I591" i="36" s="1"/>
  <c r="L53" i="6"/>
  <c r="H591" i="36" s="1"/>
  <c r="K53" i="6"/>
  <c r="G591" i="36" s="1"/>
  <c r="J53" i="6"/>
  <c r="F591" i="36" s="1"/>
  <c r="I53" i="6"/>
  <c r="E591" i="36" s="1"/>
  <c r="H53" i="6"/>
  <c r="D591" i="36" s="1"/>
  <c r="G53" i="6"/>
  <c r="C591" i="36" s="1"/>
  <c r="P52" i="6"/>
  <c r="L560" i="36" s="1"/>
  <c r="O52" i="6"/>
  <c r="K560" i="36" s="1"/>
  <c r="N52" i="6"/>
  <c r="J560" i="36" s="1"/>
  <c r="M52" i="6"/>
  <c r="I560" i="36" s="1"/>
  <c r="L52" i="6"/>
  <c r="H560" i="36" s="1"/>
  <c r="K52" i="6"/>
  <c r="G560" i="36" s="1"/>
  <c r="J52" i="6"/>
  <c r="F560" i="36" s="1"/>
  <c r="I52" i="6"/>
  <c r="E560" i="36" s="1"/>
  <c r="H52" i="6"/>
  <c r="D560" i="36" s="1"/>
  <c r="G52" i="6"/>
  <c r="C560" i="36" s="1"/>
  <c r="P51" i="6"/>
  <c r="L529" i="36" s="1"/>
  <c r="O51" i="6"/>
  <c r="K529" i="36" s="1"/>
  <c r="N51" i="6"/>
  <c r="J529" i="36" s="1"/>
  <c r="M51" i="6"/>
  <c r="I529" i="36" s="1"/>
  <c r="L51" i="6"/>
  <c r="H529" i="36" s="1"/>
  <c r="K51" i="6"/>
  <c r="G529" i="36" s="1"/>
  <c r="J51" i="6"/>
  <c r="F529" i="36" s="1"/>
  <c r="I51" i="6"/>
  <c r="E529" i="36" s="1"/>
  <c r="H51" i="6"/>
  <c r="D529" i="36" s="1"/>
  <c r="G51" i="6"/>
  <c r="C529" i="36" s="1"/>
  <c r="P50" i="6"/>
  <c r="L498" i="36" s="1"/>
  <c r="O50" i="6"/>
  <c r="K498" i="36" s="1"/>
  <c r="N50" i="6"/>
  <c r="J498" i="36" s="1"/>
  <c r="M50" i="6"/>
  <c r="I498" i="36" s="1"/>
  <c r="L50" i="6"/>
  <c r="H498" i="36" s="1"/>
  <c r="K50" i="6"/>
  <c r="G498" i="36" s="1"/>
  <c r="J50" i="6"/>
  <c r="F498" i="36" s="1"/>
  <c r="I50" i="6"/>
  <c r="E498" i="36" s="1"/>
  <c r="H50" i="6"/>
  <c r="D498" i="36" s="1"/>
  <c r="G50" i="6"/>
  <c r="C498" i="36" s="1"/>
  <c r="P49" i="6"/>
  <c r="O49" i="6"/>
  <c r="K467" i="36" s="1"/>
  <c r="N49" i="6"/>
  <c r="J467" i="36" s="1"/>
  <c r="M49" i="6"/>
  <c r="I467" i="36" s="1"/>
  <c r="L49" i="6"/>
  <c r="H467" i="36" s="1"/>
  <c r="K49" i="6"/>
  <c r="G467" i="36" s="1"/>
  <c r="J49" i="6"/>
  <c r="F467" i="36" s="1"/>
  <c r="I49" i="6"/>
  <c r="E467" i="36" s="1"/>
  <c r="H49" i="6"/>
  <c r="D467" i="36" s="1"/>
  <c r="G49" i="6"/>
  <c r="C467" i="36" s="1"/>
  <c r="P48" i="6"/>
  <c r="L435" i="36" s="1"/>
  <c r="O48" i="6"/>
  <c r="K435" i="36" s="1"/>
  <c r="N48" i="6"/>
  <c r="J435" i="36" s="1"/>
  <c r="M48" i="6"/>
  <c r="I435" i="36" s="1"/>
  <c r="L48" i="6"/>
  <c r="H435" i="36" s="1"/>
  <c r="K48" i="6"/>
  <c r="G435" i="36" s="1"/>
  <c r="J48" i="6"/>
  <c r="F435" i="36" s="1"/>
  <c r="I48" i="6"/>
  <c r="E435" i="36" s="1"/>
  <c r="H48" i="6"/>
  <c r="D435" i="36" s="1"/>
  <c r="G48" i="6"/>
  <c r="C435" i="36" s="1"/>
  <c r="G35" i="6"/>
  <c r="C128" i="36" s="1"/>
  <c r="F76" i="5"/>
  <c r="F70" i="5"/>
  <c r="F71" i="5"/>
  <c r="F72" i="5"/>
  <c r="F73" i="5"/>
  <c r="F74" i="5"/>
  <c r="F75" i="5"/>
  <c r="G43" i="6"/>
  <c r="C186" i="36" s="1"/>
  <c r="H43" i="6"/>
  <c r="D186" i="36" s="1"/>
  <c r="I43" i="6"/>
  <c r="E186" i="36" s="1"/>
  <c r="J43" i="6"/>
  <c r="F186" i="36" s="1"/>
  <c r="K43" i="6"/>
  <c r="G186" i="36" s="1"/>
  <c r="L43" i="6"/>
  <c r="H186" i="36" s="1"/>
  <c r="M43" i="6"/>
  <c r="I186" i="36" s="1"/>
  <c r="N43" i="6"/>
  <c r="J186" i="36" s="1"/>
  <c r="K186" i="36"/>
  <c r="P43" i="6"/>
  <c r="L186" i="36" s="1"/>
  <c r="Q43" i="6"/>
  <c r="M186" i="36" s="1"/>
  <c r="R43" i="6"/>
  <c r="N186" i="36" s="1"/>
  <c r="S43" i="6"/>
  <c r="O186" i="36" s="1"/>
  <c r="T43" i="6"/>
  <c r="P186" i="36" s="1"/>
  <c r="U43" i="6"/>
  <c r="Q186" i="36" s="1"/>
  <c r="V43" i="6"/>
  <c r="R186" i="36" s="1"/>
  <c r="W43" i="6"/>
  <c r="S186" i="36" s="1"/>
  <c r="X43" i="6"/>
  <c r="T186" i="36" s="1"/>
  <c r="Y43" i="6"/>
  <c r="U186" i="36" s="1"/>
  <c r="Z43" i="6"/>
  <c r="V186" i="36" s="1"/>
  <c r="AA43" i="6"/>
  <c r="W186" i="36" s="1"/>
  <c r="AB43" i="6"/>
  <c r="X186" i="36" s="1"/>
  <c r="AC43" i="6"/>
  <c r="Y186" i="36" s="1"/>
  <c r="AD43" i="6"/>
  <c r="Z186" i="36" s="1"/>
  <c r="AE43" i="6"/>
  <c r="AA186" i="36" s="1"/>
  <c r="H35" i="6"/>
  <c r="D128" i="36" s="1"/>
  <c r="I35" i="6"/>
  <c r="E128" i="36" s="1"/>
  <c r="J35" i="6"/>
  <c r="F128" i="36" s="1"/>
  <c r="K35" i="6"/>
  <c r="G128" i="36" s="1"/>
  <c r="L35" i="6"/>
  <c r="H128" i="36" s="1"/>
  <c r="M35" i="6"/>
  <c r="I128" i="36" s="1"/>
  <c r="N35" i="6"/>
  <c r="J128" i="36" s="1"/>
  <c r="K128" i="36"/>
  <c r="P35" i="6"/>
  <c r="F53" i="32"/>
  <c r="AA431" i="36"/>
  <c r="D431" i="36"/>
  <c r="E431" i="36"/>
  <c r="F431" i="36"/>
  <c r="G431" i="36"/>
  <c r="H431" i="36"/>
  <c r="I431" i="36"/>
  <c r="J431" i="36"/>
  <c r="K431" i="36"/>
  <c r="L431" i="36"/>
  <c r="M431" i="36"/>
  <c r="N431" i="36"/>
  <c r="O431" i="36"/>
  <c r="P431" i="36"/>
  <c r="Q431" i="36"/>
  <c r="R431" i="36"/>
  <c r="S431" i="36"/>
  <c r="T431" i="36"/>
  <c r="U431" i="36"/>
  <c r="V431" i="36"/>
  <c r="W431" i="36"/>
  <c r="X431" i="36"/>
  <c r="Y431" i="36"/>
  <c r="Z431" i="36"/>
  <c r="C431" i="36"/>
  <c r="AA6" i="32"/>
  <c r="AB6" i="32"/>
  <c r="AC6" i="32"/>
  <c r="AD6" i="32"/>
  <c r="AE6" i="32"/>
  <c r="AF6" i="32"/>
  <c r="AG6" i="32"/>
  <c r="AH6" i="32"/>
  <c r="AI6" i="32"/>
  <c r="AA7" i="32"/>
  <c r="AB7" i="32"/>
  <c r="AC7" i="32"/>
  <c r="AD7" i="32"/>
  <c r="AE7" i="32"/>
  <c r="AF7" i="32"/>
  <c r="AG7" i="32"/>
  <c r="AH7" i="32"/>
  <c r="AI7" i="32"/>
  <c r="Z7" i="32"/>
  <c r="Z6" i="32"/>
  <c r="F95" i="5"/>
  <c r="F96" i="5"/>
  <c r="F97" i="5"/>
  <c r="F98" i="5"/>
  <c r="F99" i="5"/>
  <c r="F94" i="5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C62" i="36"/>
  <c r="C60" i="36"/>
  <c r="H3" i="5"/>
  <c r="A4" i="5"/>
  <c r="A12" i="5"/>
  <c r="A21" i="5"/>
  <c r="A30" i="5"/>
  <c r="A39" i="5"/>
  <c r="A49" i="5"/>
  <c r="A59" i="5"/>
  <c r="M61" i="36"/>
  <c r="L61" i="36"/>
  <c r="K61" i="36"/>
  <c r="J61" i="36"/>
  <c r="I61" i="36"/>
  <c r="H61" i="36"/>
  <c r="G61" i="36"/>
  <c r="F61" i="36"/>
  <c r="E61" i="36"/>
  <c r="D61" i="36"/>
  <c r="C61" i="36"/>
  <c r="L128" i="36"/>
  <c r="L467" i="36"/>
  <c r="AL21" i="32"/>
  <c r="AM21" i="32" s="1"/>
  <c r="AN21" i="32" s="1"/>
  <c r="K40" i="32"/>
  <c r="X60" i="36"/>
  <c r="Y60" i="36"/>
  <c r="Z60" i="36"/>
  <c r="AA60" i="36"/>
  <c r="AE94" i="41" l="1"/>
  <c r="AE95" i="41" s="1"/>
  <c r="T94" i="41"/>
  <c r="T95" i="41" s="1"/>
  <c r="X94" i="41"/>
  <c r="X95" i="41" s="1"/>
  <c r="S94" i="41"/>
  <c r="S95" i="41" s="1"/>
  <c r="U94" i="41"/>
  <c r="U95" i="41" s="1"/>
  <c r="AA94" i="41"/>
  <c r="AA95" i="41" s="1"/>
  <c r="AB94" i="41"/>
  <c r="AB95" i="41" s="1"/>
  <c r="W94" i="41"/>
  <c r="W95" i="41" s="1"/>
  <c r="AF94" i="41"/>
  <c r="AF95" i="41" s="1"/>
  <c r="AF97" i="41" s="1"/>
  <c r="AC94" i="41"/>
  <c r="AC95" i="41" s="1"/>
  <c r="AD94" i="41"/>
  <c r="AD95" i="41" s="1"/>
  <c r="Y94" i="41"/>
  <c r="Y95" i="41" s="1"/>
  <c r="V94" i="41"/>
  <c r="V95" i="41" s="1"/>
  <c r="Z94" i="41"/>
  <c r="Z95" i="41" s="1"/>
  <c r="G73" i="5"/>
  <c r="H53" i="32"/>
  <c r="G53" i="32"/>
  <c r="J31" i="32"/>
  <c r="F64" i="32"/>
  <c r="G76" i="32"/>
  <c r="S16" i="32"/>
  <c r="AO16" i="32"/>
  <c r="AP16" i="32" s="1"/>
  <c r="AQ16" i="32" s="1"/>
  <c r="AR16" i="32" s="1"/>
  <c r="AS16" i="32" s="1"/>
  <c r="AT16" i="32" s="1"/>
  <c r="AU16" i="32" s="1"/>
  <c r="AV16" i="32" s="1"/>
  <c r="AW16" i="32" s="1"/>
  <c r="AX16" i="32" s="1"/>
  <c r="AY16" i="32" s="1"/>
  <c r="AZ16" i="32" s="1"/>
  <c r="BA16" i="32" s="1"/>
  <c r="AO17" i="32"/>
  <c r="AP17" i="32" s="1"/>
  <c r="AQ17" i="32" s="1"/>
  <c r="AR17" i="32" s="1"/>
  <c r="AS17" i="32" s="1"/>
  <c r="AT17" i="32" s="1"/>
  <c r="AU17" i="32" s="1"/>
  <c r="AV17" i="32" s="1"/>
  <c r="AW17" i="32" s="1"/>
  <c r="AX17" i="32" s="1"/>
  <c r="AY17" i="32" s="1"/>
  <c r="AZ17" i="32" s="1"/>
  <c r="BA17" i="32" s="1"/>
  <c r="AO18" i="32"/>
  <c r="AP18" i="32" s="1"/>
  <c r="AQ18" i="32" s="1"/>
  <c r="AR18" i="32" s="1"/>
  <c r="AS18" i="32" s="1"/>
  <c r="AT18" i="32" s="1"/>
  <c r="AU18" i="32" s="1"/>
  <c r="AV18" i="32" s="1"/>
  <c r="AW18" i="32" s="1"/>
  <c r="AX18" i="32" s="1"/>
  <c r="AY18" i="32" s="1"/>
  <c r="AZ18" i="32" s="1"/>
  <c r="BA18" i="32" s="1"/>
  <c r="H55" i="32"/>
  <c r="H59" i="32"/>
  <c r="H54" i="32"/>
  <c r="O17" i="32"/>
  <c r="AN15" i="32"/>
  <c r="H58" i="32"/>
  <c r="H57" i="32"/>
  <c r="H56" i="32"/>
  <c r="G70" i="5"/>
  <c r="G94" i="5"/>
  <c r="G98" i="5"/>
  <c r="G74" i="5"/>
  <c r="G72" i="5"/>
  <c r="G99" i="5"/>
  <c r="G97" i="5"/>
  <c r="G95" i="5"/>
  <c r="G75" i="5"/>
  <c r="G71" i="5"/>
  <c r="G76" i="5"/>
  <c r="AO21" i="32"/>
  <c r="AP21" i="32" s="1"/>
  <c r="AQ21" i="32" s="1"/>
  <c r="AR21" i="32" s="1"/>
  <c r="AS21" i="32" s="1"/>
  <c r="AT21" i="32" s="1"/>
  <c r="AU21" i="32" s="1"/>
  <c r="AV21" i="32" s="1"/>
  <c r="AW21" i="32" s="1"/>
  <c r="AX21" i="32" s="1"/>
  <c r="AY21" i="32" s="1"/>
  <c r="AZ21" i="32" s="1"/>
  <c r="BA21" i="32" s="1"/>
  <c r="AO19" i="32"/>
  <c r="AP19" i="32" s="1"/>
  <c r="AQ19" i="32" s="1"/>
  <c r="AR19" i="32" s="1"/>
  <c r="AS19" i="32" s="1"/>
  <c r="AT19" i="32" s="1"/>
  <c r="AU19" i="32" s="1"/>
  <c r="AV19" i="32" s="1"/>
  <c r="AW19" i="32" s="1"/>
  <c r="AX19" i="32" s="1"/>
  <c r="AY19" i="32" s="1"/>
  <c r="AZ19" i="32" s="1"/>
  <c r="BA19" i="32" s="1"/>
  <c r="AO20" i="32"/>
  <c r="AP20" i="32" s="1"/>
  <c r="AQ20" i="32" s="1"/>
  <c r="AR20" i="32" s="1"/>
  <c r="AS20" i="32" s="1"/>
  <c r="AT20" i="32" s="1"/>
  <c r="AU20" i="32" s="1"/>
  <c r="AV20" i="32" s="1"/>
  <c r="AW20" i="32" s="1"/>
  <c r="AX20" i="32" s="1"/>
  <c r="AY20" i="32" s="1"/>
  <c r="AZ20" i="32" s="1"/>
  <c r="BA20" i="32" s="1"/>
  <c r="G96" i="5"/>
  <c r="O29" i="32"/>
  <c r="H73" i="5" l="1"/>
  <c r="I73" i="5" s="1"/>
  <c r="H75" i="5"/>
  <c r="H74" i="5"/>
  <c r="H70" i="5"/>
  <c r="H94" i="5"/>
  <c r="I6" i="32"/>
  <c r="I10" i="32"/>
  <c r="I11" i="32"/>
  <c r="I9" i="32"/>
  <c r="I7" i="32"/>
  <c r="I8" i="32"/>
  <c r="AO15" i="32"/>
  <c r="AP15" i="32" s="1"/>
  <c r="AQ15" i="32" s="1"/>
  <c r="AR15" i="32" s="1"/>
  <c r="AS15" i="32" s="1"/>
  <c r="AT15" i="32" s="1"/>
  <c r="AU15" i="32" s="1"/>
  <c r="AV15" i="32" s="1"/>
  <c r="AW15" i="32" s="1"/>
  <c r="AX15" i="32" s="1"/>
  <c r="AY15" i="32" s="1"/>
  <c r="AZ15" i="32" s="1"/>
  <c r="BA15" i="32" s="1"/>
  <c r="H72" i="5"/>
  <c r="H98" i="5"/>
  <c r="H95" i="5"/>
  <c r="H71" i="5"/>
  <c r="H97" i="5"/>
  <c r="H99" i="5"/>
  <c r="H76" i="5"/>
  <c r="H96" i="5"/>
  <c r="I94" i="5" l="1"/>
  <c r="J94" i="5" s="1"/>
  <c r="J73" i="5"/>
  <c r="I75" i="5"/>
  <c r="I74" i="5"/>
  <c r="I70" i="5"/>
  <c r="J70" i="5" s="1"/>
  <c r="I72" i="5"/>
  <c r="I5" i="32"/>
  <c r="I99" i="5"/>
  <c r="I95" i="5"/>
  <c r="I71" i="5"/>
  <c r="I98" i="5"/>
  <c r="I76" i="5"/>
  <c r="I97" i="5"/>
  <c r="I96" i="5"/>
  <c r="K73" i="5" l="1"/>
  <c r="J74" i="5"/>
  <c r="J75" i="5"/>
  <c r="K70" i="5"/>
  <c r="J71" i="5"/>
  <c r="K94" i="5"/>
  <c r="J99" i="5"/>
  <c r="J95" i="5"/>
  <c r="J72" i="5"/>
  <c r="J98" i="5"/>
  <c r="J97" i="5"/>
  <c r="J76" i="5"/>
  <c r="J96" i="5"/>
  <c r="L73" i="5" l="1"/>
  <c r="K75" i="5"/>
  <c r="K99" i="5"/>
  <c r="L99" i="5" s="1"/>
  <c r="K95" i="5"/>
  <c r="L70" i="5"/>
  <c r="K74" i="5"/>
  <c r="L74" i="5" s="1"/>
  <c r="K72" i="5"/>
  <c r="K71" i="5"/>
  <c r="L94" i="5"/>
  <c r="K97" i="5"/>
  <c r="K98" i="5"/>
  <c r="K76" i="5"/>
  <c r="K96" i="5"/>
  <c r="M73" i="5" l="1"/>
  <c r="L75" i="5"/>
  <c r="M94" i="5"/>
  <c r="L95" i="5"/>
  <c r="M70" i="5"/>
  <c r="L72" i="5"/>
  <c r="L71" i="5"/>
  <c r="L97" i="5"/>
  <c r="L98" i="5"/>
  <c r="L76" i="5"/>
  <c r="L96" i="5"/>
  <c r="M99" i="5"/>
  <c r="M74" i="5"/>
  <c r="M95" i="5" l="1"/>
  <c r="M75" i="5"/>
  <c r="M97" i="5"/>
  <c r="M71" i="5"/>
  <c r="M72" i="5"/>
  <c r="M98" i="5"/>
  <c r="M76" i="5"/>
  <c r="M96" i="5"/>
  <c r="AJ43" i="32" l="1"/>
  <c r="AH43" i="32"/>
  <c r="AF43" i="32"/>
  <c r="AD43" i="32"/>
  <c r="AB43" i="32"/>
  <c r="Z43" i="32"/>
  <c r="X43" i="32"/>
  <c r="V43" i="32"/>
  <c r="U43" i="32"/>
  <c r="AI43" i="32"/>
  <c r="AG43" i="32"/>
  <c r="AE43" i="32"/>
  <c r="AC43" i="32"/>
  <c r="AA43" i="32"/>
  <c r="Y43" i="32"/>
  <c r="W43" i="32"/>
  <c r="O30" i="32" l="1"/>
  <c r="W44" i="32"/>
  <c r="Y44" i="32"/>
  <c r="AA44" i="32"/>
  <c r="AC44" i="32"/>
  <c r="AE44" i="32"/>
  <c r="AG44" i="32"/>
  <c r="AI44" i="32"/>
  <c r="U44" i="32"/>
  <c r="V44" i="32"/>
  <c r="X44" i="32"/>
  <c r="Z44" i="32"/>
  <c r="AB44" i="32"/>
  <c r="AD44" i="32"/>
  <c r="AF44" i="32"/>
  <c r="AH44" i="32"/>
  <c r="AJ44" i="32"/>
  <c r="O31" i="32" l="1"/>
  <c r="AJ45" i="32"/>
  <c r="AH45" i="32"/>
  <c r="AF45" i="32"/>
  <c r="AD45" i="32"/>
  <c r="AB45" i="32"/>
  <c r="Z45" i="32"/>
  <c r="X45" i="32"/>
  <c r="V45" i="32"/>
  <c r="U45" i="32"/>
  <c r="AI45" i="32"/>
  <c r="AG45" i="32"/>
  <c r="AE45" i="32"/>
  <c r="AC45" i="32"/>
  <c r="AA45" i="32"/>
  <c r="Y45" i="32"/>
  <c r="W45" i="32"/>
  <c r="O32" i="32" l="1"/>
  <c r="W47" i="32"/>
  <c r="W46" i="32"/>
  <c r="Y47" i="32"/>
  <c r="Y46" i="32"/>
  <c r="AA47" i="32"/>
  <c r="AA46" i="32"/>
  <c r="AC47" i="32"/>
  <c r="AC46" i="32"/>
  <c r="AE47" i="32"/>
  <c r="AE46" i="32"/>
  <c r="AG47" i="32"/>
  <c r="AG46" i="32"/>
  <c r="AI47" i="32"/>
  <c r="AI46" i="32"/>
  <c r="U47" i="32"/>
  <c r="U46" i="32"/>
  <c r="V47" i="32"/>
  <c r="V46" i="32"/>
  <c r="X47" i="32"/>
  <c r="X46" i="32"/>
  <c r="Z47" i="32"/>
  <c r="Z46" i="32"/>
  <c r="AB47" i="32"/>
  <c r="AB46" i="32"/>
  <c r="AD47" i="32"/>
  <c r="AD46" i="32"/>
  <c r="AF47" i="32"/>
  <c r="AF46" i="32"/>
  <c r="AH47" i="32"/>
  <c r="AH46" i="32"/>
  <c r="AJ47" i="32"/>
  <c r="AJ46" i="32"/>
  <c r="O33" i="32" l="1"/>
  <c r="O34" i="32"/>
  <c r="J120" i="36" l="1"/>
  <c r="E120" i="36" l="1"/>
  <c r="F120" i="36"/>
  <c r="C120" i="36"/>
  <c r="G120" i="36"/>
  <c r="I120" i="36"/>
  <c r="H120" i="36"/>
  <c r="D120" i="36"/>
  <c r="V30" i="32" l="1"/>
  <c r="W30" i="32"/>
  <c r="X30" i="32"/>
  <c r="Y30" i="32"/>
  <c r="Z30" i="32"/>
  <c r="AA30" i="32"/>
  <c r="AB30" i="32"/>
  <c r="AC30" i="32"/>
  <c r="AD30" i="32"/>
  <c r="AE30" i="32"/>
  <c r="AF30" i="32"/>
  <c r="AG30" i="32"/>
  <c r="AH30" i="32"/>
  <c r="AI30" i="32"/>
  <c r="AJ30" i="32"/>
  <c r="U30" i="32"/>
  <c r="O18" i="32" l="1"/>
  <c r="V31" i="32" l="1"/>
  <c r="W31" i="32"/>
  <c r="X31" i="32"/>
  <c r="Y31" i="32"/>
  <c r="Z31" i="32"/>
  <c r="AA31" i="32"/>
  <c r="AB31" i="32"/>
  <c r="AC31" i="32"/>
  <c r="AD31" i="32"/>
  <c r="AE31" i="32"/>
  <c r="AF31" i="32"/>
  <c r="AG31" i="32"/>
  <c r="AH31" i="32"/>
  <c r="AI31" i="32"/>
  <c r="U31" i="32"/>
  <c r="O19" i="32" l="1"/>
  <c r="AI32" i="32"/>
  <c r="AG32" i="32"/>
  <c r="AE32" i="32"/>
  <c r="AC32" i="32"/>
  <c r="AA32" i="32"/>
  <c r="Y32" i="32"/>
  <c r="W32" i="32"/>
  <c r="AH32" i="32"/>
  <c r="AF32" i="32"/>
  <c r="AD32" i="32"/>
  <c r="AB32" i="32"/>
  <c r="Z32" i="32"/>
  <c r="X32" i="32"/>
  <c r="V32" i="32"/>
  <c r="U32" i="32"/>
  <c r="O20" i="32" l="1"/>
  <c r="V33" i="32"/>
  <c r="X33" i="32"/>
  <c r="Z33" i="32"/>
  <c r="AB33" i="32"/>
  <c r="AD33" i="32"/>
  <c r="AF33" i="32"/>
  <c r="AH33" i="32"/>
  <c r="W33" i="32"/>
  <c r="Y33" i="32"/>
  <c r="AA33" i="32"/>
  <c r="AC33" i="32"/>
  <c r="AE33" i="32"/>
  <c r="AG33" i="32"/>
  <c r="AI33" i="32"/>
  <c r="U33" i="32"/>
  <c r="O21" i="32" l="1"/>
  <c r="AI34" i="32"/>
  <c r="AG34" i="32"/>
  <c r="AE34" i="32"/>
  <c r="AC34" i="32"/>
  <c r="AA34" i="32"/>
  <c r="Y34" i="32"/>
  <c r="W34" i="32"/>
  <c r="AH34" i="32"/>
  <c r="AF34" i="32"/>
  <c r="AD34" i="32"/>
  <c r="AB34" i="32"/>
  <c r="Z34" i="32"/>
  <c r="X34" i="32"/>
  <c r="V34" i="32"/>
  <c r="U34" i="32"/>
  <c r="O22" i="32" l="1"/>
  <c r="V35" i="32"/>
  <c r="X35" i="32"/>
  <c r="Z35" i="32"/>
  <c r="AB35" i="32"/>
  <c r="AD35" i="32"/>
  <c r="AF35" i="32"/>
  <c r="AH35" i="32"/>
  <c r="W35" i="32"/>
  <c r="Y35" i="32"/>
  <c r="AA35" i="32"/>
  <c r="AC35" i="32"/>
  <c r="AE35" i="32"/>
  <c r="AG35" i="32"/>
  <c r="AI35" i="32"/>
  <c r="U35" i="32"/>
  <c r="O23" i="32" l="1"/>
  <c r="F107" i="5" l="1"/>
  <c r="F105" i="5"/>
  <c r="F87" i="5"/>
  <c r="F83" i="5"/>
  <c r="F108" i="5"/>
  <c r="F86" i="5"/>
  <c r="F85" i="5"/>
  <c r="F106" i="5"/>
  <c r="F82" i="5"/>
  <c r="F104" i="5"/>
  <c r="F109" i="5"/>
  <c r="F84" i="5"/>
  <c r="F81" i="5"/>
  <c r="G83" i="5" l="1"/>
  <c r="G85" i="5"/>
  <c r="G108" i="5"/>
  <c r="G81" i="5"/>
  <c r="G82" i="5"/>
  <c r="G105" i="5"/>
  <c r="G86" i="5"/>
  <c r="G84" i="5"/>
  <c r="G107" i="5"/>
  <c r="G106" i="5"/>
  <c r="G104" i="5"/>
  <c r="G109" i="5"/>
  <c r="G87" i="5"/>
  <c r="H107" i="5" l="1"/>
  <c r="H82" i="5"/>
  <c r="H109" i="5"/>
  <c r="H87" i="5"/>
  <c r="H81" i="5"/>
  <c r="H85" i="5"/>
  <c r="H106" i="5"/>
  <c r="H84" i="5"/>
  <c r="H86" i="5"/>
  <c r="H105" i="5"/>
  <c r="H83" i="5"/>
  <c r="H104" i="5"/>
  <c r="H108" i="5"/>
  <c r="I85" i="5" l="1"/>
  <c r="I81" i="5"/>
  <c r="I84" i="5"/>
  <c r="I83" i="5"/>
  <c r="I87" i="5"/>
  <c r="I106" i="5"/>
  <c r="I82" i="5"/>
  <c r="I104" i="5"/>
  <c r="I108" i="5"/>
  <c r="I86" i="5"/>
  <c r="I105" i="5"/>
  <c r="I107" i="5"/>
  <c r="I109" i="5"/>
  <c r="J85" i="5" l="1"/>
  <c r="J104" i="5"/>
  <c r="J109" i="5"/>
  <c r="J83" i="5"/>
  <c r="J105" i="5"/>
  <c r="J107" i="5"/>
  <c r="J84" i="5"/>
  <c r="J87" i="5"/>
  <c r="J106" i="5"/>
  <c r="J81" i="5"/>
  <c r="J86" i="5"/>
  <c r="J82" i="5"/>
  <c r="J108" i="5"/>
  <c r="K84" i="5" l="1"/>
  <c r="K109" i="5"/>
  <c r="K81" i="5"/>
  <c r="K82" i="5"/>
  <c r="K104" i="5"/>
  <c r="K105" i="5"/>
  <c r="K85" i="5"/>
  <c r="K87" i="5"/>
  <c r="K107" i="5"/>
  <c r="K86" i="5"/>
  <c r="K108" i="5"/>
  <c r="K83" i="5"/>
  <c r="K106" i="5"/>
  <c r="L84" i="5" l="1"/>
  <c r="L82" i="5"/>
  <c r="L86" i="5"/>
  <c r="L83" i="5"/>
  <c r="L104" i="5"/>
  <c r="L106" i="5"/>
  <c r="L108" i="5"/>
  <c r="L107" i="5"/>
  <c r="L81" i="5"/>
  <c r="L85" i="5"/>
  <c r="L109" i="5"/>
  <c r="L87" i="5"/>
  <c r="L105" i="5"/>
  <c r="M109" i="5" l="1"/>
  <c r="M83" i="5"/>
  <c r="M107" i="5"/>
  <c r="M84" i="5"/>
  <c r="M105" i="5"/>
  <c r="M82" i="5"/>
  <c r="M106" i="5"/>
  <c r="M104" i="5"/>
  <c r="M86" i="5"/>
  <c r="M87" i="5"/>
  <c r="M85" i="5"/>
  <c r="M108" i="5"/>
  <c r="M81" i="5"/>
  <c r="F69" i="4" l="1"/>
  <c r="F58" i="4"/>
  <c r="F46" i="4"/>
  <c r="F35" i="4"/>
  <c r="F14" i="4"/>
  <c r="F28" i="41" s="1"/>
  <c r="F7" i="4"/>
  <c r="F32" i="41" l="1"/>
  <c r="F33" i="41"/>
  <c r="F31" i="41"/>
  <c r="F30" i="41"/>
  <c r="F37" i="4"/>
  <c r="F31" i="5"/>
  <c r="F40" i="5"/>
  <c r="F47" i="4"/>
  <c r="F5" i="5"/>
  <c r="F8" i="4"/>
  <c r="F59" i="4"/>
  <c r="F50" i="5"/>
  <c r="F13" i="5"/>
  <c r="F18" i="4"/>
  <c r="F15" i="4"/>
  <c r="F70" i="4"/>
  <c r="F60" i="5"/>
  <c r="F10" i="4"/>
  <c r="F7" i="5" s="1"/>
  <c r="F8" i="5" s="1"/>
  <c r="F38" i="4"/>
  <c r="F33" i="5" s="1"/>
  <c r="F42" i="4"/>
  <c r="F16" i="4"/>
  <c r="F15" i="5" s="1"/>
  <c r="F50" i="4"/>
  <c r="F73" i="4"/>
  <c r="F40" i="4"/>
  <c r="F62" i="4"/>
  <c r="F48" i="4"/>
  <c r="F42" i="5" s="1"/>
  <c r="F71" i="4"/>
  <c r="F62" i="5" s="1"/>
  <c r="F35" i="5" l="1"/>
  <c r="F41" i="4"/>
  <c r="F36" i="5" s="1"/>
  <c r="F74" i="4"/>
  <c r="F65" i="5" s="1"/>
  <c r="F64" i="5"/>
  <c r="F51" i="4"/>
  <c r="F45" i="5" s="1"/>
  <c r="F44" i="5"/>
  <c r="F63" i="5"/>
  <c r="C30" i="36"/>
  <c r="C618" i="36" s="1"/>
  <c r="C28" i="36"/>
  <c r="C556" i="36" s="1"/>
  <c r="F43" i="5"/>
  <c r="F16" i="5"/>
  <c r="C25" i="36"/>
  <c r="C463" i="36" s="1"/>
  <c r="F34" i="5"/>
  <c r="C27" i="36"/>
  <c r="C525" i="36" s="1"/>
  <c r="F63" i="4"/>
  <c r="F55" i="5" s="1"/>
  <c r="F54" i="5"/>
  <c r="F75" i="4"/>
  <c r="F60" i="4"/>
  <c r="F52" i="5" s="1"/>
  <c r="F9" i="5"/>
  <c r="C38" i="36"/>
  <c r="F6" i="5"/>
  <c r="F20" i="4"/>
  <c r="F14" i="5"/>
  <c r="C39" i="36"/>
  <c r="C44" i="36"/>
  <c r="F61" i="5"/>
  <c r="F64" i="4"/>
  <c r="F52" i="4"/>
  <c r="F41" i="5"/>
  <c r="C42" i="36"/>
  <c r="C41" i="36"/>
  <c r="F32" i="5"/>
  <c r="F17" i="5"/>
  <c r="F19" i="4"/>
  <c r="F18" i="5" s="1"/>
  <c r="C43" i="36"/>
  <c r="F51" i="5"/>
  <c r="C15" i="36" l="1"/>
  <c r="C588" i="36" s="1"/>
  <c r="C13" i="36"/>
  <c r="C526" i="36" s="1"/>
  <c r="C11" i="36"/>
  <c r="C464" i="36" s="1"/>
  <c r="C16" i="36"/>
  <c r="C619" i="36" s="1"/>
  <c r="C14" i="36"/>
  <c r="C557" i="36" s="1"/>
  <c r="C10" i="36"/>
  <c r="C432" i="36" s="1"/>
  <c r="D20" i="40"/>
  <c r="C74" i="36"/>
  <c r="C72" i="36"/>
  <c r="D18" i="40"/>
  <c r="C29" i="36"/>
  <c r="C587" i="36" s="1"/>
  <c r="F53" i="5"/>
  <c r="D16" i="40"/>
  <c r="C70" i="36"/>
  <c r="C69" i="36"/>
  <c r="D15" i="40"/>
  <c r="C73" i="36"/>
  <c r="D19" i="40"/>
  <c r="D21" i="40"/>
  <c r="C75" i="36"/>
  <c r="I11" i="4" l="1"/>
  <c r="F82" i="36"/>
  <c r="C169" i="36"/>
  <c r="C91" i="36"/>
  <c r="AC20" i="32"/>
  <c r="AB20" i="32" s="1"/>
  <c r="D32" i="40"/>
  <c r="K11" i="4"/>
  <c r="H82" i="36"/>
  <c r="J11" i="4"/>
  <c r="G82" i="36"/>
  <c r="G11" i="4"/>
  <c r="D82" i="36"/>
  <c r="E82" i="36"/>
  <c r="H11" i="4"/>
  <c r="C165" i="36"/>
  <c r="C87" i="36"/>
  <c r="AC16" i="32"/>
  <c r="AB16" i="32" s="1"/>
  <c r="D28" i="40"/>
  <c r="M11" i="4"/>
  <c r="J82" i="36"/>
  <c r="L11" i="4"/>
  <c r="I82" i="36"/>
  <c r="F11" i="4"/>
  <c r="C82" i="36"/>
  <c r="D33" i="40"/>
  <c r="C170" i="36"/>
  <c r="C92" i="36"/>
  <c r="AC21" i="32"/>
  <c r="AB21" i="32" s="1"/>
  <c r="C168" i="36"/>
  <c r="D31" i="40"/>
  <c r="AC19" i="32"/>
  <c r="AB19" i="32" s="1"/>
  <c r="C90" i="36"/>
  <c r="C81" i="36"/>
  <c r="D27" i="40"/>
  <c r="AC15" i="32"/>
  <c r="AB15" i="32" s="1"/>
  <c r="C164" i="36"/>
  <c r="C89" i="36"/>
  <c r="D30" i="40"/>
  <c r="C167" i="36"/>
  <c r="AC18" i="32"/>
  <c r="AB18" i="32" s="1"/>
  <c r="C83" i="36" l="1"/>
  <c r="C99" i="36" s="1"/>
  <c r="C111" i="36" s="1"/>
  <c r="K82" i="36"/>
  <c r="N11" i="4"/>
  <c r="G46" i="41"/>
  <c r="C103" i="36"/>
  <c r="C102" i="36"/>
  <c r="G45" i="41"/>
  <c r="G48" i="41"/>
  <c r="C105" i="36"/>
  <c r="G43" i="41"/>
  <c r="C100" i="36"/>
  <c r="G47" i="41"/>
  <c r="C104" i="36"/>
  <c r="C433" i="36" l="1"/>
  <c r="C430" i="36" s="1"/>
  <c r="C114" i="36"/>
  <c r="C527" i="36"/>
  <c r="C116" i="36"/>
  <c r="C589" i="36"/>
  <c r="C115" i="36"/>
  <c r="C558" i="36"/>
  <c r="C555" i="36" s="1"/>
  <c r="L82" i="36"/>
  <c r="O11" i="4"/>
  <c r="C465" i="36"/>
  <c r="C112" i="36"/>
  <c r="C620" i="36"/>
  <c r="C617" i="36" s="1"/>
  <c r="C117" i="36"/>
  <c r="C586" i="36" l="1"/>
  <c r="M82" i="36"/>
  <c r="P11" i="4"/>
  <c r="C524" i="36"/>
  <c r="C462" i="36"/>
  <c r="N82" i="36" l="1"/>
  <c r="Q11" i="4"/>
  <c r="F24" i="4" l="1"/>
  <c r="F29" i="41" l="1"/>
  <c r="F26" i="4"/>
  <c r="F31" i="4"/>
  <c r="F22" i="5"/>
  <c r="F29" i="4"/>
  <c r="F27" i="4"/>
  <c r="F24" i="5" s="1"/>
  <c r="F30" i="4" l="1"/>
  <c r="F27" i="5" s="1"/>
  <c r="F26" i="5"/>
  <c r="C26" i="36"/>
  <c r="C494" i="36" s="1"/>
  <c r="F25" i="5"/>
  <c r="C40" i="36"/>
  <c r="F23" i="5"/>
  <c r="C12" i="36" l="1"/>
  <c r="C495" i="36" s="1"/>
  <c r="D17" i="40"/>
  <c r="C71" i="36"/>
  <c r="C88" i="36" l="1"/>
  <c r="AC17" i="32"/>
  <c r="AB17" i="32" s="1"/>
  <c r="D29" i="40"/>
  <c r="C166" i="36"/>
  <c r="C171" i="36" s="1"/>
  <c r="G44" i="41" l="1"/>
  <c r="C101" i="36"/>
  <c r="C177" i="36"/>
  <c r="C180" i="36"/>
  <c r="C175" i="36"/>
  <c r="C178" i="36"/>
  <c r="C176" i="36"/>
  <c r="C181" i="36"/>
  <c r="C179" i="36"/>
  <c r="C496" i="36" l="1"/>
  <c r="C113" i="36"/>
  <c r="G49" i="41"/>
  <c r="C214" i="36"/>
  <c r="C215" i="36" s="1"/>
  <c r="C182" i="36"/>
  <c r="G58" i="41" l="1"/>
  <c r="G55" i="41"/>
  <c r="G57" i="41"/>
  <c r="G53" i="41"/>
  <c r="G56" i="41"/>
  <c r="G54" i="41"/>
  <c r="C118" i="36"/>
  <c r="C123" i="36" s="1"/>
  <c r="C219" i="36"/>
  <c r="C220" i="36"/>
  <c r="C234" i="36"/>
  <c r="C231" i="36"/>
  <c r="C222" i="36"/>
  <c r="C235" i="36"/>
  <c r="C230" i="36"/>
  <c r="C221" i="36"/>
  <c r="C229" i="36"/>
  <c r="C217" i="36"/>
  <c r="C223" i="36"/>
  <c r="C232" i="36"/>
  <c r="C233" i="36"/>
  <c r="C493" i="36"/>
  <c r="C134" i="36" l="1"/>
  <c r="C147" i="36" s="1"/>
  <c r="C132" i="36"/>
  <c r="C136" i="36"/>
  <c r="C149" i="36" s="1"/>
  <c r="C133" i="36"/>
  <c r="C146" i="36" s="1"/>
  <c r="C138" i="36"/>
  <c r="C151" i="36" s="1"/>
  <c r="C135" i="36"/>
  <c r="C148" i="36" s="1"/>
  <c r="C137" i="36"/>
  <c r="C150" i="36" s="1"/>
  <c r="C239" i="36"/>
  <c r="C240" i="36" s="1"/>
  <c r="C255" i="36" l="1"/>
  <c r="C243" i="36"/>
  <c r="C257" i="36"/>
  <c r="C256" i="36"/>
  <c r="C242" i="36"/>
  <c r="C258" i="36"/>
  <c r="C244" i="36"/>
  <c r="C259" i="36"/>
  <c r="C260" i="36"/>
  <c r="C247" i="36"/>
  <c r="C245" i="36"/>
  <c r="C248" i="36"/>
  <c r="C254" i="36"/>
  <c r="C139" i="36"/>
  <c r="C141" i="36" s="1"/>
  <c r="C145" i="36"/>
  <c r="C152" i="36" s="1"/>
  <c r="C264" i="36" l="1"/>
  <c r="C265" i="36" s="1"/>
  <c r="C273" i="36" s="1"/>
  <c r="C190" i="36"/>
  <c r="C194" i="36"/>
  <c r="C204" i="36" s="1"/>
  <c r="C195" i="36"/>
  <c r="C205" i="36" s="1"/>
  <c r="C196" i="36"/>
  <c r="C206" i="36" s="1"/>
  <c r="C192" i="36"/>
  <c r="C202" i="36" s="1"/>
  <c r="C191" i="36"/>
  <c r="C201" i="36" s="1"/>
  <c r="C193" i="36"/>
  <c r="C203" i="36" s="1"/>
  <c r="C281" i="36" l="1"/>
  <c r="C267" i="36"/>
  <c r="C279" i="36"/>
  <c r="C284" i="36"/>
  <c r="C271" i="36"/>
  <c r="C269" i="36"/>
  <c r="C270" i="36"/>
  <c r="C268" i="36"/>
  <c r="C285" i="36"/>
  <c r="C282" i="36"/>
  <c r="C283" i="36"/>
  <c r="C280" i="36"/>
  <c r="C200" i="36"/>
  <c r="C207" i="36" s="1"/>
  <c r="C197" i="36"/>
  <c r="C209" i="36" s="1"/>
  <c r="C218" i="36" s="1"/>
  <c r="C224" i="36" s="1"/>
  <c r="C226" i="36" s="1"/>
  <c r="C246" i="36" s="1"/>
  <c r="C249" i="36" s="1"/>
  <c r="C251" i="36" s="1"/>
  <c r="C272" i="36" s="1"/>
  <c r="C274" i="36" l="1"/>
  <c r="C276" i="36" s="1"/>
  <c r="C289" i="36"/>
  <c r="C290" i="36" s="1"/>
  <c r="C310" i="36" l="1"/>
  <c r="C297" i="36"/>
  <c r="C295" i="36"/>
  <c r="C304" i="36"/>
  <c r="C307" i="36"/>
  <c r="C292" i="36"/>
  <c r="C294" i="36"/>
  <c r="C308" i="36"/>
  <c r="C296" i="36"/>
  <c r="C305" i="36"/>
  <c r="C309" i="36"/>
  <c r="C293" i="36"/>
  <c r="C306" i="36"/>
  <c r="C298" i="36"/>
  <c r="C314" i="36" l="1"/>
  <c r="C315" i="36" s="1"/>
  <c r="C299" i="36"/>
  <c r="C301" i="36" s="1"/>
  <c r="C322" i="36" l="1"/>
  <c r="C323" i="36"/>
  <c r="C317" i="36"/>
  <c r="C321" i="36"/>
  <c r="C319" i="36"/>
  <c r="C333" i="36"/>
  <c r="C334" i="36"/>
  <c r="C330" i="36"/>
  <c r="C332" i="36"/>
  <c r="C318" i="36"/>
  <c r="C320" i="36"/>
  <c r="C335" i="36"/>
  <c r="C331" i="36"/>
  <c r="C329" i="36"/>
  <c r="C339" i="36" l="1"/>
  <c r="C340" i="36" s="1"/>
  <c r="C344" i="36" s="1"/>
  <c r="C324" i="36"/>
  <c r="C326" i="36" s="1"/>
  <c r="C348" i="36" l="1"/>
  <c r="C359" i="36"/>
  <c r="C355" i="36"/>
  <c r="C358" i="36"/>
  <c r="C346" i="36"/>
  <c r="C343" i="36"/>
  <c r="C356" i="36"/>
  <c r="C360" i="36"/>
  <c r="C357" i="36"/>
  <c r="C345" i="36"/>
  <c r="C342" i="36"/>
  <c r="C347" i="36"/>
  <c r="C354" i="36"/>
  <c r="C349" i="36" l="1"/>
  <c r="C351" i="36" s="1"/>
  <c r="C364" i="36"/>
  <c r="C365" i="36" s="1"/>
  <c r="C381" i="36" l="1"/>
  <c r="C368" i="36"/>
  <c r="C391" i="36" s="1"/>
  <c r="C369" i="36"/>
  <c r="C392" i="36" s="1"/>
  <c r="C372" i="36"/>
  <c r="C395" i="36" s="1"/>
  <c r="C382" i="36"/>
  <c r="C380" i="36"/>
  <c r="C379" i="36"/>
  <c r="C370" i="36"/>
  <c r="C393" i="36" s="1"/>
  <c r="C383" i="36"/>
  <c r="C367" i="36"/>
  <c r="C385" i="36"/>
  <c r="C384" i="36"/>
  <c r="C371" i="36"/>
  <c r="C394" i="36" s="1"/>
  <c r="C373" i="36"/>
  <c r="C396" i="36" s="1"/>
  <c r="C405" i="36" l="1"/>
  <c r="C421" i="36"/>
  <c r="C554" i="36" s="1"/>
  <c r="C561" i="36" s="1"/>
  <c r="C422" i="36"/>
  <c r="C585" i="36" s="1"/>
  <c r="C592" i="36" s="1"/>
  <c r="C406" i="36"/>
  <c r="C419" i="36"/>
  <c r="C492" i="36" s="1"/>
  <c r="C499" i="36" s="1"/>
  <c r="C403" i="36"/>
  <c r="C404" i="36"/>
  <c r="C420" i="36"/>
  <c r="C523" i="36" s="1"/>
  <c r="C530" i="36" s="1"/>
  <c r="C407" i="36"/>
  <c r="C423" i="36"/>
  <c r="C616" i="36" s="1"/>
  <c r="C623" i="36" s="1"/>
  <c r="C390" i="36"/>
  <c r="C374" i="36"/>
  <c r="C376" i="36" s="1"/>
  <c r="C418" i="36"/>
  <c r="C461" i="36" s="1"/>
  <c r="C468" i="36" s="1"/>
  <c r="C402" i="36"/>
  <c r="C534" i="36" l="1"/>
  <c r="C540" i="36" s="1"/>
  <c r="C532" i="36"/>
  <c r="C533" i="36"/>
  <c r="C539" i="36" s="1"/>
  <c r="C417" i="36"/>
  <c r="C429" i="36" s="1"/>
  <c r="C436" i="36" s="1"/>
  <c r="C401" i="36"/>
  <c r="C397" i="36"/>
  <c r="C596" i="36"/>
  <c r="C602" i="36" s="1"/>
  <c r="C594" i="36"/>
  <c r="C595" i="36"/>
  <c r="C601" i="36" s="1"/>
  <c r="C627" i="36"/>
  <c r="C633" i="36" s="1"/>
  <c r="C625" i="36"/>
  <c r="C626" i="36"/>
  <c r="C632" i="36" s="1"/>
  <c r="C564" i="36"/>
  <c r="C570" i="36" s="1"/>
  <c r="C563" i="36"/>
  <c r="C565" i="36"/>
  <c r="C571" i="36" s="1"/>
  <c r="C471" i="36"/>
  <c r="C477" i="36" s="1"/>
  <c r="C472" i="36"/>
  <c r="C478" i="36" s="1"/>
  <c r="C470" i="36"/>
  <c r="C503" i="36"/>
  <c r="C509" i="36" s="1"/>
  <c r="C502" i="36"/>
  <c r="C508" i="36" s="1"/>
  <c r="C501" i="36"/>
  <c r="C631" i="36" l="1"/>
  <c r="C630" i="36" s="1"/>
  <c r="C628" i="36"/>
  <c r="C635" i="36" s="1"/>
  <c r="C439" i="36"/>
  <c r="C446" i="36" s="1"/>
  <c r="C440" i="36"/>
  <c r="C447" i="36" s="1"/>
  <c r="C438" i="36"/>
  <c r="C476" i="36"/>
  <c r="C475" i="36" s="1"/>
  <c r="C473" i="36"/>
  <c r="C480" i="36" s="1"/>
  <c r="C569" i="36"/>
  <c r="C568" i="36" s="1"/>
  <c r="C566" i="36"/>
  <c r="C573" i="36" s="1"/>
  <c r="C535" i="36"/>
  <c r="C542" i="36" s="1"/>
  <c r="C538" i="36"/>
  <c r="C537" i="36" s="1"/>
  <c r="C597" i="36"/>
  <c r="C604" i="36" s="1"/>
  <c r="C600" i="36"/>
  <c r="C599" i="36" s="1"/>
  <c r="C507" i="36"/>
  <c r="C506" i="36" s="1"/>
  <c r="C504" i="36"/>
  <c r="C511" i="36" s="1"/>
  <c r="C512" i="36" l="1"/>
  <c r="C513" i="36" s="1"/>
  <c r="C518" i="36" s="1"/>
  <c r="C679" i="36" s="1"/>
  <c r="C481" i="36"/>
  <c r="C543" i="36"/>
  <c r="C548" i="36" s="1"/>
  <c r="C669" i="36" s="1"/>
  <c r="C717" i="36" s="1"/>
  <c r="C636" i="36"/>
  <c r="C637" i="36" s="1"/>
  <c r="C642" i="36" s="1"/>
  <c r="C683" i="36" s="1"/>
  <c r="C605" i="36"/>
  <c r="C610" i="36" s="1"/>
  <c r="C671" i="36" s="1"/>
  <c r="C719" i="36" s="1"/>
  <c r="C574" i="36"/>
  <c r="C575" i="36" s="1"/>
  <c r="C580" i="36" s="1"/>
  <c r="C681" i="36" s="1"/>
  <c r="C445" i="36"/>
  <c r="C441" i="36"/>
  <c r="C449" i="36" s="1"/>
  <c r="C732" i="36" l="1"/>
  <c r="C730" i="36"/>
  <c r="C728" i="36"/>
  <c r="C606" i="36"/>
  <c r="C611" i="36" s="1"/>
  <c r="C682" i="36" s="1"/>
  <c r="C544" i="36"/>
  <c r="C549" i="36" s="1"/>
  <c r="C680" i="36" s="1"/>
  <c r="C486" i="36"/>
  <c r="C667" i="36" s="1"/>
  <c r="C715" i="36" s="1"/>
  <c r="C450" i="36"/>
  <c r="C455" i="36" s="1"/>
  <c r="C666" i="36" s="1"/>
  <c r="C444" i="36"/>
  <c r="C517" i="36"/>
  <c r="C668" i="36" s="1"/>
  <c r="C716" i="36" s="1"/>
  <c r="C514" i="36"/>
  <c r="C519" i="36" s="1"/>
  <c r="C690" i="36" s="1"/>
  <c r="C579" i="36"/>
  <c r="C670" i="36" s="1"/>
  <c r="C718" i="36" s="1"/>
  <c r="C576" i="36"/>
  <c r="C581" i="36" s="1"/>
  <c r="C692" i="36" s="1"/>
  <c r="C641" i="36"/>
  <c r="C672" i="36" s="1"/>
  <c r="C720" i="36" s="1"/>
  <c r="C638" i="36"/>
  <c r="C643" i="36" s="1"/>
  <c r="C694" i="36" s="1"/>
  <c r="C482" i="36"/>
  <c r="C487" i="36" s="1"/>
  <c r="C678" i="36" s="1"/>
  <c r="C731" i="36" l="1"/>
  <c r="C729" i="36"/>
  <c r="C727" i="36"/>
  <c r="C545" i="36"/>
  <c r="C550" i="36" s="1"/>
  <c r="C691" i="36" s="1"/>
  <c r="C741" i="36" s="1"/>
  <c r="C607" i="36"/>
  <c r="C612" i="36" s="1"/>
  <c r="C693" i="36" s="1"/>
  <c r="C705" i="36" s="1"/>
  <c r="C451" i="36"/>
  <c r="C456" i="36" s="1"/>
  <c r="C677" i="36" s="1"/>
  <c r="C704" i="36"/>
  <c r="C742" i="36"/>
  <c r="C702" i="36"/>
  <c r="C740" i="36"/>
  <c r="C663" i="36"/>
  <c r="C483" i="36"/>
  <c r="C488" i="36" s="1"/>
  <c r="C689" i="36" s="1"/>
  <c r="C706" i="36"/>
  <c r="C744" i="36"/>
  <c r="C726" i="36" l="1"/>
  <c r="C703" i="36"/>
  <c r="D7" i="40" s="1"/>
  <c r="C743" i="36"/>
  <c r="C452" i="36"/>
  <c r="C457" i="36" s="1"/>
  <c r="C688" i="36" s="1"/>
  <c r="C738" i="36" s="1"/>
  <c r="C739" i="36"/>
  <c r="C701" i="36"/>
  <c r="D8" i="40"/>
  <c r="C756" i="36"/>
  <c r="C758" i="36"/>
  <c r="D10" i="40"/>
  <c r="D6" i="40"/>
  <c r="C754" i="36"/>
  <c r="D9" i="40"/>
  <c r="C757" i="36"/>
  <c r="C755" i="36" l="1"/>
  <c r="C700" i="36"/>
  <c r="C752" i="36" s="1"/>
  <c r="D5" i="40"/>
  <c r="C753" i="36"/>
  <c r="F9" i="4" l="1"/>
  <c r="D4" i="40"/>
  <c r="G7" i="4" l="1"/>
  <c r="G10" i="4" l="1"/>
  <c r="G7" i="5" s="1"/>
  <c r="G8" i="5" s="1"/>
  <c r="G8" i="4"/>
  <c r="G5" i="5"/>
  <c r="G6" i="5" l="1"/>
  <c r="D38" i="36"/>
  <c r="G9" i="5"/>
  <c r="D69" i="36" l="1"/>
  <c r="E15" i="40"/>
  <c r="D10" i="36"/>
  <c r="D432" i="36" s="1"/>
  <c r="E27" i="40" l="1"/>
  <c r="D81" i="36"/>
  <c r="D83" i="36" s="1"/>
  <c r="D99" i="36" s="1"/>
  <c r="D164" i="36"/>
  <c r="AE97" i="41"/>
  <c r="Z97" i="41"/>
  <c r="AD97" i="41"/>
  <c r="AC97" i="41"/>
  <c r="AB97" i="41"/>
  <c r="AA97" i="41"/>
  <c r="Y97" i="41"/>
  <c r="X97" i="41"/>
  <c r="W97" i="41"/>
  <c r="V97" i="41"/>
  <c r="U97" i="41"/>
  <c r="T97" i="41"/>
  <c r="S97" i="41"/>
  <c r="D111" i="36" l="1"/>
  <c r="D433" i="36"/>
  <c r="D430" i="36" s="1"/>
  <c r="S100" i="41"/>
  <c r="T100" i="41" s="1"/>
  <c r="U100" i="41" s="1"/>
  <c r="V100" i="41" s="1"/>
  <c r="W100" i="41" s="1"/>
  <c r="X100" i="41" s="1"/>
  <c r="Y100" i="41" s="1"/>
  <c r="Z100" i="41" s="1"/>
  <c r="AA100" i="41" s="1"/>
  <c r="AB100" i="41" s="1"/>
  <c r="AC100" i="41" s="1"/>
  <c r="AD100" i="41" s="1"/>
  <c r="AE100" i="41" s="1"/>
  <c r="AF100" i="41" s="1"/>
  <c r="Q61" i="41"/>
  <c r="Y61" i="36" l="1"/>
  <c r="Z61" i="36"/>
  <c r="AA61" i="36"/>
  <c r="AB61" i="36"/>
  <c r="X61" i="36" l="1"/>
  <c r="W61" i="36"/>
  <c r="V61" i="36"/>
  <c r="U61" i="36"/>
  <c r="T61" i="36"/>
  <c r="S61" i="36"/>
  <c r="R61" i="36"/>
  <c r="Q61" i="36"/>
  <c r="P61" i="36"/>
  <c r="O61" i="36"/>
  <c r="N61" i="36"/>
  <c r="V72" i="32" l="1"/>
  <c r="V83" i="32" s="1"/>
  <c r="V70" i="32"/>
  <c r="V81" i="32" s="1"/>
  <c r="V71" i="32"/>
  <c r="V82" i="32" s="1"/>
  <c r="V69" i="32" l="1"/>
  <c r="V80" i="32" s="1"/>
  <c r="V67" i="32" l="1"/>
  <c r="V78" i="32" s="1"/>
  <c r="V68" i="32"/>
  <c r="V79" i="32" s="1"/>
  <c r="V66" i="32"/>
  <c r="W72" i="32" l="1"/>
  <c r="W83" i="32" s="1"/>
  <c r="W67" i="32"/>
  <c r="W78" i="32" s="1"/>
  <c r="W71" i="32"/>
  <c r="W82" i="32" s="1"/>
  <c r="W70" i="32"/>
  <c r="W81" i="32" s="1"/>
  <c r="V77" i="32"/>
  <c r="W68" i="32"/>
  <c r="W79" i="32" s="1"/>
  <c r="W69" i="32" l="1"/>
  <c r="W80" i="32" s="1"/>
  <c r="W66" i="32"/>
  <c r="W77" i="32" l="1"/>
  <c r="X68" i="32" l="1"/>
  <c r="X79" i="32" s="1"/>
  <c r="X69" i="32"/>
  <c r="X80" i="32" s="1"/>
  <c r="X71" i="32" l="1"/>
  <c r="X82" i="32" s="1"/>
  <c r="X72" i="32"/>
  <c r="X83" i="32" s="1"/>
  <c r="X67" i="32"/>
  <c r="X78" i="32" s="1"/>
  <c r="X70" i="32" l="1"/>
  <c r="X81" i="32" s="1"/>
  <c r="Y72" i="32"/>
  <c r="Y83" i="32" s="1"/>
  <c r="Y69" i="32"/>
  <c r="Y80" i="32" s="1"/>
  <c r="Y68" i="32"/>
  <c r="Y79" i="32" s="1"/>
  <c r="X66" i="32"/>
  <c r="X77" i="32" l="1"/>
  <c r="Y67" i="32"/>
  <c r="Y78" i="32" s="1"/>
  <c r="Y70" i="32" l="1"/>
  <c r="Y81" i="32" s="1"/>
  <c r="Y71" i="32"/>
  <c r="Y82" i="32" s="1"/>
  <c r="Y66" i="32"/>
  <c r="Y77" i="32" l="1"/>
  <c r="T65" i="32" s="1"/>
  <c r="T64" i="32"/>
  <c r="F28" i="4" l="1"/>
  <c r="G24" i="4" s="1"/>
  <c r="F39" i="4"/>
  <c r="G35" i="4" s="1"/>
  <c r="F49" i="4"/>
  <c r="G46" i="4" s="1"/>
  <c r="F61" i="4"/>
  <c r="G58" i="4" s="1"/>
  <c r="F72" i="4"/>
  <c r="G69" i="4" s="1"/>
  <c r="G42" i="4" l="1"/>
  <c r="G40" i="4"/>
  <c r="G37" i="4"/>
  <c r="G38" i="4"/>
  <c r="G33" i="5" s="1"/>
  <c r="G30" i="41"/>
  <c r="G31" i="5"/>
  <c r="G31" i="41"/>
  <c r="G71" i="4"/>
  <c r="G62" i="5" s="1"/>
  <c r="G70" i="4"/>
  <c r="G75" i="4"/>
  <c r="G33" i="41"/>
  <c r="G60" i="5"/>
  <c r="G73" i="4"/>
  <c r="G40" i="5"/>
  <c r="G47" i="4"/>
  <c r="G48" i="4"/>
  <c r="G42" i="5" s="1"/>
  <c r="G52" i="4"/>
  <c r="G50" i="4"/>
  <c r="G32" i="41"/>
  <c r="G62" i="4"/>
  <c r="G60" i="4"/>
  <c r="G52" i="5" s="1"/>
  <c r="G50" i="5"/>
  <c r="G59" i="4"/>
  <c r="G64" i="4"/>
  <c r="G26" i="4"/>
  <c r="G22" i="5"/>
  <c r="G31" i="4"/>
  <c r="G27" i="4"/>
  <c r="G24" i="5" s="1"/>
  <c r="G29" i="41"/>
  <c r="G29" i="4"/>
  <c r="F22" i="4"/>
  <c r="F17" i="4"/>
  <c r="G14" i="4" s="1"/>
  <c r="D28" i="36" l="1"/>
  <c r="D556" i="36" s="1"/>
  <c r="G43" i="5"/>
  <c r="D44" i="36"/>
  <c r="G61" i="5"/>
  <c r="D16" i="36" s="1"/>
  <c r="D619" i="36" s="1"/>
  <c r="D27" i="36"/>
  <c r="D525" i="36" s="1"/>
  <c r="G34" i="5"/>
  <c r="G25" i="5"/>
  <c r="D26" i="36"/>
  <c r="D494" i="36" s="1"/>
  <c r="G54" i="5"/>
  <c r="G63" i="4"/>
  <c r="G55" i="5" s="1"/>
  <c r="D30" i="36"/>
  <c r="D618" i="36" s="1"/>
  <c r="G63" i="5"/>
  <c r="G26" i="5"/>
  <c r="G30" i="4"/>
  <c r="G27" i="5" s="1"/>
  <c r="D40" i="36"/>
  <c r="G23" i="5"/>
  <c r="D12" i="36" s="1"/>
  <c r="D495" i="36" s="1"/>
  <c r="G51" i="5"/>
  <c r="D15" i="36" s="1"/>
  <c r="D588" i="36" s="1"/>
  <c r="D43" i="36"/>
  <c r="G44" i="5"/>
  <c r="G51" i="4"/>
  <c r="G45" i="5" s="1"/>
  <c r="D42" i="36"/>
  <c r="G41" i="5"/>
  <c r="D14" i="36" s="1"/>
  <c r="D557" i="36" s="1"/>
  <c r="G32" i="5"/>
  <c r="D13" i="36" s="1"/>
  <c r="D526" i="36" s="1"/>
  <c r="D41" i="36"/>
  <c r="G35" i="5"/>
  <c r="G41" i="4"/>
  <c r="G36" i="5" s="1"/>
  <c r="G28" i="41"/>
  <c r="G16" i="4"/>
  <c r="G15" i="5" s="1"/>
  <c r="G18" i="4"/>
  <c r="G15" i="4"/>
  <c r="G20" i="4"/>
  <c r="G13" i="5"/>
  <c r="D29" i="36"/>
  <c r="D587" i="36" s="1"/>
  <c r="G53" i="5"/>
  <c r="G74" i="4"/>
  <c r="G65" i="5" s="1"/>
  <c r="G64" i="5"/>
  <c r="G14" i="5" l="1"/>
  <c r="D11" i="36" s="1"/>
  <c r="D464" i="36" s="1"/>
  <c r="D39" i="36"/>
  <c r="D71" i="36"/>
  <c r="E17" i="40"/>
  <c r="D75" i="36"/>
  <c r="E21" i="40"/>
  <c r="E20" i="40"/>
  <c r="D74" i="36"/>
  <c r="D25" i="36"/>
  <c r="D463" i="36" s="1"/>
  <c r="G16" i="5"/>
  <c r="E18" i="40"/>
  <c r="D72" i="36"/>
  <c r="G19" i="4"/>
  <c r="G18" i="5" s="1"/>
  <c r="G17" i="5"/>
  <c r="D73" i="36"/>
  <c r="E19" i="40"/>
  <c r="D88" i="36" l="1"/>
  <c r="E29" i="40"/>
  <c r="D166" i="36"/>
  <c r="E16" i="40"/>
  <c r="D70" i="36"/>
  <c r="D90" i="36"/>
  <c r="E31" i="40"/>
  <c r="D168" i="36"/>
  <c r="D89" i="36"/>
  <c r="E30" i="40"/>
  <c r="D167" i="36"/>
  <c r="E32" i="40"/>
  <c r="D169" i="36"/>
  <c r="D91" i="36"/>
  <c r="D92" i="36"/>
  <c r="E33" i="40"/>
  <c r="D170" i="36"/>
  <c r="D102" i="36" l="1"/>
  <c r="H45" i="41"/>
  <c r="D165" i="36"/>
  <c r="D87" i="36"/>
  <c r="E28" i="40"/>
  <c r="D105" i="36"/>
  <c r="H48" i="41"/>
  <c r="H47" i="41"/>
  <c r="D104" i="36"/>
  <c r="D103" i="36"/>
  <c r="H46" i="41"/>
  <c r="H44" i="41"/>
  <c r="D101" i="36"/>
  <c r="D116" i="36" l="1"/>
  <c r="D589" i="36"/>
  <c r="D171" i="36"/>
  <c r="D176" i="36" s="1"/>
  <c r="D100" i="36"/>
  <c r="H43" i="41"/>
  <c r="H49" i="41" s="1"/>
  <c r="H53" i="41" s="1"/>
  <c r="D496" i="36"/>
  <c r="D113" i="36"/>
  <c r="D558" i="36"/>
  <c r="D115" i="36"/>
  <c r="D117" i="36"/>
  <c r="D620" i="36"/>
  <c r="D527" i="36"/>
  <c r="D114" i="36"/>
  <c r="H57" i="41" l="1"/>
  <c r="H55" i="41"/>
  <c r="D524" i="36"/>
  <c r="D493" i="36"/>
  <c r="H56" i="41"/>
  <c r="D112" i="36"/>
  <c r="D465" i="36"/>
  <c r="H54" i="41"/>
  <c r="D175" i="36"/>
  <c r="D177" i="36"/>
  <c r="D178" i="36"/>
  <c r="D181" i="36"/>
  <c r="D180" i="36"/>
  <c r="D179" i="36"/>
  <c r="D586" i="36"/>
  <c r="D617" i="36"/>
  <c r="D555" i="36"/>
  <c r="H58" i="41"/>
  <c r="D462" i="36" l="1"/>
  <c r="D182" i="36"/>
  <c r="D214" i="36"/>
  <c r="D215" i="36" s="1"/>
  <c r="D118" i="36"/>
  <c r="D123" i="36" s="1"/>
  <c r="D133" i="36" s="1"/>
  <c r="D146" i="36" s="1"/>
  <c r="D223" i="36" l="1"/>
  <c r="D219" i="36"/>
  <c r="D220" i="36"/>
  <c r="D234" i="36"/>
  <c r="D231" i="36"/>
  <c r="D218" i="36"/>
  <c r="D232" i="36"/>
  <c r="D217" i="36"/>
  <c r="D229" i="36"/>
  <c r="D230" i="36"/>
  <c r="D233" i="36"/>
  <c r="D235" i="36"/>
  <c r="D222" i="36"/>
  <c r="D132" i="36"/>
  <c r="D135" i="36"/>
  <c r="D148" i="36" s="1"/>
  <c r="D138" i="36"/>
  <c r="D151" i="36" s="1"/>
  <c r="D134" i="36"/>
  <c r="D147" i="36" s="1"/>
  <c r="D137" i="36"/>
  <c r="D150" i="36" s="1"/>
  <c r="D136" i="36"/>
  <c r="D149" i="36" s="1"/>
  <c r="D139" i="36" l="1"/>
  <c r="D141" i="36" s="1"/>
  <c r="D145" i="36"/>
  <c r="D152" i="36" s="1"/>
  <c r="D239" i="36"/>
  <c r="D240" i="36" s="1"/>
  <c r="D245" i="36" l="1"/>
  <c r="D254" i="36"/>
  <c r="D260" i="36"/>
  <c r="D259" i="36"/>
  <c r="D247" i="36"/>
  <c r="D256" i="36"/>
  <c r="D248" i="36"/>
  <c r="D258" i="36"/>
  <c r="D257" i="36"/>
  <c r="D242" i="36"/>
  <c r="D255" i="36"/>
  <c r="D246" i="36"/>
  <c r="D244" i="36"/>
  <c r="D190" i="36"/>
  <c r="D193" i="36"/>
  <c r="D203" i="36" s="1"/>
  <c r="D195" i="36"/>
  <c r="D205" i="36" s="1"/>
  <c r="D194" i="36"/>
  <c r="D204" i="36" s="1"/>
  <c r="D191" i="36"/>
  <c r="D201" i="36" s="1"/>
  <c r="D192" i="36"/>
  <c r="D202" i="36" s="1"/>
  <c r="D196" i="36"/>
  <c r="D206" i="36" s="1"/>
  <c r="D200" i="36" l="1"/>
  <c r="D207" i="36" s="1"/>
  <c r="D197" i="36"/>
  <c r="D209" i="36" s="1"/>
  <c r="D221" i="36" s="1"/>
  <c r="D224" i="36" s="1"/>
  <c r="D226" i="36" s="1"/>
  <c r="D243" i="36" s="1"/>
  <c r="D249" i="36" s="1"/>
  <c r="D251" i="36" s="1"/>
  <c r="D264" i="36"/>
  <c r="D265" i="36" s="1"/>
  <c r="D272" i="36" l="1"/>
  <c r="D271" i="36"/>
  <c r="D281" i="36"/>
  <c r="D283" i="36"/>
  <c r="D279" i="36"/>
  <c r="D269" i="36"/>
  <c r="D280" i="36"/>
  <c r="D267" i="36"/>
  <c r="D273" i="36"/>
  <c r="D284" i="36"/>
  <c r="D268" i="36"/>
  <c r="D285" i="36"/>
  <c r="D282" i="36"/>
  <c r="D270" i="36"/>
  <c r="D289" i="36" l="1"/>
  <c r="D290" i="36" s="1"/>
  <c r="D298" i="36" s="1"/>
  <c r="D274" i="36"/>
  <c r="D276" i="36" s="1"/>
  <c r="D293" i="36" l="1"/>
  <c r="D292" i="36"/>
  <c r="D297" i="36"/>
  <c r="D295" i="36"/>
  <c r="D296" i="36"/>
  <c r="D310" i="36"/>
  <c r="D309" i="36"/>
  <c r="D294" i="36"/>
  <c r="D305" i="36"/>
  <c r="D307" i="36"/>
  <c r="D308" i="36"/>
  <c r="D304" i="36"/>
  <c r="D306" i="36"/>
  <c r="D314" i="36" l="1"/>
  <c r="D315" i="36" s="1"/>
  <c r="D317" i="36" s="1"/>
  <c r="D299" i="36"/>
  <c r="D301" i="36" s="1"/>
  <c r="D323" i="36" l="1"/>
  <c r="D331" i="36"/>
  <c r="D322" i="36"/>
  <c r="D335" i="36"/>
  <c r="D330" i="36"/>
  <c r="D332" i="36"/>
  <c r="D319" i="36"/>
  <c r="D333" i="36"/>
  <c r="D321" i="36"/>
  <c r="D329" i="36"/>
  <c r="D320" i="36"/>
  <c r="D334" i="36"/>
  <c r="D318" i="36"/>
  <c r="D324" i="36" l="1"/>
  <c r="D326" i="36" s="1"/>
  <c r="D339" i="36"/>
  <c r="D340" i="36" s="1"/>
  <c r="D344" i="36" s="1"/>
  <c r="D360" i="36" l="1"/>
  <c r="D345" i="36"/>
  <c r="D358" i="36"/>
  <c r="D354" i="36"/>
  <c r="D348" i="36"/>
  <c r="D347" i="36"/>
  <c r="D346" i="36"/>
  <c r="D357" i="36"/>
  <c r="D355" i="36"/>
  <c r="D356" i="36"/>
  <c r="D359" i="36"/>
  <c r="D343" i="36"/>
  <c r="D342" i="36"/>
  <c r="D364" i="36" l="1"/>
  <c r="D365" i="36" s="1"/>
  <c r="D381" i="36" s="1"/>
  <c r="D349" i="36"/>
  <c r="D351" i="36" s="1"/>
  <c r="D373" i="36" l="1"/>
  <c r="D396" i="36" s="1"/>
  <c r="D407" i="36" s="1"/>
  <c r="D382" i="36"/>
  <c r="D372" i="36"/>
  <c r="D395" i="36" s="1"/>
  <c r="D406" i="36" s="1"/>
  <c r="D384" i="36"/>
  <c r="D369" i="36"/>
  <c r="D392" i="36" s="1"/>
  <c r="D419" i="36" s="1"/>
  <c r="D492" i="36" s="1"/>
  <c r="D499" i="36" s="1"/>
  <c r="D367" i="36"/>
  <c r="D390" i="36" s="1"/>
  <c r="D401" i="36" s="1"/>
  <c r="D368" i="36"/>
  <c r="D391" i="36" s="1"/>
  <c r="D402" i="36" s="1"/>
  <c r="D385" i="36"/>
  <c r="D380" i="36"/>
  <c r="D370" i="36"/>
  <c r="D393" i="36" s="1"/>
  <c r="D420" i="36" s="1"/>
  <c r="D523" i="36" s="1"/>
  <c r="D530" i="36" s="1"/>
  <c r="D532" i="36" s="1"/>
  <c r="D538" i="36" s="1"/>
  <c r="D383" i="36"/>
  <c r="D379" i="36"/>
  <c r="D371" i="36"/>
  <c r="D394" i="36" s="1"/>
  <c r="D421" i="36" s="1"/>
  <c r="D554" i="36" s="1"/>
  <c r="D561" i="36" s="1"/>
  <c r="D417" i="36" l="1"/>
  <c r="D429" i="36" s="1"/>
  <c r="D436" i="36" s="1"/>
  <c r="D440" i="36" s="1"/>
  <c r="D447" i="36" s="1"/>
  <c r="D403" i="36"/>
  <c r="D423" i="36"/>
  <c r="D616" i="36" s="1"/>
  <c r="D623" i="36" s="1"/>
  <c r="D625" i="36" s="1"/>
  <c r="D534" i="36"/>
  <c r="D540" i="36" s="1"/>
  <c r="D533" i="36"/>
  <c r="D539" i="36" s="1"/>
  <c r="D405" i="36"/>
  <c r="D422" i="36"/>
  <c r="D585" i="36" s="1"/>
  <c r="D592" i="36" s="1"/>
  <c r="D594" i="36" s="1"/>
  <c r="D374" i="36"/>
  <c r="D376" i="36" s="1"/>
  <c r="D404" i="36"/>
  <c r="D418" i="36"/>
  <c r="D461" i="36" s="1"/>
  <c r="D468" i="36" s="1"/>
  <c r="D470" i="36" s="1"/>
  <c r="D476" i="36" s="1"/>
  <c r="D397" i="36"/>
  <c r="D564" i="36"/>
  <c r="D570" i="36" s="1"/>
  <c r="D563" i="36"/>
  <c r="D565" i="36"/>
  <c r="D571" i="36" s="1"/>
  <c r="D501" i="36"/>
  <c r="D502" i="36"/>
  <c r="D508" i="36" s="1"/>
  <c r="D503" i="36"/>
  <c r="D509" i="36" s="1"/>
  <c r="D439" i="36" l="1"/>
  <c r="D446" i="36" s="1"/>
  <c r="D438" i="36"/>
  <c r="D445" i="36" s="1"/>
  <c r="D626" i="36"/>
  <c r="D632" i="36" s="1"/>
  <c r="D627" i="36"/>
  <c r="D633" i="36" s="1"/>
  <c r="D535" i="36"/>
  <c r="D542" i="36" s="1"/>
  <c r="D543" i="36" s="1"/>
  <c r="D548" i="36" s="1"/>
  <c r="D669" i="36" s="1"/>
  <c r="D717" i="36" s="1"/>
  <c r="D537" i="36"/>
  <c r="D595" i="36"/>
  <c r="D601" i="36" s="1"/>
  <c r="D596" i="36"/>
  <c r="D602" i="36" s="1"/>
  <c r="D472" i="36"/>
  <c r="D478" i="36" s="1"/>
  <c r="D471" i="36"/>
  <c r="D477" i="36" s="1"/>
  <c r="D504" i="36"/>
  <c r="D511" i="36" s="1"/>
  <c r="D507" i="36"/>
  <c r="D506" i="36" s="1"/>
  <c r="D600" i="36"/>
  <c r="D566" i="36"/>
  <c r="D573" i="36" s="1"/>
  <c r="D569" i="36"/>
  <c r="D568" i="36" s="1"/>
  <c r="D631" i="36"/>
  <c r="D444" i="36" l="1"/>
  <c r="D441" i="36"/>
  <c r="D449" i="36" s="1"/>
  <c r="D450" i="36" s="1"/>
  <c r="D455" i="36" s="1"/>
  <c r="D666" i="36" s="1"/>
  <c r="D630" i="36"/>
  <c r="D544" i="36"/>
  <c r="D545" i="36" s="1"/>
  <c r="D550" i="36" s="1"/>
  <c r="D691" i="36" s="1"/>
  <c r="D628" i="36"/>
  <c r="D635" i="36" s="1"/>
  <c r="D636" i="36" s="1"/>
  <c r="D641" i="36" s="1"/>
  <c r="D672" i="36" s="1"/>
  <c r="D720" i="36" s="1"/>
  <c r="D597" i="36"/>
  <c r="D604" i="36" s="1"/>
  <c r="D605" i="36" s="1"/>
  <c r="D610" i="36" s="1"/>
  <c r="D671" i="36" s="1"/>
  <c r="D719" i="36" s="1"/>
  <c r="D599" i="36"/>
  <c r="D475" i="36"/>
  <c r="D473" i="36"/>
  <c r="D480" i="36" s="1"/>
  <c r="D481" i="36" s="1"/>
  <c r="D486" i="36" s="1"/>
  <c r="D667" i="36" s="1"/>
  <c r="D715" i="36" s="1"/>
  <c r="D574" i="36"/>
  <c r="D579" i="36" s="1"/>
  <c r="D670" i="36" s="1"/>
  <c r="D718" i="36" s="1"/>
  <c r="D512" i="36"/>
  <c r="D451" i="36" l="1"/>
  <c r="D456" i="36" s="1"/>
  <c r="D677" i="36" s="1"/>
  <c r="D726" i="36" s="1"/>
  <c r="D549" i="36"/>
  <c r="D680" i="36" s="1"/>
  <c r="D729" i="36" s="1"/>
  <c r="D482" i="36"/>
  <c r="D487" i="36" s="1"/>
  <c r="D678" i="36" s="1"/>
  <c r="D727" i="36" s="1"/>
  <c r="D575" i="36"/>
  <c r="D580" i="36" s="1"/>
  <c r="D681" i="36" s="1"/>
  <c r="D730" i="36" s="1"/>
  <c r="D517" i="36"/>
  <c r="D668" i="36" s="1"/>
  <c r="D716" i="36" s="1"/>
  <c r="D513" i="36"/>
  <c r="D606" i="36"/>
  <c r="D611" i="36" s="1"/>
  <c r="D682" i="36" s="1"/>
  <c r="D731" i="36" s="1"/>
  <c r="D637" i="36"/>
  <c r="D642" i="36" s="1"/>
  <c r="D683" i="36" s="1"/>
  <c r="D732" i="36" s="1"/>
  <c r="D741" i="36"/>
  <c r="D703" i="36"/>
  <c r="D452" i="36" l="1"/>
  <c r="D457" i="36" s="1"/>
  <c r="D688" i="36" s="1"/>
  <c r="D738" i="36" s="1"/>
  <c r="D483" i="36"/>
  <c r="D488" i="36" s="1"/>
  <c r="D689" i="36" s="1"/>
  <c r="D739" i="36" s="1"/>
  <c r="D576" i="36"/>
  <c r="D581" i="36" s="1"/>
  <c r="D692" i="36" s="1"/>
  <c r="D742" i="36" s="1"/>
  <c r="D663" i="36"/>
  <c r="D518" i="36"/>
  <c r="D679" i="36" s="1"/>
  <c r="D728" i="36" s="1"/>
  <c r="D514" i="36"/>
  <c r="D519" i="36" s="1"/>
  <c r="D690" i="36" s="1"/>
  <c r="D638" i="36"/>
  <c r="D643" i="36" s="1"/>
  <c r="D694" i="36" s="1"/>
  <c r="D706" i="36" s="1"/>
  <c r="D607" i="36"/>
  <c r="D612" i="36" s="1"/>
  <c r="D693" i="36" s="1"/>
  <c r="D705" i="36" s="1"/>
  <c r="E7" i="40"/>
  <c r="D755" i="36"/>
  <c r="G39" i="4"/>
  <c r="H35" i="4" s="1"/>
  <c r="D700" i="36" l="1"/>
  <c r="G9" i="4" s="1"/>
  <c r="H7" i="4" s="1"/>
  <c r="H10" i="4" s="1"/>
  <c r="H7" i="5" s="1"/>
  <c r="H8" i="5" s="1"/>
  <c r="D704" i="36"/>
  <c r="G49" i="4" s="1"/>
  <c r="H46" i="4" s="1"/>
  <c r="D701" i="36"/>
  <c r="G17" i="4" s="1"/>
  <c r="H14" i="4" s="1"/>
  <c r="D743" i="36"/>
  <c r="D702" i="36"/>
  <c r="D740" i="36"/>
  <c r="D744" i="36"/>
  <c r="G61" i="4"/>
  <c r="H58" i="4" s="1"/>
  <c r="E9" i="40"/>
  <c r="D757" i="36"/>
  <c r="G72" i="4"/>
  <c r="H69" i="4" s="1"/>
  <c r="D758" i="36"/>
  <c r="E10" i="40"/>
  <c r="H38" i="4"/>
  <c r="H33" i="5" s="1"/>
  <c r="H31" i="5"/>
  <c r="H31" i="41"/>
  <c r="H37" i="4"/>
  <c r="H42" i="4"/>
  <c r="H40" i="4"/>
  <c r="H30" i="41"/>
  <c r="H5" i="5" l="1"/>
  <c r="H6" i="5" s="1"/>
  <c r="E10" i="36" s="1"/>
  <c r="E432" i="36" s="1"/>
  <c r="H8" i="4"/>
  <c r="E4" i="40"/>
  <c r="D752" i="36"/>
  <c r="D756" i="36"/>
  <c r="E8" i="40"/>
  <c r="D753" i="36"/>
  <c r="E5" i="40"/>
  <c r="H18" i="4"/>
  <c r="H13" i="5"/>
  <c r="H16" i="4"/>
  <c r="H15" i="5" s="1"/>
  <c r="H15" i="4"/>
  <c r="H20" i="4"/>
  <c r="H28" i="41"/>
  <c r="E6" i="40"/>
  <c r="D754" i="36"/>
  <c r="G28" i="4"/>
  <c r="H24" i="4" s="1"/>
  <c r="H50" i="4"/>
  <c r="H48" i="4"/>
  <c r="H42" i="5" s="1"/>
  <c r="H52" i="4"/>
  <c r="H40" i="5"/>
  <c r="H47" i="4"/>
  <c r="H50" i="5"/>
  <c r="H32" i="41"/>
  <c r="H64" i="4"/>
  <c r="H62" i="4"/>
  <c r="H59" i="4"/>
  <c r="H60" i="4"/>
  <c r="H52" i="5" s="1"/>
  <c r="H70" i="4"/>
  <c r="H71" i="4"/>
  <c r="H62" i="5" s="1"/>
  <c r="H75" i="4"/>
  <c r="H73" i="4"/>
  <c r="H60" i="5"/>
  <c r="H33" i="41"/>
  <c r="H35" i="5"/>
  <c r="H41" i="4"/>
  <c r="H36" i="5" s="1"/>
  <c r="E41" i="36"/>
  <c r="H32" i="5"/>
  <c r="E13" i="36" s="1"/>
  <c r="E526" i="36" s="1"/>
  <c r="E27" i="36"/>
  <c r="E525" i="36" s="1"/>
  <c r="H34" i="5"/>
  <c r="E38" i="36"/>
  <c r="H9" i="5" l="1"/>
  <c r="E25" i="36"/>
  <c r="E463" i="36" s="1"/>
  <c r="H16" i="5"/>
  <c r="E39" i="36"/>
  <c r="H14" i="5"/>
  <c r="E11" i="36" s="1"/>
  <c r="E464" i="36" s="1"/>
  <c r="H17" i="5"/>
  <c r="H19" i="4"/>
  <c r="H18" i="5" s="1"/>
  <c r="H22" i="5"/>
  <c r="H31" i="4"/>
  <c r="H29" i="41"/>
  <c r="H26" i="4"/>
  <c r="H27" i="4"/>
  <c r="H24" i="5" s="1"/>
  <c r="H29" i="4"/>
  <c r="E29" i="36"/>
  <c r="E587" i="36" s="1"/>
  <c r="H53" i="5"/>
  <c r="H51" i="5"/>
  <c r="E15" i="36" s="1"/>
  <c r="E588" i="36" s="1"/>
  <c r="E43" i="36"/>
  <c r="H43" i="5"/>
  <c r="E28" i="36"/>
  <c r="E556" i="36" s="1"/>
  <c r="H41" i="5"/>
  <c r="E14" i="36" s="1"/>
  <c r="E557" i="36" s="1"/>
  <c r="E42" i="36"/>
  <c r="H54" i="5"/>
  <c r="H63" i="4"/>
  <c r="H55" i="5" s="1"/>
  <c r="H51" i="4"/>
  <c r="H45" i="5" s="1"/>
  <c r="H44" i="5"/>
  <c r="H74" i="4"/>
  <c r="H65" i="5" s="1"/>
  <c r="H64" i="5"/>
  <c r="E30" i="36"/>
  <c r="E618" i="36" s="1"/>
  <c r="H63" i="5"/>
  <c r="H61" i="5"/>
  <c r="E16" i="36" s="1"/>
  <c r="E619" i="36" s="1"/>
  <c r="E44" i="36"/>
  <c r="E72" i="36"/>
  <c r="F18" i="40"/>
  <c r="E69" i="36"/>
  <c r="F15" i="40"/>
  <c r="F16" i="40" l="1"/>
  <c r="E70" i="36"/>
  <c r="H26" i="5"/>
  <c r="H30" i="4"/>
  <c r="H27" i="5" s="1"/>
  <c r="E26" i="36"/>
  <c r="E494" i="36" s="1"/>
  <c r="H25" i="5"/>
  <c r="E40" i="36"/>
  <c r="H23" i="5"/>
  <c r="E12" i="36" s="1"/>
  <c r="E495" i="36" s="1"/>
  <c r="E73" i="36"/>
  <c r="F19" i="40"/>
  <c r="E74" i="36"/>
  <c r="F20" i="40"/>
  <c r="E75" i="36"/>
  <c r="F21" i="40"/>
  <c r="E89" i="36"/>
  <c r="E167" i="36"/>
  <c r="F30" i="40"/>
  <c r="E81" i="36"/>
  <c r="E83" i="36" s="1"/>
  <c r="F27" i="40"/>
  <c r="E164" i="36"/>
  <c r="F28" i="40" l="1"/>
  <c r="E87" i="36"/>
  <c r="E165" i="36"/>
  <c r="F17" i="40"/>
  <c r="E71" i="36"/>
  <c r="E91" i="36"/>
  <c r="F32" i="40"/>
  <c r="E169" i="36"/>
  <c r="F31" i="40"/>
  <c r="E90" i="36"/>
  <c r="E168" i="36"/>
  <c r="E170" i="36"/>
  <c r="F33" i="40"/>
  <c r="E92" i="36"/>
  <c r="E102" i="36"/>
  <c r="I45" i="41"/>
  <c r="E99" i="36"/>
  <c r="I43" i="41" l="1"/>
  <c r="E100" i="36"/>
  <c r="F29" i="40"/>
  <c r="E166" i="36"/>
  <c r="E171" i="36" s="1"/>
  <c r="E88" i="36"/>
  <c r="E103" i="36"/>
  <c r="I46" i="41"/>
  <c r="I47" i="41"/>
  <c r="E104" i="36"/>
  <c r="E105" i="36"/>
  <c r="I48" i="41"/>
  <c r="E527" i="36"/>
  <c r="E524" i="36" s="1"/>
  <c r="E114" i="36"/>
  <c r="E111" i="36"/>
  <c r="E433" i="36"/>
  <c r="E430" i="36" s="1"/>
  <c r="E112" i="36" l="1"/>
  <c r="E465" i="36"/>
  <c r="E462" i="36" s="1"/>
  <c r="E175" i="36"/>
  <c r="E180" i="36"/>
  <c r="E179" i="36"/>
  <c r="E177" i="36"/>
  <c r="E176" i="36"/>
  <c r="E181" i="36"/>
  <c r="E178" i="36"/>
  <c r="I44" i="41"/>
  <c r="I49" i="41" s="1"/>
  <c r="E101" i="36"/>
  <c r="E116" i="36"/>
  <c r="E589" i="36"/>
  <c r="E586" i="36" s="1"/>
  <c r="E558" i="36"/>
  <c r="E555" i="36" s="1"/>
  <c r="E115" i="36"/>
  <c r="E117" i="36"/>
  <c r="E620" i="36"/>
  <c r="E617" i="36" s="1"/>
  <c r="E182" i="36" l="1"/>
  <c r="E214" i="36"/>
  <c r="E215" i="36" s="1"/>
  <c r="E229" i="36" s="1"/>
  <c r="E496" i="36"/>
  <c r="E493" i="36" s="1"/>
  <c r="E113" i="36"/>
  <c r="E118" i="36" s="1"/>
  <c r="E123" i="36" s="1"/>
  <c r="E132" i="36" s="1"/>
  <c r="E145" i="36" s="1"/>
  <c r="I55" i="41"/>
  <c r="I56" i="41"/>
  <c r="I53" i="41"/>
  <c r="I58" i="41"/>
  <c r="I54" i="41"/>
  <c r="I57" i="41"/>
  <c r="E231" i="36" l="1"/>
  <c r="E217" i="36"/>
  <c r="E235" i="36"/>
  <c r="E234" i="36"/>
  <c r="E223" i="36"/>
  <c r="E232" i="36"/>
  <c r="E220" i="36"/>
  <c r="E222" i="36"/>
  <c r="E233" i="36"/>
  <c r="E230" i="36"/>
  <c r="E219" i="36"/>
  <c r="E218" i="36"/>
  <c r="E134" i="36"/>
  <c r="E147" i="36" s="1"/>
  <c r="E137" i="36"/>
  <c r="E150" i="36" s="1"/>
  <c r="E133" i="36"/>
  <c r="E146" i="36" s="1"/>
  <c r="E138" i="36"/>
  <c r="E151" i="36" s="1"/>
  <c r="E135" i="36"/>
  <c r="E148" i="36" s="1"/>
  <c r="E136" i="36"/>
  <c r="E149" i="36" s="1"/>
  <c r="E239" i="36" l="1"/>
  <c r="E240" i="36" s="1"/>
  <c r="E256" i="36" s="1"/>
  <c r="E152" i="36"/>
  <c r="E139" i="36"/>
  <c r="E141" i="36" s="1"/>
  <c r="E194" i="36" s="1"/>
  <c r="E204" i="36" s="1"/>
  <c r="E246" i="36" l="1"/>
  <c r="E258" i="36"/>
  <c r="E247" i="36"/>
  <c r="E259" i="36"/>
  <c r="E248" i="36"/>
  <c r="E242" i="36"/>
  <c r="E254" i="36"/>
  <c r="E255" i="36"/>
  <c r="E257" i="36"/>
  <c r="E245" i="36"/>
  <c r="E244" i="36"/>
  <c r="E260" i="36"/>
  <c r="E190" i="36"/>
  <c r="E200" i="36" s="1"/>
  <c r="E195" i="36"/>
  <c r="E205" i="36" s="1"/>
  <c r="E193" i="36"/>
  <c r="E203" i="36" s="1"/>
  <c r="E191" i="36"/>
  <c r="E201" i="36" s="1"/>
  <c r="E192" i="36"/>
  <c r="E202" i="36" s="1"/>
  <c r="E196" i="36"/>
  <c r="E206" i="36" s="1"/>
  <c r="E264" i="36" l="1"/>
  <c r="E265" i="36" s="1"/>
  <c r="E267" i="36" s="1"/>
  <c r="E207" i="36"/>
  <c r="E197" i="36"/>
  <c r="E209" i="36" s="1"/>
  <c r="E221" i="36" s="1"/>
  <c r="E224" i="36" s="1"/>
  <c r="E226" i="36" s="1"/>
  <c r="E243" i="36" s="1"/>
  <c r="E249" i="36" s="1"/>
  <c r="E251" i="36" s="1"/>
  <c r="E272" i="36" l="1"/>
  <c r="E273" i="36"/>
  <c r="E283" i="36"/>
  <c r="E270" i="36"/>
  <c r="E282" i="36"/>
  <c r="E269" i="36"/>
  <c r="E279" i="36"/>
  <c r="E281" i="36"/>
  <c r="E284" i="36"/>
  <c r="E280" i="36"/>
  <c r="E285" i="36"/>
  <c r="E271" i="36"/>
  <c r="E268" i="36"/>
  <c r="E289" i="36" l="1"/>
  <c r="E290" i="36" s="1"/>
  <c r="E297" i="36" s="1"/>
  <c r="E274" i="36"/>
  <c r="E276" i="36" s="1"/>
  <c r="E298" i="36" l="1"/>
  <c r="E295" i="36"/>
  <c r="E293" i="36"/>
  <c r="E305" i="36"/>
  <c r="E307" i="36"/>
  <c r="E306" i="36"/>
  <c r="E292" i="36"/>
  <c r="E310" i="36"/>
  <c r="E294" i="36"/>
  <c r="E296" i="36"/>
  <c r="E304" i="36"/>
  <c r="E309" i="36"/>
  <c r="E308" i="36"/>
  <c r="E299" i="36" l="1"/>
  <c r="E301" i="36" s="1"/>
  <c r="E314" i="36"/>
  <c r="E315" i="36" s="1"/>
  <c r="E330" i="36" s="1"/>
  <c r="E318" i="36" l="1"/>
  <c r="E331" i="36"/>
  <c r="E334" i="36"/>
  <c r="E323" i="36"/>
  <c r="E320" i="36"/>
  <c r="E332" i="36"/>
  <c r="E335" i="36"/>
  <c r="E329" i="36"/>
  <c r="E321" i="36"/>
  <c r="E319" i="36"/>
  <c r="E322" i="36"/>
  <c r="E317" i="36"/>
  <c r="E333" i="36"/>
  <c r="E339" i="36" l="1"/>
  <c r="E340" i="36" s="1"/>
  <c r="E359" i="36" s="1"/>
  <c r="E324" i="36"/>
  <c r="E326" i="36" s="1"/>
  <c r="E347" i="36" l="1"/>
  <c r="E355" i="36"/>
  <c r="E360" i="36"/>
  <c r="E356" i="36"/>
  <c r="E343" i="36"/>
  <c r="E354" i="36"/>
  <c r="E357" i="36"/>
  <c r="E342" i="36"/>
  <c r="E348" i="36"/>
  <c r="E344" i="36"/>
  <c r="E358" i="36"/>
  <c r="E345" i="36"/>
  <c r="E346" i="36"/>
  <c r="E364" i="36" l="1"/>
  <c r="E365" i="36" s="1"/>
  <c r="E368" i="36" s="1"/>
  <c r="E391" i="36" s="1"/>
  <c r="E418" i="36" s="1"/>
  <c r="E461" i="36" s="1"/>
  <c r="E468" i="36" s="1"/>
  <c r="E470" i="36" s="1"/>
  <c r="E349" i="36"/>
  <c r="E351" i="36" s="1"/>
  <c r="E373" i="36" l="1"/>
  <c r="E396" i="36" s="1"/>
  <c r="E407" i="36" s="1"/>
  <c r="E384" i="36"/>
  <c r="E380" i="36"/>
  <c r="E383" i="36"/>
  <c r="E381" i="36"/>
  <c r="E385" i="36"/>
  <c r="E471" i="36"/>
  <c r="E477" i="36" s="1"/>
  <c r="E372" i="36"/>
  <c r="E395" i="36" s="1"/>
  <c r="E406" i="36" s="1"/>
  <c r="E472" i="36"/>
  <c r="E478" i="36" s="1"/>
  <c r="E382" i="36"/>
  <c r="E367" i="36"/>
  <c r="E390" i="36" s="1"/>
  <c r="E401" i="36" s="1"/>
  <c r="E371" i="36"/>
  <c r="E394" i="36" s="1"/>
  <c r="E405" i="36" s="1"/>
  <c r="E402" i="36"/>
  <c r="E369" i="36"/>
  <c r="E392" i="36" s="1"/>
  <c r="E419" i="36" s="1"/>
  <c r="E492" i="36" s="1"/>
  <c r="E499" i="36" s="1"/>
  <c r="E502" i="36" s="1"/>
  <c r="E508" i="36" s="1"/>
  <c r="E379" i="36"/>
  <c r="E370" i="36"/>
  <c r="E393" i="36" s="1"/>
  <c r="E404" i="36" s="1"/>
  <c r="E476" i="36"/>
  <c r="E423" i="36" l="1"/>
  <c r="E616" i="36" s="1"/>
  <c r="E623" i="36" s="1"/>
  <c r="E627" i="36" s="1"/>
  <c r="E633" i="36" s="1"/>
  <c r="E473" i="36"/>
  <c r="E480" i="36" s="1"/>
  <c r="E481" i="36" s="1"/>
  <c r="E486" i="36" s="1"/>
  <c r="E667" i="36" s="1"/>
  <c r="E715" i="36" s="1"/>
  <c r="E422" i="36"/>
  <c r="E585" i="36" s="1"/>
  <c r="E592" i="36" s="1"/>
  <c r="E595" i="36" s="1"/>
  <c r="E601" i="36" s="1"/>
  <c r="E420" i="36"/>
  <c r="E523" i="36" s="1"/>
  <c r="E530" i="36" s="1"/>
  <c r="E532" i="36" s="1"/>
  <c r="E538" i="36" s="1"/>
  <c r="E397" i="36"/>
  <c r="E503" i="36"/>
  <c r="E509" i="36" s="1"/>
  <c r="E403" i="36"/>
  <c r="E374" i="36"/>
  <c r="E376" i="36" s="1"/>
  <c r="E421" i="36"/>
  <c r="E554" i="36" s="1"/>
  <c r="E561" i="36" s="1"/>
  <c r="E563" i="36" s="1"/>
  <c r="E569" i="36" s="1"/>
  <c r="E501" i="36"/>
  <c r="E507" i="36" s="1"/>
  <c r="E417" i="36"/>
  <c r="E429" i="36" s="1"/>
  <c r="E436" i="36" s="1"/>
  <c r="E475" i="36"/>
  <c r="E626" i="36" l="1"/>
  <c r="E632" i="36" s="1"/>
  <c r="E625" i="36"/>
  <c r="E631" i="36" s="1"/>
  <c r="E596" i="36"/>
  <c r="E602" i="36" s="1"/>
  <c r="E534" i="36"/>
  <c r="E540" i="36" s="1"/>
  <c r="E506" i="36"/>
  <c r="E533" i="36"/>
  <c r="E539" i="36" s="1"/>
  <c r="E504" i="36"/>
  <c r="E511" i="36" s="1"/>
  <c r="E512" i="36" s="1"/>
  <c r="E517" i="36" s="1"/>
  <c r="E668" i="36" s="1"/>
  <c r="E716" i="36" s="1"/>
  <c r="E565" i="36"/>
  <c r="E571" i="36" s="1"/>
  <c r="E594" i="36"/>
  <c r="E600" i="36" s="1"/>
  <c r="E564" i="36"/>
  <c r="E570" i="36" s="1"/>
  <c r="E439" i="36"/>
  <c r="E446" i="36" s="1"/>
  <c r="E440" i="36"/>
  <c r="E447" i="36" s="1"/>
  <c r="E438" i="36"/>
  <c r="E482" i="36"/>
  <c r="E487" i="36" s="1"/>
  <c r="E678" i="36" s="1"/>
  <c r="E727" i="36" s="1"/>
  <c r="E630" i="36" l="1"/>
  <c r="E628" i="36"/>
  <c r="E635" i="36" s="1"/>
  <c r="E636" i="36" s="1"/>
  <c r="E641" i="36" s="1"/>
  <c r="E672" i="36" s="1"/>
  <c r="E720" i="36" s="1"/>
  <c r="E599" i="36"/>
  <c r="E535" i="36"/>
  <c r="E542" i="36" s="1"/>
  <c r="E543" i="36" s="1"/>
  <c r="E548" i="36" s="1"/>
  <c r="E669" i="36" s="1"/>
  <c r="E717" i="36" s="1"/>
  <c r="E537" i="36"/>
  <c r="E513" i="36"/>
  <c r="E518" i="36" s="1"/>
  <c r="E679" i="36" s="1"/>
  <c r="E728" i="36" s="1"/>
  <c r="E566" i="36"/>
  <c r="E573" i="36" s="1"/>
  <c r="E574" i="36" s="1"/>
  <c r="E579" i="36" s="1"/>
  <c r="E670" i="36" s="1"/>
  <c r="E718" i="36" s="1"/>
  <c r="E568" i="36"/>
  <c r="E597" i="36"/>
  <c r="E604" i="36" s="1"/>
  <c r="E605" i="36" s="1"/>
  <c r="E610" i="36" s="1"/>
  <c r="E671" i="36" s="1"/>
  <c r="E719" i="36" s="1"/>
  <c r="E445" i="36"/>
  <c r="E441" i="36"/>
  <c r="E449" i="36" s="1"/>
  <c r="E483" i="36"/>
  <c r="E488" i="36" s="1"/>
  <c r="E689" i="36" s="1"/>
  <c r="E637" i="36" l="1"/>
  <c r="E642" i="36" s="1"/>
  <c r="E683" i="36" s="1"/>
  <c r="E732" i="36" s="1"/>
  <c r="E544" i="36"/>
  <c r="E549" i="36" s="1"/>
  <c r="E680" i="36" s="1"/>
  <c r="E729" i="36" s="1"/>
  <c r="E514" i="36"/>
  <c r="E519" i="36" s="1"/>
  <c r="E690" i="36" s="1"/>
  <c r="E740" i="36" s="1"/>
  <c r="E575" i="36"/>
  <c r="E580" i="36" s="1"/>
  <c r="E681" i="36" s="1"/>
  <c r="E730" i="36" s="1"/>
  <c r="E444" i="36"/>
  <c r="E450" i="36"/>
  <c r="E606" i="36"/>
  <c r="E611" i="36" s="1"/>
  <c r="E682" i="36" s="1"/>
  <c r="E731" i="36" s="1"/>
  <c r="E701" i="36"/>
  <c r="E739" i="36"/>
  <c r="E638" i="36" l="1"/>
  <c r="E643" i="36" s="1"/>
  <c r="E694" i="36" s="1"/>
  <c r="E744" i="36" s="1"/>
  <c r="E545" i="36"/>
  <c r="E550" i="36" s="1"/>
  <c r="E691" i="36" s="1"/>
  <c r="E703" i="36" s="1"/>
  <c r="F7" i="40" s="1"/>
  <c r="E702" i="36"/>
  <c r="F6" i="40" s="1"/>
  <c r="E576" i="36"/>
  <c r="E581" i="36" s="1"/>
  <c r="E692" i="36" s="1"/>
  <c r="E455" i="36"/>
  <c r="E666" i="36" s="1"/>
  <c r="E663" i="36" s="1"/>
  <c r="E451" i="36"/>
  <c r="E607" i="36"/>
  <c r="E612" i="36" s="1"/>
  <c r="E693" i="36" s="1"/>
  <c r="E705" i="36" s="1"/>
  <c r="F5" i="40"/>
  <c r="H17" i="4"/>
  <c r="I14" i="4" s="1"/>
  <c r="E753" i="36"/>
  <c r="E706" i="36" l="1"/>
  <c r="H72" i="4" s="1"/>
  <c r="I69" i="4" s="1"/>
  <c r="I71" i="4" s="1"/>
  <c r="I62" i="5" s="1"/>
  <c r="F30" i="36" s="1"/>
  <c r="F618" i="36" s="1"/>
  <c r="H39" i="4"/>
  <c r="I35" i="4" s="1"/>
  <c r="I30" i="41" s="1"/>
  <c r="E755" i="36"/>
  <c r="E741" i="36"/>
  <c r="E754" i="36"/>
  <c r="H28" i="4"/>
  <c r="I24" i="4" s="1"/>
  <c r="I27" i="4" s="1"/>
  <c r="I24" i="5" s="1"/>
  <c r="E704" i="36"/>
  <c r="E742" i="36"/>
  <c r="E456" i="36"/>
  <c r="E677" i="36" s="1"/>
  <c r="E726" i="36" s="1"/>
  <c r="E452" i="36"/>
  <c r="E457" i="36" s="1"/>
  <c r="E688" i="36" s="1"/>
  <c r="E743" i="36"/>
  <c r="F9" i="40"/>
  <c r="E757" i="36"/>
  <c r="H61" i="4"/>
  <c r="I58" i="4" s="1"/>
  <c r="I28" i="41"/>
  <c r="I15" i="4"/>
  <c r="I16" i="4"/>
  <c r="I15" i="5" s="1"/>
  <c r="I13" i="5"/>
  <c r="I20" i="4"/>
  <c r="I18" i="4"/>
  <c r="F10" i="40" l="1"/>
  <c r="E758" i="36"/>
  <c r="I60" i="5"/>
  <c r="I61" i="5" s="1"/>
  <c r="F16" i="36" s="1"/>
  <c r="F619" i="36" s="1"/>
  <c r="I75" i="4"/>
  <c r="I63" i="5"/>
  <c r="I70" i="4"/>
  <c r="I73" i="4"/>
  <c r="I64" i="5" s="1"/>
  <c r="I33" i="41"/>
  <c r="I42" i="4"/>
  <c r="I37" i="4"/>
  <c r="I31" i="5"/>
  <c r="I32" i="5" s="1"/>
  <c r="F13" i="36" s="1"/>
  <c r="F526" i="36" s="1"/>
  <c r="I38" i="4"/>
  <c r="I33" i="5" s="1"/>
  <c r="I34" i="5" s="1"/>
  <c r="I40" i="4"/>
  <c r="I41" i="4" s="1"/>
  <c r="I36" i="5" s="1"/>
  <c r="I31" i="41"/>
  <c r="I29" i="41"/>
  <c r="I22" i="5"/>
  <c r="F40" i="36" s="1"/>
  <c r="I31" i="4"/>
  <c r="I26" i="4"/>
  <c r="I29" i="4"/>
  <c r="I26" i="5" s="1"/>
  <c r="F8" i="40"/>
  <c r="E756" i="36"/>
  <c r="H49" i="4"/>
  <c r="I46" i="4" s="1"/>
  <c r="E700" i="36"/>
  <c r="E738" i="36"/>
  <c r="I60" i="4"/>
  <c r="I52" i="5" s="1"/>
  <c r="I32" i="41"/>
  <c r="I64" i="4"/>
  <c r="I59" i="4"/>
  <c r="I62" i="4"/>
  <c r="I50" i="5"/>
  <c r="F26" i="36"/>
  <c r="F494" i="36" s="1"/>
  <c r="I25" i="5"/>
  <c r="F39" i="36"/>
  <c r="I14" i="5"/>
  <c r="F11" i="36" s="1"/>
  <c r="F464" i="36" s="1"/>
  <c r="F25" i="36"/>
  <c r="F463" i="36" s="1"/>
  <c r="I16" i="5"/>
  <c r="I19" i="4"/>
  <c r="I18" i="5" s="1"/>
  <c r="I17" i="5"/>
  <c r="F44" i="36" l="1"/>
  <c r="I74" i="4"/>
  <c r="I65" i="5" s="1"/>
  <c r="F41" i="36"/>
  <c r="F27" i="36"/>
  <c r="F525" i="36" s="1"/>
  <c r="I23" i="5"/>
  <c r="F12" i="36" s="1"/>
  <c r="F495" i="36" s="1"/>
  <c r="I35" i="5"/>
  <c r="I30" i="4"/>
  <c r="I27" i="5" s="1"/>
  <c r="I48" i="4"/>
  <c r="I42" i="5" s="1"/>
  <c r="I47" i="4"/>
  <c r="I52" i="4"/>
  <c r="I50" i="4"/>
  <c r="I40" i="5"/>
  <c r="F4" i="40"/>
  <c r="E752" i="36"/>
  <c r="H9" i="4"/>
  <c r="I7" i="4" s="1"/>
  <c r="I51" i="5"/>
  <c r="F15" i="36" s="1"/>
  <c r="F588" i="36" s="1"/>
  <c r="F43" i="36"/>
  <c r="I54" i="5"/>
  <c r="I63" i="4"/>
  <c r="I55" i="5" s="1"/>
  <c r="I53" i="5"/>
  <c r="F29" i="36"/>
  <c r="F587" i="36" s="1"/>
  <c r="F71" i="36"/>
  <c r="G17" i="40"/>
  <c r="F70" i="36"/>
  <c r="G16" i="40"/>
  <c r="F75" i="36" l="1"/>
  <c r="G21" i="40"/>
  <c r="G18" i="40"/>
  <c r="F72" i="36"/>
  <c r="I51" i="4"/>
  <c r="I45" i="5" s="1"/>
  <c r="I44" i="5"/>
  <c r="I41" i="5"/>
  <c r="F14" i="36" s="1"/>
  <c r="F557" i="36" s="1"/>
  <c r="F42" i="36"/>
  <c r="F28" i="36"/>
  <c r="F556" i="36" s="1"/>
  <c r="I43" i="5"/>
  <c r="I8" i="4"/>
  <c r="I10" i="4"/>
  <c r="I7" i="5" s="1"/>
  <c r="I8" i="5" s="1"/>
  <c r="I5" i="5"/>
  <c r="G20" i="40"/>
  <c r="F74" i="36"/>
  <c r="G29" i="40"/>
  <c r="F166" i="36"/>
  <c r="F88" i="36"/>
  <c r="F165" i="36"/>
  <c r="G28" i="40"/>
  <c r="F87" i="36"/>
  <c r="F170" i="36" l="1"/>
  <c r="G33" i="40"/>
  <c r="F92" i="36"/>
  <c r="F167" i="36"/>
  <c r="G30" i="40"/>
  <c r="F89" i="36"/>
  <c r="F73" i="36"/>
  <c r="G19" i="40"/>
  <c r="F38" i="36"/>
  <c r="I9" i="5"/>
  <c r="I6" i="5"/>
  <c r="F10" i="36" s="1"/>
  <c r="F432" i="36" s="1"/>
  <c r="G32" i="40"/>
  <c r="F169" i="36"/>
  <c r="F91" i="36"/>
  <c r="J44" i="41"/>
  <c r="F101" i="36"/>
  <c r="J43" i="41"/>
  <c r="F100" i="36"/>
  <c r="F105" i="36" l="1"/>
  <c r="J48" i="41"/>
  <c r="F102" i="36"/>
  <c r="J45" i="41"/>
  <c r="F168" i="36"/>
  <c r="G31" i="40"/>
  <c r="F90" i="36"/>
  <c r="G15" i="40"/>
  <c r="F69" i="36"/>
  <c r="J47" i="41"/>
  <c r="F104" i="36"/>
  <c r="F113" i="36"/>
  <c r="F496" i="36"/>
  <c r="F493" i="36" s="1"/>
  <c r="F465" i="36"/>
  <c r="F462" i="36" s="1"/>
  <c r="F112" i="36"/>
  <c r="F117" i="36" l="1"/>
  <c r="F620" i="36"/>
  <c r="F617" i="36" s="1"/>
  <c r="F114" i="36"/>
  <c r="F527" i="36"/>
  <c r="F524" i="36" s="1"/>
  <c r="F103" i="36"/>
  <c r="J46" i="41"/>
  <c r="J49" i="41" s="1"/>
  <c r="F164" i="36"/>
  <c r="F171" i="36" s="1"/>
  <c r="G27" i="40"/>
  <c r="F81" i="36"/>
  <c r="F83" i="36" s="1"/>
  <c r="F99" i="36" s="1"/>
  <c r="F589" i="36"/>
  <c r="F586" i="36" s="1"/>
  <c r="F116" i="36"/>
  <c r="J58" i="41" l="1"/>
  <c r="J57" i="41"/>
  <c r="J53" i="41"/>
  <c r="J56" i="41"/>
  <c r="J55" i="41"/>
  <c r="J54" i="41"/>
  <c r="F558" i="36"/>
  <c r="F555" i="36" s="1"/>
  <c r="F115" i="36"/>
  <c r="F433" i="36"/>
  <c r="F430" i="36" s="1"/>
  <c r="F111" i="36"/>
  <c r="F175" i="36"/>
  <c r="F176" i="36"/>
  <c r="F179" i="36"/>
  <c r="F181" i="36"/>
  <c r="F178" i="36"/>
  <c r="F177" i="36"/>
  <c r="F180" i="36"/>
  <c r="F118" i="36" l="1"/>
  <c r="F123" i="36" s="1"/>
  <c r="F214" i="36"/>
  <c r="F215" i="36" s="1"/>
  <c r="F182" i="36"/>
  <c r="F132" i="36" l="1"/>
  <c r="F137" i="36"/>
  <c r="F150" i="36" s="1"/>
  <c r="F134" i="36"/>
  <c r="F147" i="36" s="1"/>
  <c r="F133" i="36"/>
  <c r="F146" i="36" s="1"/>
  <c r="F136" i="36"/>
  <c r="F149" i="36" s="1"/>
  <c r="F135" i="36"/>
  <c r="F148" i="36" s="1"/>
  <c r="F138" i="36"/>
  <c r="F151" i="36" s="1"/>
  <c r="F234" i="36"/>
  <c r="F230" i="36"/>
  <c r="F218" i="36"/>
  <c r="F235" i="36"/>
  <c r="F233" i="36"/>
  <c r="F221" i="36"/>
  <c r="F232" i="36"/>
  <c r="F217" i="36"/>
  <c r="F220" i="36"/>
  <c r="F219" i="36"/>
  <c r="F229" i="36"/>
  <c r="F231" i="36"/>
  <c r="F239" i="36" l="1"/>
  <c r="F240" i="36" s="1"/>
  <c r="F145" i="36"/>
  <c r="F152" i="36" s="1"/>
  <c r="F139" i="36"/>
  <c r="F141" i="36" s="1"/>
  <c r="F195" i="36" l="1"/>
  <c r="F205" i="36" s="1"/>
  <c r="F222" i="36" s="1"/>
  <c r="F194" i="36"/>
  <c r="F204" i="36" s="1"/>
  <c r="F192" i="36"/>
  <c r="F202" i="36" s="1"/>
  <c r="F191" i="36"/>
  <c r="F201" i="36" s="1"/>
  <c r="F193" i="36"/>
  <c r="F203" i="36" s="1"/>
  <c r="F190" i="36"/>
  <c r="F196" i="36"/>
  <c r="F206" i="36" s="1"/>
  <c r="F245" i="36"/>
  <c r="F258" i="36"/>
  <c r="F246" i="36"/>
  <c r="F259" i="36"/>
  <c r="F243" i="36"/>
  <c r="F248" i="36"/>
  <c r="F260" i="36"/>
  <c r="F242" i="36"/>
  <c r="F255" i="36"/>
  <c r="F257" i="36"/>
  <c r="F256" i="36"/>
  <c r="F254" i="36"/>
  <c r="F244" i="36"/>
  <c r="F264" i="36" l="1"/>
  <c r="F265" i="36" s="1"/>
  <c r="F267" i="36" s="1"/>
  <c r="F200" i="36"/>
  <c r="F207" i="36" s="1"/>
  <c r="F197" i="36"/>
  <c r="F209" i="36" s="1"/>
  <c r="F223" i="36" s="1"/>
  <c r="F224" i="36" s="1"/>
  <c r="F226" i="36" s="1"/>
  <c r="F247" i="36" s="1"/>
  <c r="F249" i="36" s="1"/>
  <c r="F251" i="36" s="1"/>
  <c r="F271" i="36" l="1"/>
  <c r="F269" i="36"/>
  <c r="F279" i="36"/>
  <c r="F283" i="36"/>
  <c r="F272" i="36"/>
  <c r="F280" i="36"/>
  <c r="F282" i="36"/>
  <c r="F273" i="36"/>
  <c r="F284" i="36"/>
  <c r="F281" i="36"/>
  <c r="F285" i="36"/>
  <c r="F268" i="36"/>
  <c r="F270" i="36"/>
  <c r="F274" i="36" l="1"/>
  <c r="F276" i="36" s="1"/>
  <c r="F289" i="36"/>
  <c r="F290" i="36" s="1"/>
  <c r="F309" i="36" s="1"/>
  <c r="F304" i="36" l="1"/>
  <c r="F306" i="36"/>
  <c r="F294" i="36"/>
  <c r="F295" i="36"/>
  <c r="F305" i="36"/>
  <c r="F296" i="36"/>
  <c r="F307" i="36"/>
  <c r="F310" i="36"/>
  <c r="F292" i="36"/>
  <c r="F308" i="36"/>
  <c r="F293" i="36"/>
  <c r="F297" i="36"/>
  <c r="F298" i="36"/>
  <c r="F299" i="36" l="1"/>
  <c r="F301" i="36" s="1"/>
  <c r="F314" i="36"/>
  <c r="F315" i="36" s="1"/>
  <c r="F332" i="36" l="1"/>
  <c r="F318" i="36"/>
  <c r="F330" i="36"/>
  <c r="F335" i="36"/>
  <c r="F329" i="36"/>
  <c r="F331" i="36"/>
  <c r="F319" i="36"/>
  <c r="F322" i="36"/>
  <c r="F317" i="36"/>
  <c r="F321" i="36"/>
  <c r="F320" i="36"/>
  <c r="F323" i="36"/>
  <c r="F334" i="36"/>
  <c r="F333" i="36"/>
  <c r="F324" i="36" l="1"/>
  <c r="F326" i="36" s="1"/>
  <c r="F339" i="36"/>
  <c r="F340" i="36" s="1"/>
  <c r="F359" i="36" l="1"/>
  <c r="F348" i="36"/>
  <c r="F343" i="36"/>
  <c r="F345" i="36"/>
  <c r="F342" i="36"/>
  <c r="F360" i="36"/>
  <c r="F347" i="36"/>
  <c r="F358" i="36"/>
  <c r="F357" i="36"/>
  <c r="F354" i="36"/>
  <c r="F355" i="36"/>
  <c r="F356" i="36"/>
  <c r="F346" i="36"/>
  <c r="F344" i="36"/>
  <c r="F364" i="36" l="1"/>
  <c r="F365" i="36" s="1"/>
  <c r="F349" i="36"/>
  <c r="F351" i="36" s="1"/>
  <c r="F382" i="36" l="1"/>
  <c r="F384" i="36"/>
  <c r="F367" i="36"/>
  <c r="F385" i="36"/>
  <c r="F373" i="36"/>
  <c r="F396" i="36" s="1"/>
  <c r="F383" i="36"/>
  <c r="F370" i="36"/>
  <c r="F393" i="36" s="1"/>
  <c r="F379" i="36"/>
  <c r="F381" i="36"/>
  <c r="F371" i="36"/>
  <c r="F394" i="36" s="1"/>
  <c r="F372" i="36"/>
  <c r="F395" i="36" s="1"/>
  <c r="F369" i="36"/>
  <c r="F392" i="36" s="1"/>
  <c r="F368" i="36"/>
  <c r="F391" i="36" s="1"/>
  <c r="F380" i="36"/>
  <c r="F422" i="36" l="1"/>
  <c r="F585" i="36" s="1"/>
  <c r="F592" i="36" s="1"/>
  <c r="F406" i="36"/>
  <c r="F420" i="36"/>
  <c r="F523" i="36" s="1"/>
  <c r="F530" i="36" s="1"/>
  <c r="F404" i="36"/>
  <c r="F390" i="36"/>
  <c r="F374" i="36"/>
  <c r="F376" i="36" s="1"/>
  <c r="F403" i="36"/>
  <c r="F419" i="36"/>
  <c r="F492" i="36" s="1"/>
  <c r="F499" i="36" s="1"/>
  <c r="F405" i="36"/>
  <c r="F421" i="36"/>
  <c r="F554" i="36" s="1"/>
  <c r="F561" i="36" s="1"/>
  <c r="F418" i="36"/>
  <c r="F461" i="36" s="1"/>
  <c r="F468" i="36" s="1"/>
  <c r="F402" i="36"/>
  <c r="F423" i="36"/>
  <c r="F616" i="36" s="1"/>
  <c r="F623" i="36" s="1"/>
  <c r="F407" i="36"/>
  <c r="F501" i="36" l="1"/>
  <c r="F503" i="36"/>
  <c r="F509" i="36" s="1"/>
  <c r="F502" i="36"/>
  <c r="F508" i="36" s="1"/>
  <c r="F471" i="36"/>
  <c r="F477" i="36" s="1"/>
  <c r="F470" i="36"/>
  <c r="F472" i="36"/>
  <c r="F478" i="36" s="1"/>
  <c r="F532" i="36"/>
  <c r="F533" i="36"/>
  <c r="F539" i="36" s="1"/>
  <c r="F534" i="36"/>
  <c r="F540" i="36" s="1"/>
  <c r="F565" i="36"/>
  <c r="F571" i="36" s="1"/>
  <c r="F564" i="36"/>
  <c r="F570" i="36" s="1"/>
  <c r="F563" i="36"/>
  <c r="F627" i="36"/>
  <c r="F633" i="36" s="1"/>
  <c r="F626" i="36"/>
  <c r="F632" i="36" s="1"/>
  <c r="F625" i="36"/>
  <c r="F417" i="36"/>
  <c r="F429" i="36" s="1"/>
  <c r="F436" i="36" s="1"/>
  <c r="F397" i="36"/>
  <c r="F401" i="36"/>
  <c r="F596" i="36"/>
  <c r="F602" i="36" s="1"/>
  <c r="F594" i="36"/>
  <c r="F595" i="36"/>
  <c r="F601" i="36" s="1"/>
  <c r="F440" i="36" l="1"/>
  <c r="F447" i="36" s="1"/>
  <c r="F438" i="36"/>
  <c r="F439" i="36"/>
  <c r="F446" i="36" s="1"/>
  <c r="F628" i="36"/>
  <c r="F635" i="36" s="1"/>
  <c r="F631" i="36"/>
  <c r="F630" i="36" s="1"/>
  <c r="F535" i="36"/>
  <c r="F542" i="36" s="1"/>
  <c r="F538" i="36"/>
  <c r="F537" i="36" s="1"/>
  <c r="F600" i="36"/>
  <c r="F599" i="36" s="1"/>
  <c r="F597" i="36"/>
  <c r="F604" i="36" s="1"/>
  <c r="F566" i="36"/>
  <c r="F573" i="36" s="1"/>
  <c r="F569" i="36"/>
  <c r="F568" i="36" s="1"/>
  <c r="F476" i="36"/>
  <c r="F475" i="36" s="1"/>
  <c r="F473" i="36"/>
  <c r="F480" i="36" s="1"/>
  <c r="F504" i="36"/>
  <c r="F511" i="36" s="1"/>
  <c r="F507" i="36"/>
  <c r="F506" i="36" s="1"/>
  <c r="F574" i="36" l="1"/>
  <c r="F579" i="36" s="1"/>
  <c r="F670" i="36" s="1"/>
  <c r="F718" i="36" s="1"/>
  <c r="F543" i="36"/>
  <c r="F512" i="36"/>
  <c r="F517" i="36" s="1"/>
  <c r="F668" i="36" s="1"/>
  <c r="F716" i="36" s="1"/>
  <c r="F636" i="36"/>
  <c r="F641" i="36" s="1"/>
  <c r="F672" i="36" s="1"/>
  <c r="F720" i="36" s="1"/>
  <c r="F441" i="36"/>
  <c r="F449" i="36" s="1"/>
  <c r="F445" i="36"/>
  <c r="F481" i="36"/>
  <c r="F605" i="36"/>
  <c r="F575" i="36" l="1"/>
  <c r="F513" i="36"/>
  <c r="F518" i="36" s="1"/>
  <c r="F679" i="36" s="1"/>
  <c r="F728" i="36" s="1"/>
  <c r="F544" i="36"/>
  <c r="F548" i="36"/>
  <c r="F669" i="36" s="1"/>
  <c r="F717" i="36" s="1"/>
  <c r="F606" i="36"/>
  <c r="F610" i="36"/>
  <c r="F671" i="36" s="1"/>
  <c r="F719" i="36" s="1"/>
  <c r="F637" i="36"/>
  <c r="F482" i="36"/>
  <c r="F486" i="36"/>
  <c r="F667" i="36" s="1"/>
  <c r="F715" i="36" s="1"/>
  <c r="F444" i="36"/>
  <c r="F450" i="36"/>
  <c r="F580" i="36" l="1"/>
  <c r="F681" i="36" s="1"/>
  <c r="F730" i="36" s="1"/>
  <c r="F576" i="36"/>
  <c r="F581" i="36" s="1"/>
  <c r="F692" i="36" s="1"/>
  <c r="F549" i="36"/>
  <c r="F680" i="36" s="1"/>
  <c r="F729" i="36" s="1"/>
  <c r="F545" i="36"/>
  <c r="F550" i="36" s="1"/>
  <c r="F691" i="36" s="1"/>
  <c r="F514" i="36"/>
  <c r="F519" i="36" s="1"/>
  <c r="F690" i="36" s="1"/>
  <c r="F611" i="36"/>
  <c r="F682" i="36" s="1"/>
  <c r="F731" i="36" s="1"/>
  <c r="F607" i="36"/>
  <c r="F612" i="36" s="1"/>
  <c r="F693" i="36" s="1"/>
  <c r="F487" i="36"/>
  <c r="F678" i="36" s="1"/>
  <c r="F727" i="36" s="1"/>
  <c r="F483" i="36"/>
  <c r="F488" i="36" s="1"/>
  <c r="F689" i="36" s="1"/>
  <c r="F451" i="36"/>
  <c r="F456" i="36" s="1"/>
  <c r="F677" i="36" s="1"/>
  <c r="F726" i="36" s="1"/>
  <c r="F455" i="36"/>
  <c r="F666" i="36" s="1"/>
  <c r="F663" i="36" s="1"/>
  <c r="F638" i="36"/>
  <c r="F643" i="36" s="1"/>
  <c r="F694" i="36" s="1"/>
  <c r="F642" i="36"/>
  <c r="F683" i="36" s="1"/>
  <c r="F732" i="36" s="1"/>
  <c r="F452" i="36" l="1"/>
  <c r="F457" i="36" s="1"/>
  <c r="F688" i="36" s="1"/>
  <c r="F738" i="36" s="1"/>
  <c r="F704" i="36"/>
  <c r="F742" i="36"/>
  <c r="F702" i="36"/>
  <c r="F740" i="36"/>
  <c r="F741" i="36"/>
  <c r="F703" i="36"/>
  <c r="F706" i="36"/>
  <c r="F744" i="36"/>
  <c r="F743" i="36"/>
  <c r="F705" i="36"/>
  <c r="F701" i="36"/>
  <c r="F739" i="36"/>
  <c r="F700" i="36" l="1"/>
  <c r="I9" i="4" s="1"/>
  <c r="J7" i="4" s="1"/>
  <c r="I49" i="4"/>
  <c r="J46" i="4" s="1"/>
  <c r="F756" i="36"/>
  <c r="G8" i="40"/>
  <c r="I39" i="4"/>
  <c r="J35" i="4" s="1"/>
  <c r="F755" i="36"/>
  <c r="G7" i="40"/>
  <c r="I28" i="4"/>
  <c r="J24" i="4" s="1"/>
  <c r="F754" i="36"/>
  <c r="G6" i="40"/>
  <c r="G9" i="40"/>
  <c r="F757" i="36"/>
  <c r="I61" i="4"/>
  <c r="J58" i="4" s="1"/>
  <c r="G5" i="40"/>
  <c r="F753" i="36"/>
  <c r="I17" i="4"/>
  <c r="J14" i="4" s="1"/>
  <c r="G10" i="40"/>
  <c r="I72" i="4"/>
  <c r="J69" i="4" s="1"/>
  <c r="F758" i="36"/>
  <c r="F752" i="36" l="1"/>
  <c r="G4" i="40"/>
  <c r="J52" i="4"/>
  <c r="J40" i="5"/>
  <c r="J50" i="4"/>
  <c r="J47" i="4"/>
  <c r="J48" i="4"/>
  <c r="J42" i="5" s="1"/>
  <c r="J29" i="41"/>
  <c r="J31" i="4"/>
  <c r="J27" i="4"/>
  <c r="J24" i="5" s="1"/>
  <c r="J29" i="4"/>
  <c r="J22" i="5"/>
  <c r="J26" i="4"/>
  <c r="J37" i="4"/>
  <c r="J38" i="4"/>
  <c r="J33" i="5" s="1"/>
  <c r="J31" i="5"/>
  <c r="J40" i="4"/>
  <c r="J42" i="4"/>
  <c r="J30" i="41"/>
  <c r="J31" i="41"/>
  <c r="J33" i="41"/>
  <c r="J60" i="5"/>
  <c r="J70" i="4"/>
  <c r="J75" i="4"/>
  <c r="J71" i="4"/>
  <c r="J62" i="5" s="1"/>
  <c r="J73" i="4"/>
  <c r="J32" i="41"/>
  <c r="J64" i="4"/>
  <c r="J59" i="4"/>
  <c r="J60" i="4"/>
  <c r="J52" i="5" s="1"/>
  <c r="J62" i="4"/>
  <c r="J50" i="5"/>
  <c r="J28" i="41"/>
  <c r="J18" i="4"/>
  <c r="J20" i="4"/>
  <c r="J16" i="4"/>
  <c r="J15" i="5" s="1"/>
  <c r="J13" i="5"/>
  <c r="J15" i="4"/>
  <c r="J5" i="5"/>
  <c r="J8" i="4"/>
  <c r="J10" i="4"/>
  <c r="J7" i="5" s="1"/>
  <c r="J8" i="5" s="1"/>
  <c r="J44" i="5" l="1"/>
  <c r="J51" i="4"/>
  <c r="J45" i="5" s="1"/>
  <c r="G42" i="36"/>
  <c r="J41" i="5"/>
  <c r="G14" i="36" s="1"/>
  <c r="G557" i="36" s="1"/>
  <c r="G28" i="36"/>
  <c r="G556" i="36" s="1"/>
  <c r="J43" i="5"/>
  <c r="J32" i="5"/>
  <c r="G13" i="36" s="1"/>
  <c r="G526" i="36" s="1"/>
  <c r="G41" i="36"/>
  <c r="G40" i="36"/>
  <c r="J23" i="5"/>
  <c r="G12" i="36" s="1"/>
  <c r="G495" i="36" s="1"/>
  <c r="G27" i="36"/>
  <c r="G525" i="36" s="1"/>
  <c r="J34" i="5"/>
  <c r="J26" i="5"/>
  <c r="J30" i="4"/>
  <c r="J27" i="5" s="1"/>
  <c r="G26" i="36"/>
  <c r="G494" i="36" s="1"/>
  <c r="J25" i="5"/>
  <c r="J41" i="4"/>
  <c r="J36" i="5" s="1"/>
  <c r="J35" i="5"/>
  <c r="G25" i="36"/>
  <c r="G463" i="36" s="1"/>
  <c r="J16" i="5"/>
  <c r="J51" i="5"/>
  <c r="G15" i="36" s="1"/>
  <c r="G588" i="36" s="1"/>
  <c r="G43" i="36"/>
  <c r="G38" i="36"/>
  <c r="J9" i="5"/>
  <c r="J6" i="5"/>
  <c r="G10" i="36" s="1"/>
  <c r="G432" i="36" s="1"/>
  <c r="J54" i="5"/>
  <c r="J63" i="4"/>
  <c r="J55" i="5" s="1"/>
  <c r="J17" i="5"/>
  <c r="J19" i="4"/>
  <c r="J18" i="5" s="1"/>
  <c r="J53" i="5"/>
  <c r="G29" i="36"/>
  <c r="G587" i="36" s="1"/>
  <c r="J74" i="4"/>
  <c r="J65" i="5" s="1"/>
  <c r="J64" i="5"/>
  <c r="J61" i="5"/>
  <c r="G16" i="36" s="1"/>
  <c r="G619" i="36" s="1"/>
  <c r="G44" i="36"/>
  <c r="G39" i="36"/>
  <c r="J14" i="5"/>
  <c r="G11" i="36" s="1"/>
  <c r="G464" i="36" s="1"/>
  <c r="J63" i="5"/>
  <c r="G30" i="36"/>
  <c r="G618" i="36" s="1"/>
  <c r="G73" i="36" l="1"/>
  <c r="H19" i="40"/>
  <c r="G72" i="36"/>
  <c r="H18" i="40"/>
  <c r="G71" i="36"/>
  <c r="H17" i="40"/>
  <c r="G70" i="36"/>
  <c r="H16" i="40"/>
  <c r="H20" i="40"/>
  <c r="G74" i="36"/>
  <c r="H21" i="40"/>
  <c r="G75" i="36"/>
  <c r="G69" i="36"/>
  <c r="H15" i="40"/>
  <c r="G168" i="36" l="1"/>
  <c r="H31" i="40"/>
  <c r="G90" i="36"/>
  <c r="G166" i="36"/>
  <c r="H29" i="40"/>
  <c r="G88" i="36"/>
  <c r="G89" i="36"/>
  <c r="G167" i="36"/>
  <c r="H30" i="40"/>
  <c r="G91" i="36"/>
  <c r="G169" i="36"/>
  <c r="H32" i="40"/>
  <c r="H27" i="40"/>
  <c r="G164" i="36"/>
  <c r="G81" i="36"/>
  <c r="G83" i="36" s="1"/>
  <c r="G99" i="36" s="1"/>
  <c r="H33" i="40"/>
  <c r="G170" i="36"/>
  <c r="G92" i="36"/>
  <c r="G87" i="36"/>
  <c r="H28" i="40"/>
  <c r="G165" i="36"/>
  <c r="K46" i="41" l="1"/>
  <c r="G103" i="36"/>
  <c r="G102" i="36"/>
  <c r="K45" i="41"/>
  <c r="G101" i="36"/>
  <c r="K44" i="41"/>
  <c r="G433" i="36"/>
  <c r="G430" i="36" s="1"/>
  <c r="G111" i="36"/>
  <c r="G100" i="36"/>
  <c r="K43" i="41"/>
  <c r="G105" i="36"/>
  <c r="K48" i="41"/>
  <c r="G171" i="36"/>
  <c r="G180" i="36" s="1"/>
  <c r="K47" i="41"/>
  <c r="G104" i="36"/>
  <c r="G115" i="36" l="1"/>
  <c r="G558" i="36"/>
  <c r="G555" i="36" s="1"/>
  <c r="G113" i="36"/>
  <c r="G496" i="36"/>
  <c r="G493" i="36" s="1"/>
  <c r="G527" i="36"/>
  <c r="G524" i="36" s="1"/>
  <c r="G114" i="36"/>
  <c r="G620" i="36"/>
  <c r="G617" i="36" s="1"/>
  <c r="G117" i="36"/>
  <c r="G116" i="36"/>
  <c r="G589" i="36"/>
  <c r="G586" i="36" s="1"/>
  <c r="K49" i="41"/>
  <c r="G175" i="36"/>
  <c r="G177" i="36"/>
  <c r="G178" i="36"/>
  <c r="G176" i="36"/>
  <c r="G179" i="36"/>
  <c r="G112" i="36"/>
  <c r="G465" i="36"/>
  <c r="G462" i="36" s="1"/>
  <c r="G181" i="36"/>
  <c r="G118" i="36" l="1"/>
  <c r="G123" i="36" s="1"/>
  <c r="G133" i="36" s="1"/>
  <c r="G146" i="36" s="1"/>
  <c r="K54" i="41"/>
  <c r="K56" i="41"/>
  <c r="K57" i="41"/>
  <c r="K53" i="41"/>
  <c r="K55" i="41"/>
  <c r="G214" i="36"/>
  <c r="G215" i="36" s="1"/>
  <c r="G182" i="36"/>
  <c r="K58" i="41"/>
  <c r="G132" i="36" l="1"/>
  <c r="G145" i="36" s="1"/>
  <c r="G134" i="36"/>
  <c r="G147" i="36" s="1"/>
  <c r="G138" i="36"/>
  <c r="G151" i="36" s="1"/>
  <c r="G137" i="36"/>
  <c r="G150" i="36" s="1"/>
  <c r="G136" i="36"/>
  <c r="G149" i="36" s="1"/>
  <c r="G135" i="36"/>
  <c r="G148" i="36" s="1"/>
  <c r="G220" i="36"/>
  <c r="G217" i="36"/>
  <c r="G219" i="36"/>
  <c r="G230" i="36"/>
  <c r="G221" i="36"/>
  <c r="G235" i="36"/>
  <c r="G234" i="36"/>
  <c r="G232" i="36"/>
  <c r="G233" i="36"/>
  <c r="G218" i="36"/>
  <c r="G231" i="36"/>
  <c r="G222" i="36"/>
  <c r="G229" i="36"/>
  <c r="G139" i="36" l="1"/>
  <c r="G141" i="36" s="1"/>
  <c r="G191" i="36" s="1"/>
  <c r="G201" i="36" s="1"/>
  <c r="G152" i="36"/>
  <c r="G239" i="36"/>
  <c r="G240" i="36" s="1"/>
  <c r="G193" i="36" l="1"/>
  <c r="G203" i="36" s="1"/>
  <c r="G195" i="36"/>
  <c r="G205" i="36" s="1"/>
  <c r="G194" i="36"/>
  <c r="G204" i="36" s="1"/>
  <c r="G196" i="36"/>
  <c r="G206" i="36" s="1"/>
  <c r="G190" i="36"/>
  <c r="G192" i="36"/>
  <c r="G202" i="36" s="1"/>
  <c r="G244" i="36"/>
  <c r="G258" i="36"/>
  <c r="G242" i="36"/>
  <c r="G256" i="36"/>
  <c r="G243" i="36"/>
  <c r="G246" i="36"/>
  <c r="G248" i="36"/>
  <c r="G254" i="36"/>
  <c r="G255" i="36"/>
  <c r="G245" i="36"/>
  <c r="G259" i="36"/>
  <c r="G260" i="36"/>
  <c r="G257" i="36"/>
  <c r="G200" i="36" l="1"/>
  <c r="G207" i="36" s="1"/>
  <c r="G197" i="36"/>
  <c r="G209" i="36" s="1"/>
  <c r="G223" i="36" s="1"/>
  <c r="G224" i="36" s="1"/>
  <c r="G226" i="36" s="1"/>
  <c r="G247" i="36" s="1"/>
  <c r="G249" i="36" s="1"/>
  <c r="G251" i="36" s="1"/>
  <c r="G264" i="36"/>
  <c r="G265" i="36" s="1"/>
  <c r="G279" i="36" l="1"/>
  <c r="G285" i="36"/>
  <c r="G269" i="36"/>
  <c r="G268" i="36"/>
  <c r="G284" i="36"/>
  <c r="G272" i="36"/>
  <c r="G281" i="36"/>
  <c r="G283" i="36"/>
  <c r="G280" i="36"/>
  <c r="G271" i="36"/>
  <c r="G273" i="36"/>
  <c r="G267" i="36"/>
  <c r="G270" i="36"/>
  <c r="G282" i="36"/>
  <c r="G274" i="36" l="1"/>
  <c r="G276" i="36" s="1"/>
  <c r="G289" i="36"/>
  <c r="G290" i="36" s="1"/>
  <c r="G295" i="36" l="1"/>
  <c r="G305" i="36"/>
  <c r="G304" i="36"/>
  <c r="G309" i="36"/>
  <c r="G307" i="36"/>
  <c r="G310" i="36"/>
  <c r="G293" i="36"/>
  <c r="G308" i="36"/>
  <c r="G296" i="36"/>
  <c r="G298" i="36"/>
  <c r="G297" i="36"/>
  <c r="G306" i="36"/>
  <c r="G292" i="36"/>
  <c r="G294" i="36"/>
  <c r="G314" i="36" l="1"/>
  <c r="G315" i="36" s="1"/>
  <c r="G299" i="36"/>
  <c r="G301" i="36" s="1"/>
  <c r="G323" i="36" l="1"/>
  <c r="G318" i="36"/>
  <c r="G320" i="36"/>
  <c r="G321" i="36"/>
  <c r="G334" i="36"/>
  <c r="G322" i="36"/>
  <c r="G329" i="36"/>
  <c r="G332" i="36"/>
  <c r="G333" i="36"/>
  <c r="G331" i="36"/>
  <c r="G330" i="36"/>
  <c r="G335" i="36"/>
  <c r="G317" i="36"/>
  <c r="G319" i="36"/>
  <c r="G339" i="36" l="1"/>
  <c r="G340" i="36" s="1"/>
  <c r="G324" i="36"/>
  <c r="G326" i="36" s="1"/>
  <c r="G348" i="36" l="1"/>
  <c r="G346" i="36"/>
  <c r="G343" i="36"/>
  <c r="G354" i="36"/>
  <c r="G358" i="36"/>
  <c r="G342" i="36"/>
  <c r="G356" i="36"/>
  <c r="G345" i="36"/>
  <c r="G359" i="36"/>
  <c r="G357" i="36"/>
  <c r="G360" i="36"/>
  <c r="G347" i="36"/>
  <c r="G344" i="36"/>
  <c r="G355" i="36"/>
  <c r="G364" i="36" l="1"/>
  <c r="G365" i="36" s="1"/>
  <c r="G373" i="36" s="1"/>
  <c r="G396" i="36" s="1"/>
  <c r="G423" i="36" s="1"/>
  <c r="G616" i="36" s="1"/>
  <c r="G623" i="36" s="1"/>
  <c r="G625" i="36" s="1"/>
  <c r="G349" i="36"/>
  <c r="G351" i="36" s="1"/>
  <c r="G370" i="36" l="1"/>
  <c r="G393" i="36" s="1"/>
  <c r="G381" i="36"/>
  <c r="G627" i="36"/>
  <c r="G633" i="36" s="1"/>
  <c r="G383" i="36"/>
  <c r="G382" i="36"/>
  <c r="G367" i="36"/>
  <c r="G390" i="36" s="1"/>
  <c r="G368" i="36"/>
  <c r="G391" i="36" s="1"/>
  <c r="G385" i="36"/>
  <c r="G626" i="36"/>
  <c r="G632" i="36" s="1"/>
  <c r="G371" i="36"/>
  <c r="G394" i="36" s="1"/>
  <c r="G421" i="36" s="1"/>
  <c r="G554" i="36" s="1"/>
  <c r="G561" i="36" s="1"/>
  <c r="G369" i="36"/>
  <c r="G392" i="36" s="1"/>
  <c r="G419" i="36" s="1"/>
  <c r="G492" i="36" s="1"/>
  <c r="G499" i="36" s="1"/>
  <c r="G372" i="36"/>
  <c r="G395" i="36" s="1"/>
  <c r="G406" i="36" s="1"/>
  <c r="G380" i="36"/>
  <c r="G407" i="36"/>
  <c r="G379" i="36"/>
  <c r="G384" i="36"/>
  <c r="G631" i="36"/>
  <c r="G630" i="36" l="1"/>
  <c r="G403" i="36"/>
  <c r="G405" i="36"/>
  <c r="G397" i="36"/>
  <c r="G628" i="36"/>
  <c r="G635" i="36" s="1"/>
  <c r="G636" i="36" s="1"/>
  <c r="G374" i="36"/>
  <c r="G376" i="36" s="1"/>
  <c r="G422" i="36"/>
  <c r="G585" i="36" s="1"/>
  <c r="G592" i="36" s="1"/>
  <c r="G595" i="36" s="1"/>
  <c r="G601" i="36" s="1"/>
  <c r="G418" i="36"/>
  <c r="G461" i="36" s="1"/>
  <c r="G468" i="36" s="1"/>
  <c r="G402" i="36"/>
  <c r="G401" i="36"/>
  <c r="G417" i="36"/>
  <c r="G429" i="36" s="1"/>
  <c r="G436" i="36" s="1"/>
  <c r="G565" i="36"/>
  <c r="G571" i="36" s="1"/>
  <c r="G563" i="36"/>
  <c r="G564" i="36"/>
  <c r="G570" i="36" s="1"/>
  <c r="G502" i="36"/>
  <c r="G508" i="36" s="1"/>
  <c r="G501" i="36"/>
  <c r="G503" i="36"/>
  <c r="G509" i="36" s="1"/>
  <c r="G404" i="36"/>
  <c r="G420" i="36"/>
  <c r="G523" i="36" s="1"/>
  <c r="G530" i="36" s="1"/>
  <c r="G596" i="36" l="1"/>
  <c r="G602" i="36" s="1"/>
  <c r="G594" i="36"/>
  <c r="G600" i="36" s="1"/>
  <c r="G470" i="36"/>
  <c r="G472" i="36"/>
  <c r="G478" i="36" s="1"/>
  <c r="G471" i="36"/>
  <c r="G477" i="36" s="1"/>
  <c r="G440" i="36"/>
  <c r="G447" i="36" s="1"/>
  <c r="G439" i="36"/>
  <c r="G446" i="36" s="1"/>
  <c r="G438" i="36"/>
  <c r="G532" i="36"/>
  <c r="G534" i="36"/>
  <c r="G540" i="36" s="1"/>
  <c r="G533" i="36"/>
  <c r="G539" i="36" s="1"/>
  <c r="G566" i="36"/>
  <c r="G573" i="36" s="1"/>
  <c r="G569" i="36"/>
  <c r="G568" i="36" s="1"/>
  <c r="G504" i="36"/>
  <c r="G511" i="36" s="1"/>
  <c r="G507" i="36"/>
  <c r="G506" i="36" s="1"/>
  <c r="G641" i="36"/>
  <c r="G672" i="36" s="1"/>
  <c r="G720" i="36" s="1"/>
  <c r="G637" i="36"/>
  <c r="G597" i="36" l="1"/>
  <c r="G604" i="36" s="1"/>
  <c r="G605" i="36" s="1"/>
  <c r="G610" i="36" s="1"/>
  <c r="G671" i="36" s="1"/>
  <c r="G719" i="36" s="1"/>
  <c r="G599" i="36"/>
  <c r="G574" i="36"/>
  <c r="G579" i="36" s="1"/>
  <c r="G670" i="36" s="1"/>
  <c r="G718" i="36" s="1"/>
  <c r="G512" i="36"/>
  <c r="G517" i="36" s="1"/>
  <c r="G668" i="36" s="1"/>
  <c r="G716" i="36" s="1"/>
  <c r="G441" i="36"/>
  <c r="G449" i="36" s="1"/>
  <c r="G445" i="36"/>
  <c r="G473" i="36"/>
  <c r="G480" i="36" s="1"/>
  <c r="G476" i="36"/>
  <c r="G475" i="36" s="1"/>
  <c r="G538" i="36"/>
  <c r="G537" i="36" s="1"/>
  <c r="G535" i="36"/>
  <c r="G542" i="36" s="1"/>
  <c r="G642" i="36"/>
  <c r="G683" i="36" s="1"/>
  <c r="G732" i="36" s="1"/>
  <c r="G638" i="36"/>
  <c r="G643" i="36" s="1"/>
  <c r="G694" i="36" s="1"/>
  <c r="G575" i="36" l="1"/>
  <c r="G580" i="36" s="1"/>
  <c r="G681" i="36" s="1"/>
  <c r="G730" i="36" s="1"/>
  <c r="G513" i="36"/>
  <c r="G518" i="36" s="1"/>
  <c r="G679" i="36" s="1"/>
  <c r="G728" i="36" s="1"/>
  <c r="G606" i="36"/>
  <c r="G481" i="36"/>
  <c r="G482" i="36" s="1"/>
  <c r="G487" i="36" s="1"/>
  <c r="G678" i="36" s="1"/>
  <c r="G727" i="36" s="1"/>
  <c r="G450" i="36"/>
  <c r="G444" i="36"/>
  <c r="G543" i="36"/>
  <c r="G544" i="36" s="1"/>
  <c r="G549" i="36" s="1"/>
  <c r="G680" i="36" s="1"/>
  <c r="G729" i="36" s="1"/>
  <c r="G706" i="36"/>
  <c r="G744" i="36"/>
  <c r="G576" i="36" l="1"/>
  <c r="G581" i="36" s="1"/>
  <c r="G692" i="36" s="1"/>
  <c r="G704" i="36" s="1"/>
  <c r="H8" i="40" s="1"/>
  <c r="G514" i="36"/>
  <c r="G519" i="36" s="1"/>
  <c r="G690" i="36" s="1"/>
  <c r="G702" i="36" s="1"/>
  <c r="J28" i="4" s="1"/>
  <c r="K24" i="4" s="1"/>
  <c r="G611" i="36"/>
  <c r="G682" i="36" s="1"/>
  <c r="G731" i="36" s="1"/>
  <c r="G607" i="36"/>
  <c r="G612" i="36" s="1"/>
  <c r="G693" i="36" s="1"/>
  <c r="G455" i="36"/>
  <c r="G666" i="36" s="1"/>
  <c r="G451" i="36"/>
  <c r="G486" i="36"/>
  <c r="G667" i="36" s="1"/>
  <c r="G715" i="36" s="1"/>
  <c r="G483" i="36"/>
  <c r="G488" i="36" s="1"/>
  <c r="G689" i="36" s="1"/>
  <c r="G548" i="36"/>
  <c r="G669" i="36" s="1"/>
  <c r="G545" i="36"/>
  <c r="G550" i="36" s="1"/>
  <c r="G691" i="36" s="1"/>
  <c r="H10" i="40"/>
  <c r="J72" i="4"/>
  <c r="K69" i="4" s="1"/>
  <c r="G758" i="36"/>
  <c r="G742" i="36" l="1"/>
  <c r="J49" i="4"/>
  <c r="K46" i="4" s="1"/>
  <c r="K47" i="4" s="1"/>
  <c r="G740" i="36"/>
  <c r="G756" i="36"/>
  <c r="G754" i="36"/>
  <c r="H6" i="40"/>
  <c r="G705" i="36"/>
  <c r="G743" i="36"/>
  <c r="G456" i="36"/>
  <c r="G677" i="36" s="1"/>
  <c r="G726" i="36" s="1"/>
  <c r="G452" i="36"/>
  <c r="G457" i="36" s="1"/>
  <c r="G688" i="36" s="1"/>
  <c r="G701" i="36"/>
  <c r="G739" i="36"/>
  <c r="G703" i="36"/>
  <c r="G741" i="36"/>
  <c r="G717" i="36"/>
  <c r="G663" i="36"/>
  <c r="K27" i="4"/>
  <c r="K24" i="5" s="1"/>
  <c r="K29" i="41"/>
  <c r="K26" i="4"/>
  <c r="K29" i="4"/>
  <c r="K22" i="5"/>
  <c r="K31" i="4"/>
  <c r="K73" i="4"/>
  <c r="K71" i="4"/>
  <c r="K62" i="5" s="1"/>
  <c r="K75" i="4"/>
  <c r="K70" i="4"/>
  <c r="K60" i="5"/>
  <c r="K33" i="41"/>
  <c r="K40" i="5" l="1"/>
  <c r="K41" i="5" s="1"/>
  <c r="H14" i="36" s="1"/>
  <c r="H557" i="36" s="1"/>
  <c r="K52" i="4"/>
  <c r="K48" i="4"/>
  <c r="K42" i="5" s="1"/>
  <c r="H28" i="36" s="1"/>
  <c r="H556" i="36" s="1"/>
  <c r="K50" i="4"/>
  <c r="K51" i="4" s="1"/>
  <c r="K45" i="5" s="1"/>
  <c r="J61" i="4"/>
  <c r="K58" i="4" s="1"/>
  <c r="G757" i="36"/>
  <c r="H9" i="40"/>
  <c r="G753" i="36"/>
  <c r="J17" i="4"/>
  <c r="K14" i="4" s="1"/>
  <c r="H5" i="40"/>
  <c r="G700" i="36"/>
  <c r="G738" i="36"/>
  <c r="G755" i="36"/>
  <c r="H7" i="40"/>
  <c r="J39" i="4"/>
  <c r="K35" i="4" s="1"/>
  <c r="H40" i="36"/>
  <c r="K23" i="5"/>
  <c r="H12" i="36" s="1"/>
  <c r="H495" i="36" s="1"/>
  <c r="K26" i="5"/>
  <c r="K30" i="4"/>
  <c r="K27" i="5" s="1"/>
  <c r="H26" i="36"/>
  <c r="H494" i="36" s="1"/>
  <c r="K25" i="5"/>
  <c r="K63" i="5"/>
  <c r="H30" i="36"/>
  <c r="H618" i="36" s="1"/>
  <c r="K61" i="5"/>
  <c r="H16" i="36" s="1"/>
  <c r="H619" i="36" s="1"/>
  <c r="H44" i="36"/>
  <c r="K74" i="4"/>
  <c r="K65" i="5" s="1"/>
  <c r="K64" i="5"/>
  <c r="H42" i="36" l="1"/>
  <c r="I19" i="40" s="1"/>
  <c r="K43" i="5"/>
  <c r="K44" i="5"/>
  <c r="K50" i="5"/>
  <c r="K59" i="4"/>
  <c r="K64" i="4"/>
  <c r="K60" i="4"/>
  <c r="K52" i="5" s="1"/>
  <c r="K32" i="41"/>
  <c r="K62" i="4"/>
  <c r="J9" i="4"/>
  <c r="K7" i="4" s="1"/>
  <c r="G752" i="36"/>
  <c r="H4" i="40"/>
  <c r="K28" i="41"/>
  <c r="K16" i="4"/>
  <c r="K15" i="5" s="1"/>
  <c r="K20" i="4"/>
  <c r="K13" i="5"/>
  <c r="K15" i="4"/>
  <c r="K18" i="4"/>
  <c r="K42" i="4"/>
  <c r="K38" i="4"/>
  <c r="K33" i="5" s="1"/>
  <c r="K30" i="41"/>
  <c r="K31" i="41"/>
  <c r="K40" i="4"/>
  <c r="K31" i="5"/>
  <c r="K37" i="4"/>
  <c r="I17" i="40"/>
  <c r="H71" i="36"/>
  <c r="H75" i="36"/>
  <c r="I21" i="40"/>
  <c r="H73" i="36" l="1"/>
  <c r="H90" i="36" s="1"/>
  <c r="K53" i="5"/>
  <c r="H29" i="36"/>
  <c r="H587" i="36" s="1"/>
  <c r="K54" i="5"/>
  <c r="K63" i="4"/>
  <c r="K55" i="5" s="1"/>
  <c r="H43" i="36"/>
  <c r="K51" i="5"/>
  <c r="H15" i="36" s="1"/>
  <c r="H588" i="36" s="1"/>
  <c r="H39" i="36"/>
  <c r="K14" i="5"/>
  <c r="H11" i="36" s="1"/>
  <c r="H464" i="36" s="1"/>
  <c r="K17" i="5"/>
  <c r="K19" i="4"/>
  <c r="K18" i="5" s="1"/>
  <c r="H25" i="36"/>
  <c r="H463" i="36" s="1"/>
  <c r="K16" i="5"/>
  <c r="K10" i="4"/>
  <c r="K7" i="5" s="1"/>
  <c r="K8" i="5" s="1"/>
  <c r="K8" i="4"/>
  <c r="K5" i="5"/>
  <c r="H27" i="36"/>
  <c r="H525" i="36" s="1"/>
  <c r="K34" i="5"/>
  <c r="H41" i="36"/>
  <c r="K32" i="5"/>
  <c r="H13" i="36" s="1"/>
  <c r="H526" i="36" s="1"/>
  <c r="K35" i="5"/>
  <c r="K41" i="4"/>
  <c r="K36" i="5" s="1"/>
  <c r="H88" i="36"/>
  <c r="H166" i="36"/>
  <c r="I29" i="40"/>
  <c r="I33" i="40"/>
  <c r="H170" i="36"/>
  <c r="H92" i="36"/>
  <c r="I31" i="40"/>
  <c r="H168" i="36" l="1"/>
  <c r="H74" i="36"/>
  <c r="I20" i="40"/>
  <c r="K6" i="5"/>
  <c r="H10" i="36" s="1"/>
  <c r="H432" i="36" s="1"/>
  <c r="H38" i="36"/>
  <c r="K9" i="5"/>
  <c r="I16" i="40"/>
  <c r="H70" i="36"/>
  <c r="I18" i="40"/>
  <c r="H72" i="36"/>
  <c r="H101" i="36"/>
  <c r="L44" i="41"/>
  <c r="L46" i="41"/>
  <c r="H103" i="36"/>
  <c r="L48" i="41"/>
  <c r="H105" i="36"/>
  <c r="H169" i="36" l="1"/>
  <c r="H91" i="36"/>
  <c r="I32" i="40"/>
  <c r="H69" i="36"/>
  <c r="I15" i="40"/>
  <c r="I28" i="40"/>
  <c r="H87" i="36"/>
  <c r="H165" i="36"/>
  <c r="I30" i="40"/>
  <c r="H89" i="36"/>
  <c r="H167" i="36"/>
  <c r="H496" i="36"/>
  <c r="H493" i="36" s="1"/>
  <c r="H113" i="36"/>
  <c r="H558" i="36"/>
  <c r="H555" i="36" s="1"/>
  <c r="H115" i="36"/>
  <c r="H620" i="36"/>
  <c r="H617" i="36" s="1"/>
  <c r="H117" i="36"/>
  <c r="H104" i="36" l="1"/>
  <c r="L47" i="41"/>
  <c r="L43" i="41"/>
  <c r="H100" i="36"/>
  <c r="H164" i="36"/>
  <c r="H171" i="36" s="1"/>
  <c r="H175" i="36" s="1"/>
  <c r="I27" i="40"/>
  <c r="H81" i="36"/>
  <c r="H83" i="36" s="1"/>
  <c r="H99" i="36" s="1"/>
  <c r="L45" i="41"/>
  <c r="H102" i="36"/>
  <c r="L49" i="41" l="1"/>
  <c r="L57" i="41" s="1"/>
  <c r="H180" i="36"/>
  <c r="H176" i="36"/>
  <c r="H179" i="36"/>
  <c r="H589" i="36"/>
  <c r="H586" i="36" s="1"/>
  <c r="H116" i="36"/>
  <c r="H178" i="36"/>
  <c r="H181" i="36"/>
  <c r="H177" i="36"/>
  <c r="H465" i="36"/>
  <c r="H462" i="36" s="1"/>
  <c r="H112" i="36"/>
  <c r="H433" i="36"/>
  <c r="H430" i="36" s="1"/>
  <c r="H111" i="36"/>
  <c r="H114" i="36"/>
  <c r="H527" i="36"/>
  <c r="H524" i="36" s="1"/>
  <c r="L56" i="41" l="1"/>
  <c r="L55" i="41"/>
  <c r="L53" i="41"/>
  <c r="L54" i="41"/>
  <c r="L58" i="41"/>
  <c r="H214" i="36"/>
  <c r="H215" i="36" s="1"/>
  <c r="H235" i="36" s="1"/>
  <c r="H182" i="36"/>
  <c r="H118" i="36"/>
  <c r="H123" i="36" s="1"/>
  <c r="H134" i="36" s="1"/>
  <c r="H147" i="36" s="1"/>
  <c r="H231" i="36" l="1"/>
  <c r="H136" i="36"/>
  <c r="H149" i="36" s="1"/>
  <c r="H229" i="36"/>
  <c r="H138" i="36"/>
  <c r="H151" i="36" s="1"/>
  <c r="H220" i="36"/>
  <c r="H230" i="36"/>
  <c r="H232" i="36"/>
  <c r="H217" i="36"/>
  <c r="H219" i="36"/>
  <c r="H218" i="36"/>
  <c r="H233" i="36"/>
  <c r="H234" i="36"/>
  <c r="H222" i="36"/>
  <c r="H221" i="36"/>
  <c r="H132" i="36"/>
  <c r="H145" i="36" s="1"/>
  <c r="H135" i="36"/>
  <c r="H148" i="36" s="1"/>
  <c r="H133" i="36"/>
  <c r="H146" i="36" s="1"/>
  <c r="H137" i="36"/>
  <c r="H150" i="36" s="1"/>
  <c r="H239" i="36" l="1"/>
  <c r="H240" i="36" s="1"/>
  <c r="H246" i="36" s="1"/>
  <c r="H139" i="36"/>
  <c r="H141" i="36" s="1"/>
  <c r="H152" i="36"/>
  <c r="H258" i="36" l="1"/>
  <c r="H260" i="36"/>
  <c r="H245" i="36"/>
  <c r="H243" i="36"/>
  <c r="H255" i="36"/>
  <c r="H244" i="36"/>
  <c r="H254" i="36"/>
  <c r="H248" i="36"/>
  <c r="H256" i="36"/>
  <c r="H242" i="36"/>
  <c r="H257" i="36"/>
  <c r="H259" i="36"/>
  <c r="H194" i="36"/>
  <c r="H204" i="36" s="1"/>
  <c r="H192" i="36"/>
  <c r="H202" i="36" s="1"/>
  <c r="H193" i="36"/>
  <c r="H203" i="36" s="1"/>
  <c r="H196" i="36"/>
  <c r="H206" i="36" s="1"/>
  <c r="H191" i="36"/>
  <c r="H201" i="36" s="1"/>
  <c r="H195" i="36"/>
  <c r="H205" i="36" s="1"/>
  <c r="H190" i="36"/>
  <c r="H264" i="36" l="1"/>
  <c r="H265" i="36" s="1"/>
  <c r="H272" i="36" s="1"/>
  <c r="H200" i="36"/>
  <c r="H207" i="36" s="1"/>
  <c r="H197" i="36"/>
  <c r="H209" i="36" s="1"/>
  <c r="H223" i="36" s="1"/>
  <c r="H224" i="36" s="1"/>
  <c r="H226" i="36" s="1"/>
  <c r="H247" i="36" s="1"/>
  <c r="H249" i="36" s="1"/>
  <c r="H251" i="36" s="1"/>
  <c r="H270" i="36" l="1"/>
  <c r="H267" i="36"/>
  <c r="H284" i="36"/>
  <c r="H285" i="36"/>
  <c r="H282" i="36"/>
  <c r="H271" i="36"/>
  <c r="H269" i="36"/>
  <c r="H268" i="36"/>
  <c r="H283" i="36"/>
  <c r="H280" i="36"/>
  <c r="H273" i="36"/>
  <c r="H279" i="36"/>
  <c r="H281" i="36"/>
  <c r="H289" i="36" l="1"/>
  <c r="H290" i="36" s="1"/>
  <c r="H309" i="36" s="1"/>
  <c r="H274" i="36"/>
  <c r="H276" i="36" s="1"/>
  <c r="H308" i="36" l="1"/>
  <c r="H297" i="36"/>
  <c r="H305" i="36"/>
  <c r="H293" i="36"/>
  <c r="H296" i="36"/>
  <c r="H307" i="36"/>
  <c r="H310" i="36"/>
  <c r="H306" i="36"/>
  <c r="H294" i="36"/>
  <c r="H304" i="36"/>
  <c r="H292" i="36"/>
  <c r="H298" i="36"/>
  <c r="H295" i="36"/>
  <c r="H314" i="36" l="1"/>
  <c r="H315" i="36" s="1"/>
  <c r="H319" i="36" s="1"/>
  <c r="H299" i="36"/>
  <c r="H301" i="36" s="1"/>
  <c r="H322" i="36" l="1"/>
  <c r="H330" i="36"/>
  <c r="H334" i="36"/>
  <c r="H331" i="36"/>
  <c r="H318" i="36"/>
  <c r="H333" i="36"/>
  <c r="H335" i="36"/>
  <c r="H321" i="36"/>
  <c r="H323" i="36"/>
  <c r="H320" i="36"/>
  <c r="H332" i="36"/>
  <c r="H329" i="36"/>
  <c r="H317" i="36"/>
  <c r="H339" i="36" l="1"/>
  <c r="H340" i="36" s="1"/>
  <c r="H345" i="36" s="1"/>
  <c r="H324" i="36"/>
  <c r="H326" i="36" s="1"/>
  <c r="H354" i="36" l="1"/>
  <c r="H343" i="36"/>
  <c r="H355" i="36"/>
  <c r="H357" i="36"/>
  <c r="H348" i="36"/>
  <c r="H356" i="36"/>
  <c r="H360" i="36"/>
  <c r="H359" i="36"/>
  <c r="H347" i="36"/>
  <c r="H358" i="36"/>
  <c r="H342" i="36"/>
  <c r="H344" i="36"/>
  <c r="H346" i="36"/>
  <c r="H364" i="36" l="1"/>
  <c r="H365" i="36" s="1"/>
  <c r="H371" i="36" s="1"/>
  <c r="H394" i="36" s="1"/>
  <c r="H421" i="36" s="1"/>
  <c r="H554" i="36" s="1"/>
  <c r="H561" i="36" s="1"/>
  <c r="H349" i="36"/>
  <c r="H351" i="36" s="1"/>
  <c r="H405" i="36" l="1"/>
  <c r="H385" i="36"/>
  <c r="H369" i="36"/>
  <c r="H392" i="36" s="1"/>
  <c r="H403" i="36" s="1"/>
  <c r="H382" i="36"/>
  <c r="H379" i="36"/>
  <c r="H373" i="36"/>
  <c r="H396" i="36" s="1"/>
  <c r="H407" i="36" s="1"/>
  <c r="H383" i="36"/>
  <c r="H380" i="36"/>
  <c r="H381" i="36"/>
  <c r="H372" i="36"/>
  <c r="H395" i="36" s="1"/>
  <c r="H406" i="36" s="1"/>
  <c r="H368" i="36"/>
  <c r="H391" i="36" s="1"/>
  <c r="H418" i="36" s="1"/>
  <c r="H461" i="36" s="1"/>
  <c r="H468" i="36" s="1"/>
  <c r="H471" i="36" s="1"/>
  <c r="H477" i="36" s="1"/>
  <c r="H367" i="36"/>
  <c r="H390" i="36" s="1"/>
  <c r="H417" i="36" s="1"/>
  <c r="H429" i="36" s="1"/>
  <c r="H436" i="36" s="1"/>
  <c r="H384" i="36"/>
  <c r="H370" i="36"/>
  <c r="H393" i="36" s="1"/>
  <c r="H404" i="36" s="1"/>
  <c r="H564" i="36"/>
  <c r="H570" i="36" s="1"/>
  <c r="H563" i="36"/>
  <c r="H565" i="36"/>
  <c r="H571" i="36" s="1"/>
  <c r="H423" i="36" l="1"/>
  <c r="H616" i="36" s="1"/>
  <c r="H623" i="36" s="1"/>
  <c r="H625" i="36" s="1"/>
  <c r="H631" i="36" s="1"/>
  <c r="H401" i="36"/>
  <c r="H422" i="36"/>
  <c r="H585" i="36" s="1"/>
  <c r="H592" i="36" s="1"/>
  <c r="H596" i="36" s="1"/>
  <c r="H602" i="36" s="1"/>
  <c r="H419" i="36"/>
  <c r="H492" i="36" s="1"/>
  <c r="H499" i="36" s="1"/>
  <c r="H502" i="36" s="1"/>
  <c r="H508" i="36" s="1"/>
  <c r="H420" i="36"/>
  <c r="H523" i="36" s="1"/>
  <c r="H530" i="36" s="1"/>
  <c r="H533" i="36" s="1"/>
  <c r="H539" i="36" s="1"/>
  <c r="H472" i="36"/>
  <c r="H478" i="36" s="1"/>
  <c r="H397" i="36"/>
  <c r="H470" i="36"/>
  <c r="H476" i="36" s="1"/>
  <c r="H374" i="36"/>
  <c r="H376" i="36" s="1"/>
  <c r="H402" i="36"/>
  <c r="H439" i="36"/>
  <c r="H446" i="36" s="1"/>
  <c r="H440" i="36"/>
  <c r="H447" i="36" s="1"/>
  <c r="H438" i="36"/>
  <c r="H566" i="36"/>
  <c r="H573" i="36" s="1"/>
  <c r="H569" i="36"/>
  <c r="H568" i="36" s="1"/>
  <c r="H626" i="36" l="1"/>
  <c r="H632" i="36" s="1"/>
  <c r="H627" i="36"/>
  <c r="H633" i="36" s="1"/>
  <c r="H594" i="36"/>
  <c r="H600" i="36" s="1"/>
  <c r="H501" i="36"/>
  <c r="H507" i="36" s="1"/>
  <c r="H595" i="36"/>
  <c r="H601" i="36" s="1"/>
  <c r="H503" i="36"/>
  <c r="H509" i="36" s="1"/>
  <c r="H534" i="36"/>
  <c r="H540" i="36" s="1"/>
  <c r="H532" i="36"/>
  <c r="H538" i="36" s="1"/>
  <c r="H475" i="36"/>
  <c r="H473" i="36"/>
  <c r="H480" i="36" s="1"/>
  <c r="H481" i="36" s="1"/>
  <c r="H486" i="36" s="1"/>
  <c r="H667" i="36" s="1"/>
  <c r="H715" i="36" s="1"/>
  <c r="H441" i="36"/>
  <c r="H449" i="36" s="1"/>
  <c r="H445" i="36"/>
  <c r="H574" i="36"/>
  <c r="H579" i="36" s="1"/>
  <c r="H670" i="36" s="1"/>
  <c r="H718" i="36" s="1"/>
  <c r="H630" i="36" l="1"/>
  <c r="H628" i="36"/>
  <c r="H635" i="36" s="1"/>
  <c r="H636" i="36" s="1"/>
  <c r="H641" i="36" s="1"/>
  <c r="H672" i="36" s="1"/>
  <c r="H720" i="36" s="1"/>
  <c r="H597" i="36"/>
  <c r="H604" i="36" s="1"/>
  <c r="H605" i="36" s="1"/>
  <c r="H606" i="36" s="1"/>
  <c r="H611" i="36" s="1"/>
  <c r="H682" i="36" s="1"/>
  <c r="H731" i="36" s="1"/>
  <c r="H599" i="36"/>
  <c r="H506" i="36"/>
  <c r="H537" i="36"/>
  <c r="H504" i="36"/>
  <c r="H511" i="36" s="1"/>
  <c r="H512" i="36" s="1"/>
  <c r="H513" i="36" s="1"/>
  <c r="H518" i="36" s="1"/>
  <c r="H679" i="36" s="1"/>
  <c r="H728" i="36" s="1"/>
  <c r="H535" i="36"/>
  <c r="H542" i="36" s="1"/>
  <c r="H543" i="36" s="1"/>
  <c r="H544" i="36" s="1"/>
  <c r="H549" i="36" s="1"/>
  <c r="H680" i="36" s="1"/>
  <c r="H729" i="36" s="1"/>
  <c r="H482" i="36"/>
  <c r="H487" i="36" s="1"/>
  <c r="H678" i="36" s="1"/>
  <c r="H727" i="36" s="1"/>
  <c r="H575" i="36"/>
  <c r="H580" i="36" s="1"/>
  <c r="H681" i="36" s="1"/>
  <c r="H730" i="36" s="1"/>
  <c r="H444" i="36"/>
  <c r="H450" i="36"/>
  <c r="H455" i="36" s="1"/>
  <c r="H666" i="36" s="1"/>
  <c r="H637" i="36" l="1"/>
  <c r="H642" i="36" s="1"/>
  <c r="H683" i="36" s="1"/>
  <c r="H732" i="36" s="1"/>
  <c r="H607" i="36"/>
  <c r="H612" i="36" s="1"/>
  <c r="H693" i="36" s="1"/>
  <c r="H705" i="36" s="1"/>
  <c r="H610" i="36"/>
  <c r="H671" i="36" s="1"/>
  <c r="H719" i="36" s="1"/>
  <c r="H514" i="36"/>
  <c r="H519" i="36" s="1"/>
  <c r="H690" i="36" s="1"/>
  <c r="H702" i="36" s="1"/>
  <c r="H517" i="36"/>
  <c r="H668" i="36" s="1"/>
  <c r="H716" i="36" s="1"/>
  <c r="H545" i="36"/>
  <c r="H550" i="36" s="1"/>
  <c r="H691" i="36" s="1"/>
  <c r="H703" i="36" s="1"/>
  <c r="H548" i="36"/>
  <c r="H669" i="36" s="1"/>
  <c r="H717" i="36" s="1"/>
  <c r="H483" i="36"/>
  <c r="H488" i="36" s="1"/>
  <c r="H689" i="36" s="1"/>
  <c r="H701" i="36" s="1"/>
  <c r="H451" i="36"/>
  <c r="H456" i="36" s="1"/>
  <c r="H677" i="36" s="1"/>
  <c r="H726" i="36" s="1"/>
  <c r="H576" i="36"/>
  <c r="H581" i="36" s="1"/>
  <c r="H692" i="36" s="1"/>
  <c r="H638" i="36" l="1"/>
  <c r="H643" i="36" s="1"/>
  <c r="H694" i="36" s="1"/>
  <c r="H706" i="36" s="1"/>
  <c r="H740" i="36"/>
  <c r="H743" i="36"/>
  <c r="H663" i="36"/>
  <c r="H741" i="36"/>
  <c r="H739" i="36"/>
  <c r="H452" i="36"/>
  <c r="H457" i="36" s="1"/>
  <c r="H688" i="36" s="1"/>
  <c r="H738" i="36" s="1"/>
  <c r="H704" i="36"/>
  <c r="H742" i="36"/>
  <c r="H753" i="36"/>
  <c r="K17" i="4"/>
  <c r="L14" i="4" s="1"/>
  <c r="I5" i="40"/>
  <c r="K61" i="4"/>
  <c r="L58" i="4" s="1"/>
  <c r="I9" i="40"/>
  <c r="H757" i="36"/>
  <c r="I7" i="40"/>
  <c r="K39" i="4"/>
  <c r="L35" i="4" s="1"/>
  <c r="H755" i="36"/>
  <c r="K28" i="4"/>
  <c r="L24" i="4" s="1"/>
  <c r="I6" i="40"/>
  <c r="H754" i="36"/>
  <c r="H744" i="36" l="1"/>
  <c r="H700" i="36"/>
  <c r="H752" i="36" s="1"/>
  <c r="L20" i="4"/>
  <c r="L28" i="41"/>
  <c r="L18" i="4"/>
  <c r="L13" i="5"/>
  <c r="L16" i="4"/>
  <c r="L15" i="5" s="1"/>
  <c r="L15" i="4"/>
  <c r="L31" i="5"/>
  <c r="L37" i="4"/>
  <c r="L40" i="4"/>
  <c r="L30" i="41"/>
  <c r="L42" i="4"/>
  <c r="L38" i="4"/>
  <c r="L33" i="5" s="1"/>
  <c r="L31" i="41"/>
  <c r="L62" i="4"/>
  <c r="L60" i="4"/>
  <c r="L52" i="5" s="1"/>
  <c r="L59" i="4"/>
  <c r="L32" i="41"/>
  <c r="L50" i="5"/>
  <c r="L64" i="4"/>
  <c r="L27" i="4"/>
  <c r="L24" i="5" s="1"/>
  <c r="L26" i="4"/>
  <c r="L29" i="4"/>
  <c r="L29" i="41"/>
  <c r="L22" i="5"/>
  <c r="L31" i="4"/>
  <c r="K72" i="4"/>
  <c r="L69" i="4" s="1"/>
  <c r="I10" i="40"/>
  <c r="H758" i="36"/>
  <c r="I8" i="40"/>
  <c r="K49" i="4"/>
  <c r="L46" i="4" s="1"/>
  <c r="H756" i="36"/>
  <c r="K9" i="4" l="1"/>
  <c r="L7" i="4" s="1"/>
  <c r="L8" i="4" s="1"/>
  <c r="I4" i="40"/>
  <c r="L73" i="4"/>
  <c r="L75" i="4"/>
  <c r="L60" i="5"/>
  <c r="L70" i="4"/>
  <c r="L71" i="4"/>
  <c r="L62" i="5" s="1"/>
  <c r="L33" i="41"/>
  <c r="I43" i="36"/>
  <c r="L51" i="5"/>
  <c r="I15" i="36" s="1"/>
  <c r="I588" i="36" s="1"/>
  <c r="L41" i="4"/>
  <c r="L36" i="5" s="1"/>
  <c r="L35" i="5"/>
  <c r="L14" i="5"/>
  <c r="I11" i="36" s="1"/>
  <c r="I464" i="36" s="1"/>
  <c r="I39" i="36"/>
  <c r="L25" i="5"/>
  <c r="I26" i="36"/>
  <c r="I494" i="36" s="1"/>
  <c r="I27" i="36"/>
  <c r="I525" i="36" s="1"/>
  <c r="L34" i="5"/>
  <c r="L19" i="4"/>
  <c r="L18" i="5" s="1"/>
  <c r="L17" i="5"/>
  <c r="I40" i="36"/>
  <c r="L23" i="5"/>
  <c r="I12" i="36" s="1"/>
  <c r="I495" i="36" s="1"/>
  <c r="L53" i="5"/>
  <c r="I29" i="36"/>
  <c r="I587" i="36" s="1"/>
  <c r="I41" i="36"/>
  <c r="L32" i="5"/>
  <c r="I13" i="36" s="1"/>
  <c r="I526" i="36" s="1"/>
  <c r="L47" i="4"/>
  <c r="L48" i="4"/>
  <c r="L42" i="5" s="1"/>
  <c r="L52" i="4"/>
  <c r="L50" i="4"/>
  <c r="L40" i="5"/>
  <c r="L30" i="4"/>
  <c r="L27" i="5" s="1"/>
  <c r="L26" i="5"/>
  <c r="L63" i="4"/>
  <c r="L55" i="5" s="1"/>
  <c r="L54" i="5"/>
  <c r="L16" i="5"/>
  <c r="I25" i="36"/>
  <c r="I463" i="36" s="1"/>
  <c r="L10" i="4" l="1"/>
  <c r="L7" i="5" s="1"/>
  <c r="L8" i="5" s="1"/>
  <c r="L5" i="5"/>
  <c r="L6" i="5" s="1"/>
  <c r="I10" i="36" s="1"/>
  <c r="I432" i="36" s="1"/>
  <c r="I42" i="36"/>
  <c r="L41" i="5"/>
  <c r="I14" i="36" s="1"/>
  <c r="I557" i="36" s="1"/>
  <c r="L44" i="5"/>
  <c r="L51" i="4"/>
  <c r="L45" i="5" s="1"/>
  <c r="J16" i="40"/>
  <c r="I70" i="36"/>
  <c r="I74" i="36"/>
  <c r="J20" i="40"/>
  <c r="L61" i="5"/>
  <c r="I16" i="36" s="1"/>
  <c r="I619" i="36" s="1"/>
  <c r="I44" i="36"/>
  <c r="I72" i="36"/>
  <c r="J18" i="40"/>
  <c r="J17" i="40"/>
  <c r="I71" i="36"/>
  <c r="L43" i="5"/>
  <c r="I28" i="36"/>
  <c r="I556" i="36" s="1"/>
  <c r="L63" i="5"/>
  <c r="I30" i="36"/>
  <c r="I618" i="36" s="1"/>
  <c r="L74" i="4"/>
  <c r="L65" i="5" s="1"/>
  <c r="L64" i="5"/>
  <c r="L9" i="5" l="1"/>
  <c r="I38" i="36"/>
  <c r="J15" i="40" s="1"/>
  <c r="I89" i="36"/>
  <c r="I167" i="36"/>
  <c r="J30" i="40"/>
  <c r="I169" i="36"/>
  <c r="I91" i="36"/>
  <c r="J32" i="40"/>
  <c r="J29" i="40"/>
  <c r="I88" i="36"/>
  <c r="I166" i="36"/>
  <c r="J21" i="40"/>
  <c r="I75" i="36"/>
  <c r="I87" i="36"/>
  <c r="J28" i="40"/>
  <c r="I165" i="36"/>
  <c r="I73" i="36"/>
  <c r="J19" i="40"/>
  <c r="I69" i="36" l="1"/>
  <c r="I81" i="36" s="1"/>
  <c r="I83" i="36" s="1"/>
  <c r="I99" i="36" s="1"/>
  <c r="I100" i="36"/>
  <c r="M43" i="41"/>
  <c r="I101" i="36"/>
  <c r="M44" i="41"/>
  <c r="I168" i="36"/>
  <c r="J31" i="40"/>
  <c r="I90" i="36"/>
  <c r="J33" i="40"/>
  <c r="I92" i="36"/>
  <c r="I170" i="36"/>
  <c r="I104" i="36"/>
  <c r="M47" i="41"/>
  <c r="M45" i="41"/>
  <c r="I102" i="36"/>
  <c r="J27" i="40" l="1"/>
  <c r="I164" i="36"/>
  <c r="I171" i="36" s="1"/>
  <c r="I181" i="36" s="1"/>
  <c r="M48" i="41"/>
  <c r="I105" i="36"/>
  <c r="I496" i="36"/>
  <c r="I493" i="36" s="1"/>
  <c r="I113" i="36"/>
  <c r="I111" i="36"/>
  <c r="I433" i="36"/>
  <c r="I430" i="36" s="1"/>
  <c r="M46" i="41"/>
  <c r="I103" i="36"/>
  <c r="I527" i="36"/>
  <c r="I524" i="36" s="1"/>
  <c r="I114" i="36"/>
  <c r="I589" i="36"/>
  <c r="I586" i="36" s="1"/>
  <c r="I116" i="36"/>
  <c r="I465" i="36"/>
  <c r="I462" i="36" s="1"/>
  <c r="I112" i="36"/>
  <c r="M49" i="41" l="1"/>
  <c r="M56" i="41" s="1"/>
  <c r="I179" i="36"/>
  <c r="I176" i="36"/>
  <c r="I178" i="36"/>
  <c r="I177" i="36"/>
  <c r="I180" i="36"/>
  <c r="I620" i="36"/>
  <c r="I617" i="36" s="1"/>
  <c r="I117" i="36"/>
  <c r="I558" i="36"/>
  <c r="I555" i="36" s="1"/>
  <c r="I115" i="36"/>
  <c r="I175" i="36"/>
  <c r="M54" i="41" l="1"/>
  <c r="M55" i="41"/>
  <c r="M58" i="41"/>
  <c r="M57" i="41"/>
  <c r="M53" i="41"/>
  <c r="I182" i="36"/>
  <c r="I214" i="36"/>
  <c r="I215" i="36" s="1"/>
  <c r="I118" i="36"/>
  <c r="I123" i="36" s="1"/>
  <c r="I138" i="36" s="1"/>
  <c r="I151" i="36" s="1"/>
  <c r="I136" i="36" l="1"/>
  <c r="I149" i="36" s="1"/>
  <c r="I222" i="36"/>
  <c r="I232" i="36"/>
  <c r="I235" i="36"/>
  <c r="I229" i="36"/>
  <c r="I234" i="36"/>
  <c r="I231" i="36"/>
  <c r="I230" i="36"/>
  <c r="I223" i="36"/>
  <c r="I221" i="36"/>
  <c r="I219" i="36"/>
  <c r="I233" i="36"/>
  <c r="I218" i="36"/>
  <c r="I217" i="36"/>
  <c r="I135" i="36"/>
  <c r="I148" i="36" s="1"/>
  <c r="I132" i="36"/>
  <c r="I137" i="36"/>
  <c r="I150" i="36" s="1"/>
  <c r="I133" i="36"/>
  <c r="I146" i="36" s="1"/>
  <c r="I134" i="36"/>
  <c r="I147" i="36" s="1"/>
  <c r="I145" i="36" l="1"/>
  <c r="I152" i="36" s="1"/>
  <c r="I139" i="36"/>
  <c r="I141" i="36" s="1"/>
  <c r="I239" i="36"/>
  <c r="I240" i="36" s="1"/>
  <c r="I243" i="36" l="1"/>
  <c r="I257" i="36"/>
  <c r="I259" i="36"/>
  <c r="I246" i="36"/>
  <c r="I256" i="36"/>
  <c r="I242" i="36"/>
  <c r="I245" i="36"/>
  <c r="I255" i="36"/>
  <c r="I244" i="36"/>
  <c r="I258" i="36"/>
  <c r="I260" i="36"/>
  <c r="I254" i="36"/>
  <c r="I248" i="36"/>
  <c r="I196" i="36"/>
  <c r="I206" i="36" s="1"/>
  <c r="I194" i="36"/>
  <c r="I204" i="36" s="1"/>
  <c r="I191" i="36"/>
  <c r="I201" i="36" s="1"/>
  <c r="I193" i="36"/>
  <c r="I203" i="36" s="1"/>
  <c r="I192" i="36"/>
  <c r="I202" i="36" s="1"/>
  <c r="I195" i="36"/>
  <c r="I205" i="36" s="1"/>
  <c r="I190" i="36"/>
  <c r="I264" i="36" l="1"/>
  <c r="I265" i="36" s="1"/>
  <c r="I270" i="36" s="1"/>
  <c r="I200" i="36"/>
  <c r="I207" i="36" s="1"/>
  <c r="I197" i="36"/>
  <c r="I209" i="36" s="1"/>
  <c r="I220" i="36" s="1"/>
  <c r="I224" i="36" s="1"/>
  <c r="I226" i="36" s="1"/>
  <c r="I247" i="36" s="1"/>
  <c r="I249" i="36" s="1"/>
  <c r="I251" i="36" s="1"/>
  <c r="I273" i="36" l="1"/>
  <c r="I280" i="36"/>
  <c r="I281" i="36"/>
  <c r="I283" i="36"/>
  <c r="I268" i="36"/>
  <c r="I284" i="36"/>
  <c r="I279" i="36"/>
  <c r="I282" i="36"/>
  <c r="I271" i="36"/>
  <c r="I272" i="36"/>
  <c r="I267" i="36"/>
  <c r="I269" i="36"/>
  <c r="I285" i="36"/>
  <c r="I274" i="36" l="1"/>
  <c r="I276" i="36" s="1"/>
  <c r="I289" i="36"/>
  <c r="I290" i="36" s="1"/>
  <c r="I309" i="36" s="1"/>
  <c r="I304" i="36" l="1"/>
  <c r="I297" i="36"/>
  <c r="I306" i="36"/>
  <c r="I294" i="36"/>
  <c r="I296" i="36"/>
  <c r="I298" i="36"/>
  <c r="I292" i="36"/>
  <c r="I307" i="36"/>
  <c r="I305" i="36"/>
  <c r="I308" i="36"/>
  <c r="I310" i="36"/>
  <c r="I295" i="36"/>
  <c r="I293" i="36"/>
  <c r="I299" i="36" l="1"/>
  <c r="I301" i="36" s="1"/>
  <c r="I314" i="36"/>
  <c r="I315" i="36" s="1"/>
  <c r="I329" i="36" s="1"/>
  <c r="AD61" i="41"/>
  <c r="U61" i="41"/>
  <c r="X61" i="41"/>
  <c r="AB61" i="41"/>
  <c r="Z61" i="41"/>
  <c r="Y61" i="41"/>
  <c r="R61" i="41"/>
  <c r="AC61" i="41"/>
  <c r="W61" i="41"/>
  <c r="V61" i="41"/>
  <c r="AA61" i="41"/>
  <c r="AE61" i="41"/>
  <c r="AF61" i="41"/>
  <c r="S61" i="41"/>
  <c r="T61" i="41"/>
  <c r="I332" i="36" l="1"/>
  <c r="I323" i="36"/>
  <c r="I335" i="36"/>
  <c r="I334" i="36"/>
  <c r="I317" i="36"/>
  <c r="I318" i="36"/>
  <c r="I321" i="36"/>
  <c r="I319" i="36"/>
  <c r="I322" i="36"/>
  <c r="I330" i="36"/>
  <c r="I333" i="36"/>
  <c r="I320" i="36"/>
  <c r="I331" i="36"/>
  <c r="AE24" i="6"/>
  <c r="AF22" i="6"/>
  <c r="AF8" i="6"/>
  <c r="AC22" i="6"/>
  <c r="AD14" i="6"/>
  <c r="S8" i="6"/>
  <c r="X22" i="6"/>
  <c r="AE13" i="6"/>
  <c r="W22" i="6"/>
  <c r="AF12" i="6"/>
  <c r="AE10" i="6"/>
  <c r="AE12" i="6"/>
  <c r="R8" i="6"/>
  <c r="I32" i="32" s="1"/>
  <c r="AE22" i="6"/>
  <c r="Q8" i="6"/>
  <c r="AF25" i="6"/>
  <c r="O22" i="6"/>
  <c r="N94" i="5" s="1"/>
  <c r="Z8" i="6"/>
  <c r="V22" i="6"/>
  <c r="AD22" i="6"/>
  <c r="P22" i="6"/>
  <c r="AF23" i="6"/>
  <c r="Z22" i="6"/>
  <c r="AE26" i="6"/>
  <c r="AF9" i="6"/>
  <c r="U8" i="6"/>
  <c r="AA8" i="6"/>
  <c r="AF14" i="6"/>
  <c r="S22" i="6"/>
  <c r="T8" i="6"/>
  <c r="AE23" i="6"/>
  <c r="Q22" i="6"/>
  <c r="AE9" i="6"/>
  <c r="T22" i="6"/>
  <c r="P8" i="6"/>
  <c r="X8" i="6"/>
  <c r="AD12" i="6"/>
  <c r="AE14" i="6"/>
  <c r="AA22" i="6"/>
  <c r="AF13" i="6"/>
  <c r="Y8" i="6"/>
  <c r="V8" i="6"/>
  <c r="AD13" i="6"/>
  <c r="R22" i="6"/>
  <c r="I42" i="32" s="1"/>
  <c r="U22" i="6"/>
  <c r="AE25" i="6"/>
  <c r="O8" i="6"/>
  <c r="N70" i="5" s="1"/>
  <c r="AD10" i="6"/>
  <c r="AE11" i="6"/>
  <c r="AE8" i="6"/>
  <c r="AF27" i="6"/>
  <c r="AF24" i="6"/>
  <c r="AF10" i="6"/>
  <c r="AF11" i="6"/>
  <c r="AF26" i="6"/>
  <c r="AE27" i="6"/>
  <c r="AC8" i="6"/>
  <c r="W8" i="6"/>
  <c r="Y22" i="6"/>
  <c r="AB8" i="6"/>
  <c r="AD11" i="6"/>
  <c r="AB22" i="6"/>
  <c r="AD8" i="6"/>
  <c r="I324" i="36" l="1"/>
  <c r="I326" i="36" s="1"/>
  <c r="I339" i="36"/>
  <c r="I340" i="36" s="1"/>
  <c r="I357" i="36" s="1"/>
  <c r="O94" i="5"/>
  <c r="N104" i="5"/>
  <c r="O70" i="5"/>
  <c r="N81" i="5"/>
  <c r="I342" i="36" l="1"/>
  <c r="I355" i="36"/>
  <c r="I343" i="36"/>
  <c r="I358" i="36"/>
  <c r="I354" i="36"/>
  <c r="I348" i="36"/>
  <c r="I347" i="36"/>
  <c r="I356" i="36"/>
  <c r="I344" i="36"/>
  <c r="I360" i="36"/>
  <c r="I346" i="36"/>
  <c r="I345" i="36"/>
  <c r="I359" i="36"/>
  <c r="P94" i="5"/>
  <c r="O104" i="5"/>
  <c r="O81" i="5"/>
  <c r="P70" i="5"/>
  <c r="AE11" i="4"/>
  <c r="AB82" i="36"/>
  <c r="I349" i="36" l="1"/>
  <c r="I351" i="36" s="1"/>
  <c r="I364" i="36"/>
  <c r="I365" i="36" s="1"/>
  <c r="I373" i="36" s="1"/>
  <c r="I396" i="36" s="1"/>
  <c r="I423" i="36" s="1"/>
  <c r="I616" i="36" s="1"/>
  <c r="I623" i="36" s="1"/>
  <c r="P104" i="5"/>
  <c r="Q94" i="5"/>
  <c r="P81" i="5"/>
  <c r="Q70" i="5"/>
  <c r="I380" i="36" l="1"/>
  <c r="I372" i="36"/>
  <c r="I395" i="36" s="1"/>
  <c r="I406" i="36" s="1"/>
  <c r="I368" i="36"/>
  <c r="I391" i="36" s="1"/>
  <c r="I418" i="36" s="1"/>
  <c r="I461" i="36" s="1"/>
  <c r="I468" i="36" s="1"/>
  <c r="I471" i="36" s="1"/>
  <c r="I477" i="36" s="1"/>
  <c r="I367" i="36"/>
  <c r="I390" i="36" s="1"/>
  <c r="I417" i="36" s="1"/>
  <c r="I429" i="36" s="1"/>
  <c r="I436" i="36" s="1"/>
  <c r="I407" i="36"/>
  <c r="I384" i="36"/>
  <c r="I381" i="36"/>
  <c r="I385" i="36"/>
  <c r="I382" i="36"/>
  <c r="I379" i="36"/>
  <c r="I370" i="36"/>
  <c r="I393" i="36" s="1"/>
  <c r="I404" i="36" s="1"/>
  <c r="I383" i="36"/>
  <c r="I369" i="36"/>
  <c r="I392" i="36" s="1"/>
  <c r="I371" i="36"/>
  <c r="I394" i="36" s="1"/>
  <c r="I625" i="36"/>
  <c r="I626" i="36"/>
  <c r="I632" i="36" s="1"/>
  <c r="I627" i="36"/>
  <c r="I633" i="36" s="1"/>
  <c r="R94" i="5"/>
  <c r="Q104" i="5"/>
  <c r="R70" i="5"/>
  <c r="Q81" i="5"/>
  <c r="K120" i="36"/>
  <c r="I422" i="36" l="1"/>
  <c r="I585" i="36" s="1"/>
  <c r="I592" i="36" s="1"/>
  <c r="I596" i="36" s="1"/>
  <c r="I602" i="36" s="1"/>
  <c r="I402" i="36"/>
  <c r="I401" i="36"/>
  <c r="I470" i="36"/>
  <c r="I476" i="36" s="1"/>
  <c r="I472" i="36"/>
  <c r="I478" i="36" s="1"/>
  <c r="I397" i="36"/>
  <c r="I420" i="36"/>
  <c r="I523" i="36" s="1"/>
  <c r="I530" i="36" s="1"/>
  <c r="I403" i="36"/>
  <c r="I419" i="36"/>
  <c r="I492" i="36" s="1"/>
  <c r="I499" i="36" s="1"/>
  <c r="I374" i="36"/>
  <c r="I376" i="36" s="1"/>
  <c r="I421" i="36"/>
  <c r="I554" i="36" s="1"/>
  <c r="I561" i="36" s="1"/>
  <c r="I405" i="36"/>
  <c r="I628" i="36"/>
  <c r="I635" i="36" s="1"/>
  <c r="I631" i="36"/>
  <c r="I630" i="36" s="1"/>
  <c r="I438" i="36"/>
  <c r="I440" i="36"/>
  <c r="I447" i="36" s="1"/>
  <c r="I439" i="36"/>
  <c r="I446" i="36" s="1"/>
  <c r="S70" i="5"/>
  <c r="R81" i="5"/>
  <c r="R104" i="5"/>
  <c r="S94" i="5"/>
  <c r="I594" i="36" l="1"/>
  <c r="I600" i="36" s="1"/>
  <c r="I595" i="36"/>
  <c r="I601" i="36" s="1"/>
  <c r="I473" i="36"/>
  <c r="I480" i="36" s="1"/>
  <c r="I481" i="36" s="1"/>
  <c r="I486" i="36" s="1"/>
  <c r="I667" i="36" s="1"/>
  <c r="I715" i="36" s="1"/>
  <c r="I475" i="36"/>
  <c r="I501" i="36"/>
  <c r="I502" i="36"/>
  <c r="I508" i="36" s="1"/>
  <c r="I503" i="36"/>
  <c r="I509" i="36" s="1"/>
  <c r="I563" i="36"/>
  <c r="I564" i="36"/>
  <c r="I570" i="36" s="1"/>
  <c r="I565" i="36"/>
  <c r="I571" i="36" s="1"/>
  <c r="I533" i="36"/>
  <c r="I539" i="36" s="1"/>
  <c r="I534" i="36"/>
  <c r="I540" i="36" s="1"/>
  <c r="I532" i="36"/>
  <c r="I445" i="36"/>
  <c r="I441" i="36"/>
  <c r="I449" i="36" s="1"/>
  <c r="I636" i="36"/>
  <c r="I637" i="36" s="1"/>
  <c r="I642" i="36" s="1"/>
  <c r="I683" i="36" s="1"/>
  <c r="I732" i="36" s="1"/>
  <c r="T70" i="5"/>
  <c r="S81" i="5"/>
  <c r="T94" i="5"/>
  <c r="S104" i="5"/>
  <c r="L120" i="36"/>
  <c r="I597" i="36" l="1"/>
  <c r="I604" i="36" s="1"/>
  <c r="I605" i="36" s="1"/>
  <c r="I606" i="36" s="1"/>
  <c r="I611" i="36" s="1"/>
  <c r="I682" i="36" s="1"/>
  <c r="I731" i="36" s="1"/>
  <c r="I599" i="36"/>
  <c r="I566" i="36"/>
  <c r="I573" i="36" s="1"/>
  <c r="I569" i="36"/>
  <c r="I568" i="36" s="1"/>
  <c r="I535" i="36"/>
  <c r="I542" i="36" s="1"/>
  <c r="I538" i="36"/>
  <c r="I537" i="36" s="1"/>
  <c r="I507" i="36"/>
  <c r="I506" i="36" s="1"/>
  <c r="I504" i="36"/>
  <c r="I511" i="36" s="1"/>
  <c r="I482" i="36"/>
  <c r="I487" i="36" s="1"/>
  <c r="I678" i="36" s="1"/>
  <c r="I727" i="36" s="1"/>
  <c r="I444" i="36"/>
  <c r="I450" i="36"/>
  <c r="I451" i="36" s="1"/>
  <c r="I456" i="36" s="1"/>
  <c r="I677" i="36" s="1"/>
  <c r="I726" i="36" s="1"/>
  <c r="I641" i="36"/>
  <c r="I672" i="36" s="1"/>
  <c r="I720" i="36" s="1"/>
  <c r="I638" i="36"/>
  <c r="I643" i="36" s="1"/>
  <c r="I694" i="36" s="1"/>
  <c r="T104" i="5"/>
  <c r="U94" i="5"/>
  <c r="U70" i="5"/>
  <c r="T81" i="5"/>
  <c r="M120" i="36"/>
  <c r="I607" i="36" l="1"/>
  <c r="I612" i="36" s="1"/>
  <c r="I693" i="36" s="1"/>
  <c r="I743" i="36" s="1"/>
  <c r="I610" i="36"/>
  <c r="I671" i="36" s="1"/>
  <c r="I719" i="36" s="1"/>
  <c r="I543" i="36"/>
  <c r="I574" i="36"/>
  <c r="I512" i="36"/>
  <c r="I483" i="36"/>
  <c r="I488" i="36" s="1"/>
  <c r="I689" i="36" s="1"/>
  <c r="I739" i="36" s="1"/>
  <c r="I744" i="36"/>
  <c r="I706" i="36"/>
  <c r="I455" i="36"/>
  <c r="I666" i="36" s="1"/>
  <c r="I452" i="36"/>
  <c r="I457" i="36" s="1"/>
  <c r="I688" i="36" s="1"/>
  <c r="V70" i="5"/>
  <c r="U81" i="5"/>
  <c r="V94" i="5"/>
  <c r="U104" i="5"/>
  <c r="T23" i="6"/>
  <c r="U23" i="6"/>
  <c r="AB23" i="6"/>
  <c r="W23" i="6"/>
  <c r="V23" i="6"/>
  <c r="Q23" i="6"/>
  <c r="P23" i="6"/>
  <c r="X23" i="6"/>
  <c r="N120" i="36"/>
  <c r="H88" i="32" s="1"/>
  <c r="AC23" i="6"/>
  <c r="O23" i="6"/>
  <c r="N95" i="5" s="1"/>
  <c r="AD23" i="6"/>
  <c r="Y23" i="6"/>
  <c r="S23" i="6"/>
  <c r="AA23" i="6"/>
  <c r="R23" i="6"/>
  <c r="I43" i="32" s="1"/>
  <c r="Z23" i="6"/>
  <c r="I705" i="36" l="1"/>
  <c r="J9" i="40" s="1"/>
  <c r="I575" i="36"/>
  <c r="I580" i="36" s="1"/>
  <c r="I681" i="36" s="1"/>
  <c r="I730" i="36" s="1"/>
  <c r="I579" i="36"/>
  <c r="I670" i="36" s="1"/>
  <c r="I718" i="36" s="1"/>
  <c r="I701" i="36"/>
  <c r="J5" i="40" s="1"/>
  <c r="I544" i="36"/>
  <c r="I549" i="36" s="1"/>
  <c r="I680" i="36" s="1"/>
  <c r="I729" i="36" s="1"/>
  <c r="I548" i="36"/>
  <c r="I669" i="36" s="1"/>
  <c r="I717" i="36" s="1"/>
  <c r="I517" i="36"/>
  <c r="I668" i="36" s="1"/>
  <c r="I716" i="36" s="1"/>
  <c r="I513" i="36"/>
  <c r="I518" i="36" s="1"/>
  <c r="I679" i="36" s="1"/>
  <c r="I728" i="36" s="1"/>
  <c r="I700" i="36"/>
  <c r="I738" i="36"/>
  <c r="I758" i="36"/>
  <c r="J10" i="40"/>
  <c r="L72" i="4"/>
  <c r="M69" i="4" s="1"/>
  <c r="O95" i="5"/>
  <c r="N105" i="5"/>
  <c r="W94" i="5"/>
  <c r="V104" i="5"/>
  <c r="V81" i="5"/>
  <c r="W70" i="5"/>
  <c r="Z24" i="6"/>
  <c r="S24" i="6"/>
  <c r="Y24" i="6"/>
  <c r="Q24" i="6"/>
  <c r="R24" i="6"/>
  <c r="I44" i="32" s="1"/>
  <c r="X24" i="6"/>
  <c r="AD24" i="6"/>
  <c r="V24" i="6"/>
  <c r="O24" i="6"/>
  <c r="N96" i="5" s="1"/>
  <c r="W24" i="6"/>
  <c r="AA24" i="6"/>
  <c r="P24" i="6"/>
  <c r="AB24" i="6"/>
  <c r="T24" i="6"/>
  <c r="AC24" i="6"/>
  <c r="U24" i="6"/>
  <c r="O120" i="36"/>
  <c r="I757" i="36" l="1"/>
  <c r="L61" i="4"/>
  <c r="M58" i="4" s="1"/>
  <c r="M62" i="4" s="1"/>
  <c r="I753" i="36"/>
  <c r="I576" i="36"/>
  <c r="I581" i="36" s="1"/>
  <c r="I692" i="36" s="1"/>
  <c r="L17" i="4"/>
  <c r="M14" i="4" s="1"/>
  <c r="M15" i="4" s="1"/>
  <c r="I545" i="36"/>
  <c r="I550" i="36" s="1"/>
  <c r="I691" i="36" s="1"/>
  <c r="I663" i="36"/>
  <c r="I514" i="36"/>
  <c r="I519" i="36" s="1"/>
  <c r="I690" i="36" s="1"/>
  <c r="M60" i="5"/>
  <c r="M70" i="4"/>
  <c r="M75" i="4"/>
  <c r="M33" i="41"/>
  <c r="M73" i="4"/>
  <c r="M71" i="4"/>
  <c r="M62" i="5" s="1"/>
  <c r="J4" i="40"/>
  <c r="L9" i="4"/>
  <c r="M7" i="4" s="1"/>
  <c r="I752" i="36"/>
  <c r="X94" i="5"/>
  <c r="W104" i="5"/>
  <c r="O96" i="5"/>
  <c r="N106" i="5"/>
  <c r="X70" i="5"/>
  <c r="W81" i="5"/>
  <c r="O105" i="5"/>
  <c r="P95" i="5"/>
  <c r="W25" i="6"/>
  <c r="V25" i="6"/>
  <c r="Q25" i="6"/>
  <c r="Y25" i="6"/>
  <c r="P25" i="6"/>
  <c r="X25" i="6"/>
  <c r="O25" i="6"/>
  <c r="N97" i="5" s="1"/>
  <c r="AD25" i="6"/>
  <c r="S25" i="6"/>
  <c r="R25" i="6"/>
  <c r="I45" i="32" s="1"/>
  <c r="Z25" i="6"/>
  <c r="AA25" i="6"/>
  <c r="U25" i="6"/>
  <c r="AC25" i="6"/>
  <c r="T25" i="6"/>
  <c r="AB25" i="6"/>
  <c r="P120" i="36"/>
  <c r="M60" i="4" l="1"/>
  <c r="M52" i="5" s="1"/>
  <c r="M53" i="5" s="1"/>
  <c r="M50" i="5"/>
  <c r="M51" i="5" s="1"/>
  <c r="J15" i="36" s="1"/>
  <c r="J588" i="36" s="1"/>
  <c r="M64" i="4"/>
  <c r="M59" i="4"/>
  <c r="M32" i="41"/>
  <c r="M20" i="4"/>
  <c r="M16" i="4"/>
  <c r="M15" i="5" s="1"/>
  <c r="M16" i="5" s="1"/>
  <c r="M28" i="41"/>
  <c r="M13" i="5"/>
  <c r="M14" i="5" s="1"/>
  <c r="J11" i="36" s="1"/>
  <c r="J464" i="36" s="1"/>
  <c r="M18" i="4"/>
  <c r="M19" i="4" s="1"/>
  <c r="M18" i="5" s="1"/>
  <c r="I741" i="36"/>
  <c r="I703" i="36"/>
  <c r="I742" i="36"/>
  <c r="I704" i="36"/>
  <c r="I702" i="36"/>
  <c r="I740" i="36"/>
  <c r="J30" i="36"/>
  <c r="J618" i="36" s="1"/>
  <c r="M63" i="5"/>
  <c r="M64" i="5"/>
  <c r="M74" i="4"/>
  <c r="M65" i="5" s="1"/>
  <c r="M61" i="5"/>
  <c r="J16" i="36" s="1"/>
  <c r="J619" i="36" s="1"/>
  <c r="J44" i="36"/>
  <c r="M54" i="5"/>
  <c r="M63" i="4"/>
  <c r="M55" i="5" s="1"/>
  <c r="M5" i="5"/>
  <c r="M8" i="4"/>
  <c r="M10" i="4"/>
  <c r="M7" i="5" s="1"/>
  <c r="M8" i="5" s="1"/>
  <c r="P105" i="5"/>
  <c r="Q95" i="5"/>
  <c r="P96" i="5"/>
  <c r="O106" i="5"/>
  <c r="O97" i="5"/>
  <c r="N107" i="5"/>
  <c r="X81" i="5"/>
  <c r="Y70" i="5"/>
  <c r="Y94" i="5"/>
  <c r="X104" i="5"/>
  <c r="AB27" i="6"/>
  <c r="P27" i="6"/>
  <c r="Q27" i="6"/>
  <c r="AD26" i="6"/>
  <c r="V26" i="6"/>
  <c r="R26" i="6"/>
  <c r="I46" i="32" s="1"/>
  <c r="O26" i="6"/>
  <c r="N98" i="5" s="1"/>
  <c r="AA26" i="6"/>
  <c r="W26" i="6"/>
  <c r="S26" i="6"/>
  <c r="X27" i="6"/>
  <c r="AC27" i="6"/>
  <c r="U27" i="6"/>
  <c r="Z26" i="6"/>
  <c r="V27" i="6"/>
  <c r="R27" i="6"/>
  <c r="I47" i="32" s="1"/>
  <c r="O27" i="6"/>
  <c r="N99" i="5" s="1"/>
  <c r="AA27" i="6"/>
  <c r="W27" i="6"/>
  <c r="S27" i="6"/>
  <c r="Q120" i="36"/>
  <c r="T27" i="6"/>
  <c r="Y27" i="6"/>
  <c r="AD27" i="6"/>
  <c r="Z27" i="6"/>
  <c r="AB26" i="6"/>
  <c r="X26" i="6"/>
  <c r="T26" i="6"/>
  <c r="P26" i="6"/>
  <c r="AC26" i="6"/>
  <c r="Y26" i="6"/>
  <c r="U26" i="6"/>
  <c r="Q26" i="6"/>
  <c r="J29" i="36" l="1"/>
  <c r="J587" i="36" s="1"/>
  <c r="J43" i="36"/>
  <c r="K20" i="40" s="1"/>
  <c r="J39" i="36"/>
  <c r="K16" i="40" s="1"/>
  <c r="J25" i="36"/>
  <c r="J463" i="36" s="1"/>
  <c r="M17" i="5"/>
  <c r="L49" i="4"/>
  <c r="M46" i="4" s="1"/>
  <c r="J8" i="40"/>
  <c r="I756" i="36"/>
  <c r="J7" i="40"/>
  <c r="L39" i="4"/>
  <c r="M35" i="4" s="1"/>
  <c r="I755" i="36"/>
  <c r="L28" i="4"/>
  <c r="M24" i="4" s="1"/>
  <c r="J6" i="40"/>
  <c r="I754" i="36"/>
  <c r="J75" i="36"/>
  <c r="K21" i="40"/>
  <c r="J38" i="36"/>
  <c r="M9" i="5"/>
  <c r="M6" i="5"/>
  <c r="J10" i="36" s="1"/>
  <c r="J432" i="36" s="1"/>
  <c r="Q105" i="5"/>
  <c r="R95" i="5"/>
  <c r="Y81" i="5"/>
  <c r="Z70" i="5"/>
  <c r="O107" i="5"/>
  <c r="P97" i="5"/>
  <c r="Q96" i="5"/>
  <c r="P106" i="5"/>
  <c r="Y104" i="5"/>
  <c r="Z94" i="5"/>
  <c r="N109" i="5"/>
  <c r="O99" i="5"/>
  <c r="N108" i="5"/>
  <c r="O98" i="5"/>
  <c r="R120" i="36"/>
  <c r="J74" i="36" l="1"/>
  <c r="K32" i="40" s="1"/>
  <c r="J70" i="36"/>
  <c r="J165" i="36" s="1"/>
  <c r="M31" i="41"/>
  <c r="M40" i="4"/>
  <c r="M42" i="4"/>
  <c r="M31" i="5"/>
  <c r="M37" i="4"/>
  <c r="M38" i="4"/>
  <c r="M33" i="5" s="1"/>
  <c r="M30" i="41"/>
  <c r="M52" i="4"/>
  <c r="M50" i="4"/>
  <c r="M40" i="5"/>
  <c r="M47" i="4"/>
  <c r="M48" i="4"/>
  <c r="M42" i="5" s="1"/>
  <c r="M31" i="4"/>
  <c r="M29" i="4"/>
  <c r="M29" i="41"/>
  <c r="M22" i="5"/>
  <c r="M26" i="4"/>
  <c r="M27" i="4"/>
  <c r="M24" i="5" s="1"/>
  <c r="K15" i="40"/>
  <c r="J69" i="36"/>
  <c r="J92" i="36"/>
  <c r="J170" i="36"/>
  <c r="K33" i="40"/>
  <c r="Q97" i="5"/>
  <c r="P107" i="5"/>
  <c r="R105" i="5"/>
  <c r="S95" i="5"/>
  <c r="R96" i="5"/>
  <c r="Q106" i="5"/>
  <c r="Z81" i="5"/>
  <c r="AA70" i="5"/>
  <c r="O109" i="5"/>
  <c r="P99" i="5"/>
  <c r="Z104" i="5"/>
  <c r="AA94" i="5"/>
  <c r="P98" i="5"/>
  <c r="O108" i="5"/>
  <c r="S120" i="36"/>
  <c r="J169" i="36" l="1"/>
  <c r="J91" i="36"/>
  <c r="N47" i="41" s="1"/>
  <c r="K28" i="40"/>
  <c r="J87" i="36"/>
  <c r="N43" i="41" s="1"/>
  <c r="M43" i="5"/>
  <c r="J28" i="36"/>
  <c r="J556" i="36" s="1"/>
  <c r="M32" i="5"/>
  <c r="J13" i="36" s="1"/>
  <c r="J526" i="36" s="1"/>
  <c r="J41" i="36"/>
  <c r="J42" i="36"/>
  <c r="M41" i="5"/>
  <c r="J14" i="36" s="1"/>
  <c r="J557" i="36" s="1"/>
  <c r="J27" i="36"/>
  <c r="J525" i="36" s="1"/>
  <c r="M34" i="5"/>
  <c r="M41" i="4"/>
  <c r="M36" i="5" s="1"/>
  <c r="M35" i="5"/>
  <c r="M51" i="4"/>
  <c r="M45" i="5" s="1"/>
  <c r="M44" i="5"/>
  <c r="M23" i="5"/>
  <c r="J12" i="36" s="1"/>
  <c r="J495" i="36" s="1"/>
  <c r="J40" i="36"/>
  <c r="M25" i="5"/>
  <c r="J26" i="36"/>
  <c r="J494" i="36" s="1"/>
  <c r="M26" i="5"/>
  <c r="M30" i="4"/>
  <c r="M27" i="5" s="1"/>
  <c r="J105" i="36"/>
  <c r="N48" i="41"/>
  <c r="J81" i="36"/>
  <c r="J83" i="36" s="1"/>
  <c r="J99" i="36" s="1"/>
  <c r="K27" i="40"/>
  <c r="J164" i="36"/>
  <c r="AA104" i="5"/>
  <c r="AB94" i="5"/>
  <c r="S105" i="5"/>
  <c r="T95" i="5"/>
  <c r="P109" i="5"/>
  <c r="Q99" i="5"/>
  <c r="AA81" i="5"/>
  <c r="AB70" i="5"/>
  <c r="P108" i="5"/>
  <c r="Q98" i="5"/>
  <c r="S96" i="5"/>
  <c r="R106" i="5"/>
  <c r="Q107" i="5"/>
  <c r="R97" i="5"/>
  <c r="T120" i="36"/>
  <c r="J104" i="36" l="1"/>
  <c r="J589" i="36" s="1"/>
  <c r="J586" i="36" s="1"/>
  <c r="J100" i="36"/>
  <c r="J112" i="36" s="1"/>
  <c r="K18" i="40"/>
  <c r="J72" i="36"/>
  <c r="K19" i="40"/>
  <c r="J73" i="36"/>
  <c r="K17" i="40"/>
  <c r="J71" i="36"/>
  <c r="J117" i="36"/>
  <c r="J620" i="36"/>
  <c r="J617" i="36" s="1"/>
  <c r="J433" i="36"/>
  <c r="J430" i="36" s="1"/>
  <c r="J111" i="36"/>
  <c r="U95" i="5"/>
  <c r="T105" i="5"/>
  <c r="S106" i="5"/>
  <c r="T96" i="5"/>
  <c r="Q108" i="5"/>
  <c r="R98" i="5"/>
  <c r="R99" i="5"/>
  <c r="Q109" i="5"/>
  <c r="AC94" i="5"/>
  <c r="AB104" i="5"/>
  <c r="AC70" i="5"/>
  <c r="AB81" i="5"/>
  <c r="S97" i="5"/>
  <c r="R107" i="5"/>
  <c r="V120" i="36"/>
  <c r="U120" i="36"/>
  <c r="J116" i="36" l="1"/>
  <c r="J465" i="36"/>
  <c r="J462" i="36" s="1"/>
  <c r="J90" i="36"/>
  <c r="J168" i="36"/>
  <c r="K31" i="40"/>
  <c r="J167" i="36"/>
  <c r="J89" i="36"/>
  <c r="K30" i="40"/>
  <c r="K29" i="40"/>
  <c r="J88" i="36"/>
  <c r="J166" i="36"/>
  <c r="R108" i="5"/>
  <c r="S98" i="5"/>
  <c r="T97" i="5"/>
  <c r="S107" i="5"/>
  <c r="AD94" i="5"/>
  <c r="AC104" i="5"/>
  <c r="T106" i="5"/>
  <c r="U96" i="5"/>
  <c r="AC81" i="5"/>
  <c r="AD70" i="5"/>
  <c r="S99" i="5"/>
  <c r="R109" i="5"/>
  <c r="U105" i="5"/>
  <c r="V95" i="5"/>
  <c r="W120" i="36"/>
  <c r="J171" i="36" l="1"/>
  <c r="J177" i="36" s="1"/>
  <c r="Z68" i="32" s="1"/>
  <c r="J102" i="36"/>
  <c r="N45" i="41"/>
  <c r="J103" i="36"/>
  <c r="N46" i="41"/>
  <c r="N44" i="41"/>
  <c r="J101" i="36"/>
  <c r="U97" i="5"/>
  <c r="T107" i="5"/>
  <c r="V105" i="5"/>
  <c r="W95" i="5"/>
  <c r="V96" i="5"/>
  <c r="U106" i="5"/>
  <c r="S108" i="5"/>
  <c r="T98" i="5"/>
  <c r="AE70" i="5"/>
  <c r="AE81" i="5" s="1"/>
  <c r="AD81" i="5"/>
  <c r="S109" i="5"/>
  <c r="T99" i="5"/>
  <c r="AE94" i="5"/>
  <c r="AE104" i="5" s="1"/>
  <c r="AD104" i="5"/>
  <c r="U9" i="6"/>
  <c r="AB9" i="6"/>
  <c r="X9" i="6"/>
  <c r="T9" i="6"/>
  <c r="P9" i="6"/>
  <c r="X120" i="36"/>
  <c r="Q9" i="6"/>
  <c r="O9" i="6"/>
  <c r="N71" i="5" s="1"/>
  <c r="AA9" i="6"/>
  <c r="W9" i="6"/>
  <c r="S9" i="6"/>
  <c r="Y9" i="6"/>
  <c r="AD9" i="6"/>
  <c r="Z9" i="6"/>
  <c r="V9" i="6"/>
  <c r="R9" i="6"/>
  <c r="I33" i="32" s="1"/>
  <c r="AC9" i="6"/>
  <c r="J181" i="36" l="1"/>
  <c r="Z72" i="32" s="1"/>
  <c r="J180" i="36"/>
  <c r="Z71" i="32" s="1"/>
  <c r="J179" i="36"/>
  <c r="Z70" i="32" s="1"/>
  <c r="J527" i="36"/>
  <c r="J524" i="36" s="1"/>
  <c r="J114" i="36"/>
  <c r="J175" i="36"/>
  <c r="J176" i="36"/>
  <c r="Z67" i="32" s="1"/>
  <c r="J558" i="36"/>
  <c r="J555" i="36" s="1"/>
  <c r="J115" i="36"/>
  <c r="J178" i="36"/>
  <c r="Z69" i="32" s="1"/>
  <c r="N49" i="41"/>
  <c r="N54" i="41" s="1"/>
  <c r="J113" i="36"/>
  <c r="J496" i="36"/>
  <c r="J493" i="36" s="1"/>
  <c r="N82" i="5"/>
  <c r="O71" i="5"/>
  <c r="V106" i="5"/>
  <c r="W96" i="5"/>
  <c r="U107" i="5"/>
  <c r="V97" i="5"/>
  <c r="T109" i="5"/>
  <c r="U99" i="5"/>
  <c r="U98" i="5"/>
  <c r="T108" i="5"/>
  <c r="W105" i="5"/>
  <c r="X95" i="5"/>
  <c r="Y120" i="36"/>
  <c r="Z66" i="32" l="1"/>
  <c r="J182" i="36"/>
  <c r="J214" i="36"/>
  <c r="J215" i="36" s="1"/>
  <c r="J118" i="36"/>
  <c r="J123" i="36" s="1"/>
  <c r="J134" i="36" s="1"/>
  <c r="J147" i="36" s="1"/>
  <c r="N57" i="41"/>
  <c r="N53" i="41"/>
  <c r="N55" i="41"/>
  <c r="N56" i="41"/>
  <c r="N58" i="41"/>
  <c r="X105" i="5"/>
  <c r="Y95" i="5"/>
  <c r="W106" i="5"/>
  <c r="X96" i="5"/>
  <c r="V107" i="5"/>
  <c r="W97" i="5"/>
  <c r="P71" i="5"/>
  <c r="O82" i="5"/>
  <c r="V99" i="5"/>
  <c r="U109" i="5"/>
  <c r="U108" i="5"/>
  <c r="V98" i="5"/>
  <c r="Z10" i="6"/>
  <c r="AC10" i="6"/>
  <c r="Y10" i="6"/>
  <c r="U10" i="6"/>
  <c r="Q10" i="6"/>
  <c r="O10" i="6"/>
  <c r="N72" i="5" s="1"/>
  <c r="R10" i="6"/>
  <c r="I34" i="32" s="1"/>
  <c r="AB10" i="6"/>
  <c r="X10" i="6"/>
  <c r="T10" i="6"/>
  <c r="P10" i="6"/>
  <c r="Z120" i="36"/>
  <c r="V10" i="6"/>
  <c r="AA10" i="6"/>
  <c r="W10" i="6"/>
  <c r="S10" i="6"/>
  <c r="J229" i="36" l="1"/>
  <c r="J217" i="36"/>
  <c r="J232" i="36"/>
  <c r="J231" i="36"/>
  <c r="J235" i="36"/>
  <c r="J230" i="36"/>
  <c r="J223" i="36"/>
  <c r="J219" i="36"/>
  <c r="J222" i="36"/>
  <c r="J234" i="36"/>
  <c r="J233" i="36"/>
  <c r="J221" i="36"/>
  <c r="J218" i="36"/>
  <c r="Y64" i="32"/>
  <c r="J138" i="36"/>
  <c r="J151" i="36" s="1"/>
  <c r="J135" i="36"/>
  <c r="J148" i="36" s="1"/>
  <c r="J133" i="36"/>
  <c r="J146" i="36" s="1"/>
  <c r="J136" i="36"/>
  <c r="J149" i="36" s="1"/>
  <c r="J137" i="36"/>
  <c r="J150" i="36" s="1"/>
  <c r="J132" i="36"/>
  <c r="V109" i="5"/>
  <c r="W99" i="5"/>
  <c r="W98" i="5"/>
  <c r="V108" i="5"/>
  <c r="Y105" i="5"/>
  <c r="Z95" i="5"/>
  <c r="N83" i="5"/>
  <c r="O72" i="5"/>
  <c r="X97" i="5"/>
  <c r="W107" i="5"/>
  <c r="X106" i="5"/>
  <c r="Y96" i="5"/>
  <c r="Q71" i="5"/>
  <c r="P82" i="5"/>
  <c r="T11" i="6"/>
  <c r="AA120" i="36"/>
  <c r="O11" i="6"/>
  <c r="N73" i="5" s="1"/>
  <c r="V11" i="6"/>
  <c r="Q11" i="6"/>
  <c r="Y11" i="6"/>
  <c r="AB11" i="6"/>
  <c r="X11" i="6"/>
  <c r="AA11" i="6"/>
  <c r="W11" i="6"/>
  <c r="P11" i="6"/>
  <c r="S11" i="6"/>
  <c r="R11" i="6"/>
  <c r="I35" i="32" s="1"/>
  <c r="Z11" i="6"/>
  <c r="U11" i="6"/>
  <c r="AC11" i="6"/>
  <c r="AB120" i="36"/>
  <c r="J239" i="36" l="1"/>
  <c r="J240" i="36" s="1"/>
  <c r="J139" i="36"/>
  <c r="J141" i="36" s="1"/>
  <c r="J145" i="36"/>
  <c r="X107" i="5"/>
  <c r="Y97" i="5"/>
  <c r="P72" i="5"/>
  <c r="O83" i="5"/>
  <c r="Q82" i="5"/>
  <c r="R71" i="5"/>
  <c r="Z96" i="5"/>
  <c r="Y106" i="5"/>
  <c r="O73" i="5"/>
  <c r="N84" i="5"/>
  <c r="Z105" i="5"/>
  <c r="AA95" i="5"/>
  <c r="X98" i="5"/>
  <c r="W108" i="5"/>
  <c r="W109" i="5"/>
  <c r="X99" i="5"/>
  <c r="Q12" i="6"/>
  <c r="W12" i="6"/>
  <c r="AB12" i="6"/>
  <c r="T12" i="6"/>
  <c r="V12" i="6"/>
  <c r="AC12" i="6"/>
  <c r="U12" i="6"/>
  <c r="Z12" i="6"/>
  <c r="R12" i="6"/>
  <c r="I36" i="32" s="1"/>
  <c r="Y12" i="6"/>
  <c r="O12" i="6"/>
  <c r="N74" i="5" s="1"/>
  <c r="AA12" i="6"/>
  <c r="S12" i="6"/>
  <c r="X12" i="6"/>
  <c r="P12" i="6"/>
  <c r="J242" i="36" l="1"/>
  <c r="J243" i="36"/>
  <c r="J259" i="36"/>
  <c r="J254" i="36"/>
  <c r="J244" i="36"/>
  <c r="J260" i="36"/>
  <c r="J245" i="36"/>
  <c r="J258" i="36"/>
  <c r="J247" i="36"/>
  <c r="J246" i="36"/>
  <c r="J255" i="36"/>
  <c r="J257" i="36"/>
  <c r="J256" i="36"/>
  <c r="J152" i="36"/>
  <c r="J195" i="36"/>
  <c r="J205" i="36" s="1"/>
  <c r="J193" i="36"/>
  <c r="J203" i="36" s="1"/>
  <c r="J194" i="36"/>
  <c r="J204" i="36" s="1"/>
  <c r="J191" i="36"/>
  <c r="J201" i="36" s="1"/>
  <c r="J196" i="36"/>
  <c r="J206" i="36" s="1"/>
  <c r="J190" i="36"/>
  <c r="J192" i="36"/>
  <c r="J202" i="36" s="1"/>
  <c r="AB95" i="5"/>
  <c r="AA105" i="5"/>
  <c r="X108" i="5"/>
  <c r="Y98" i="5"/>
  <c r="P73" i="5"/>
  <c r="O84" i="5"/>
  <c r="Z106" i="5"/>
  <c r="AA96" i="5"/>
  <c r="P83" i="5"/>
  <c r="Q72" i="5"/>
  <c r="O74" i="5"/>
  <c r="N85" i="5"/>
  <c r="X109" i="5"/>
  <c r="Y99" i="5"/>
  <c r="R82" i="5"/>
  <c r="S71" i="5"/>
  <c r="Y107" i="5"/>
  <c r="Z97" i="5"/>
  <c r="W13" i="6"/>
  <c r="O13" i="6"/>
  <c r="N75" i="5" s="1"/>
  <c r="V13" i="6"/>
  <c r="Q13" i="6"/>
  <c r="Y13" i="6"/>
  <c r="AB13" i="6"/>
  <c r="X13" i="6"/>
  <c r="S13" i="6"/>
  <c r="AA13" i="6"/>
  <c r="T13" i="6"/>
  <c r="P13" i="6"/>
  <c r="R13" i="6"/>
  <c r="I37" i="32" s="1"/>
  <c r="Z13" i="6"/>
  <c r="U13" i="6"/>
  <c r="AC13" i="6"/>
  <c r="J264" i="36" l="1"/>
  <c r="J265" i="36" s="1"/>
  <c r="J197" i="36"/>
  <c r="J209" i="36" s="1"/>
  <c r="J220" i="36" s="1"/>
  <c r="J224" i="36" s="1"/>
  <c r="J226" i="36" s="1"/>
  <c r="J248" i="36" s="1"/>
  <c r="J249" i="36" s="1"/>
  <c r="J251" i="36" s="1"/>
  <c r="J200" i="36"/>
  <c r="J207" i="36" s="1"/>
  <c r="R72" i="5"/>
  <c r="Q83" i="5"/>
  <c r="Y109" i="5"/>
  <c r="Z99" i="5"/>
  <c r="P84" i="5"/>
  <c r="Q73" i="5"/>
  <c r="N86" i="5"/>
  <c r="O75" i="5"/>
  <c r="AA106" i="5"/>
  <c r="AB96" i="5"/>
  <c r="Z98" i="5"/>
  <c r="Y108" i="5"/>
  <c r="Z107" i="5"/>
  <c r="AA97" i="5"/>
  <c r="O85" i="5"/>
  <c r="P74" i="5"/>
  <c r="T71" i="5"/>
  <c r="S82" i="5"/>
  <c r="AB105" i="5"/>
  <c r="AC95" i="5"/>
  <c r="Y14" i="6"/>
  <c r="O14" i="6"/>
  <c r="N76" i="5" s="1"/>
  <c r="W14" i="6"/>
  <c r="AB14" i="6"/>
  <c r="T14" i="6"/>
  <c r="U14" i="6"/>
  <c r="Z14" i="6"/>
  <c r="R14" i="6"/>
  <c r="I38" i="32" s="1"/>
  <c r="AC14" i="6"/>
  <c r="AA14" i="6"/>
  <c r="S14" i="6"/>
  <c r="X14" i="6"/>
  <c r="P14" i="6"/>
  <c r="Q14" i="6"/>
  <c r="V14" i="6"/>
  <c r="J268" i="36" l="1"/>
  <c r="J281" i="36"/>
  <c r="J272" i="36"/>
  <c r="J280" i="36"/>
  <c r="J273" i="36"/>
  <c r="J285" i="36"/>
  <c r="J282" i="36"/>
  <c r="J271" i="36"/>
  <c r="J269" i="36"/>
  <c r="J283" i="36"/>
  <c r="J279" i="36"/>
  <c r="J267" i="36"/>
  <c r="J284" i="36"/>
  <c r="J270" i="36"/>
  <c r="AD95" i="5"/>
  <c r="AC105" i="5"/>
  <c r="O76" i="5"/>
  <c r="N87" i="5"/>
  <c r="Q74" i="5"/>
  <c r="P85" i="5"/>
  <c r="AA98" i="5"/>
  <c r="Z108" i="5"/>
  <c r="O86" i="5"/>
  <c r="P75" i="5"/>
  <c r="R73" i="5"/>
  <c r="Q84" i="5"/>
  <c r="AA99" i="5"/>
  <c r="Z109" i="5"/>
  <c r="T82" i="5"/>
  <c r="U71" i="5"/>
  <c r="AB97" i="5"/>
  <c r="AA107" i="5"/>
  <c r="AC96" i="5"/>
  <c r="AB106" i="5"/>
  <c r="S72" i="5"/>
  <c r="R83" i="5"/>
  <c r="J274" i="36" l="1"/>
  <c r="J276" i="36" s="1"/>
  <c r="J289" i="36"/>
  <c r="J290" i="36" s="1"/>
  <c r="AD96" i="5"/>
  <c r="AC106" i="5"/>
  <c r="AA109" i="5"/>
  <c r="AB99" i="5"/>
  <c r="Q85" i="5"/>
  <c r="R74" i="5"/>
  <c r="U82" i="5"/>
  <c r="V71" i="5"/>
  <c r="Q75" i="5"/>
  <c r="P86" i="5"/>
  <c r="S83" i="5"/>
  <c r="T72" i="5"/>
  <c r="AC97" i="5"/>
  <c r="AB107" i="5"/>
  <c r="S73" i="5"/>
  <c r="R84" i="5"/>
  <c r="AB98" i="5"/>
  <c r="AA108" i="5"/>
  <c r="P76" i="5"/>
  <c r="O87" i="5"/>
  <c r="AE95" i="5"/>
  <c r="AE105" i="5" s="1"/>
  <c r="AD105" i="5"/>
  <c r="J296" i="36" l="1"/>
  <c r="J297" i="36"/>
  <c r="J307" i="36"/>
  <c r="J306" i="36"/>
  <c r="J309" i="36"/>
  <c r="J305" i="36"/>
  <c r="J308" i="36"/>
  <c r="J295" i="36"/>
  <c r="J298" i="36"/>
  <c r="J294" i="36"/>
  <c r="J292" i="36"/>
  <c r="J304" i="36"/>
  <c r="J310" i="36"/>
  <c r="J293" i="36"/>
  <c r="P87" i="5"/>
  <c r="Q76" i="5"/>
  <c r="S84" i="5"/>
  <c r="T73" i="5"/>
  <c r="W71" i="5"/>
  <c r="V82" i="5"/>
  <c r="R75" i="5"/>
  <c r="Q86" i="5"/>
  <c r="AC99" i="5"/>
  <c r="AB109" i="5"/>
  <c r="AC98" i="5"/>
  <c r="AB108" i="5"/>
  <c r="AD97" i="5"/>
  <c r="AC107" i="5"/>
  <c r="T83" i="5"/>
  <c r="U72" i="5"/>
  <c r="S74" i="5"/>
  <c r="R85" i="5"/>
  <c r="AE96" i="5"/>
  <c r="AE106" i="5" s="1"/>
  <c r="AD106" i="5"/>
  <c r="J314" i="36" l="1"/>
  <c r="J315" i="36" s="1"/>
  <c r="J329" i="36" s="1"/>
  <c r="J299" i="36"/>
  <c r="J301" i="36" s="1"/>
  <c r="AD98" i="5"/>
  <c r="AC108" i="5"/>
  <c r="W82" i="5"/>
  <c r="X71" i="5"/>
  <c r="R86" i="5"/>
  <c r="S75" i="5"/>
  <c r="Q87" i="5"/>
  <c r="R76" i="5"/>
  <c r="AD107" i="5"/>
  <c r="AE97" i="5"/>
  <c r="AE107" i="5" s="1"/>
  <c r="AD99" i="5"/>
  <c r="AC109" i="5"/>
  <c r="T74" i="5"/>
  <c r="S85" i="5"/>
  <c r="U83" i="5"/>
  <c r="V72" i="5"/>
  <c r="T84" i="5"/>
  <c r="U73" i="5"/>
  <c r="J334" i="36" l="1"/>
  <c r="J321" i="36"/>
  <c r="J335" i="36"/>
  <c r="J333" i="36"/>
  <c r="J317" i="36"/>
  <c r="J331" i="36"/>
  <c r="J322" i="36"/>
  <c r="J318" i="36"/>
  <c r="J330" i="36"/>
  <c r="J323" i="36"/>
  <c r="J320" i="36"/>
  <c r="J332" i="36"/>
  <c r="J319" i="36"/>
  <c r="T85" i="5"/>
  <c r="U74" i="5"/>
  <c r="S76" i="5"/>
  <c r="R87" i="5"/>
  <c r="X82" i="5"/>
  <c r="Y71" i="5"/>
  <c r="V83" i="5"/>
  <c r="W72" i="5"/>
  <c r="AE99" i="5"/>
  <c r="AE109" i="5" s="1"/>
  <c r="AD109" i="5"/>
  <c r="V73" i="5"/>
  <c r="U84" i="5"/>
  <c r="T75" i="5"/>
  <c r="S86" i="5"/>
  <c r="AD108" i="5"/>
  <c r="AE98" i="5"/>
  <c r="AE108" i="5" s="1"/>
  <c r="J324" i="36" l="1"/>
  <c r="J326" i="36" s="1"/>
  <c r="J339" i="36"/>
  <c r="J340" i="36" s="1"/>
  <c r="J345" i="36" s="1"/>
  <c r="T76" i="5"/>
  <c r="S87" i="5"/>
  <c r="V84" i="5"/>
  <c r="W73" i="5"/>
  <c r="X72" i="5"/>
  <c r="W83" i="5"/>
  <c r="Y82" i="5"/>
  <c r="Z71" i="5"/>
  <c r="V74" i="5"/>
  <c r="U85" i="5"/>
  <c r="U75" i="5"/>
  <c r="T86" i="5"/>
  <c r="J348" i="36" l="1"/>
  <c r="J357" i="36"/>
  <c r="J358" i="36"/>
  <c r="J355" i="36"/>
  <c r="J346" i="36"/>
  <c r="J360" i="36"/>
  <c r="J347" i="36"/>
  <c r="J354" i="36"/>
  <c r="J342" i="36"/>
  <c r="J356" i="36"/>
  <c r="J359" i="36"/>
  <c r="J343" i="36"/>
  <c r="J344" i="36"/>
  <c r="V75" i="5"/>
  <c r="U86" i="5"/>
  <c r="X73" i="5"/>
  <c r="W84" i="5"/>
  <c r="V85" i="5"/>
  <c r="W74" i="5"/>
  <c r="Y72" i="5"/>
  <c r="X83" i="5"/>
  <c r="Z82" i="5"/>
  <c r="AA71" i="5"/>
  <c r="U76" i="5"/>
  <c r="T87" i="5"/>
  <c r="J364" i="36" l="1"/>
  <c r="J365" i="36" s="1"/>
  <c r="J373" i="36" s="1"/>
  <c r="J396" i="36" s="1"/>
  <c r="J349" i="36"/>
  <c r="J351" i="36" s="1"/>
  <c r="AB71" i="5"/>
  <c r="AA82" i="5"/>
  <c r="V76" i="5"/>
  <c r="U87" i="5"/>
  <c r="Z72" i="5"/>
  <c r="Y83" i="5"/>
  <c r="W75" i="5"/>
  <c r="V86" i="5"/>
  <c r="X74" i="5"/>
  <c r="W85" i="5"/>
  <c r="X84" i="5"/>
  <c r="Y73" i="5"/>
  <c r="J371" i="36" l="1"/>
  <c r="J394" i="36" s="1"/>
  <c r="J405" i="36" s="1"/>
  <c r="AA70" i="32" s="1"/>
  <c r="J379" i="36"/>
  <c r="J372" i="36"/>
  <c r="J395" i="36" s="1"/>
  <c r="J422" i="36" s="1"/>
  <c r="J585" i="36" s="1"/>
  <c r="J592" i="36" s="1"/>
  <c r="J594" i="36" s="1"/>
  <c r="J600" i="36" s="1"/>
  <c r="J385" i="36"/>
  <c r="J381" i="36"/>
  <c r="J383" i="36"/>
  <c r="J367" i="36"/>
  <c r="J390" i="36" s="1"/>
  <c r="J417" i="36" s="1"/>
  <c r="J429" i="36" s="1"/>
  <c r="J436" i="36" s="1"/>
  <c r="J439" i="36" s="1"/>
  <c r="J446" i="36" s="1"/>
  <c r="J370" i="36"/>
  <c r="J393" i="36" s="1"/>
  <c r="J368" i="36"/>
  <c r="J391" i="36" s="1"/>
  <c r="J384" i="36"/>
  <c r="J382" i="36"/>
  <c r="J380" i="36"/>
  <c r="J369" i="36"/>
  <c r="J392" i="36" s="1"/>
  <c r="J419" i="36" s="1"/>
  <c r="J492" i="36" s="1"/>
  <c r="J499" i="36" s="1"/>
  <c r="J407" i="36"/>
  <c r="AA72" i="32" s="1"/>
  <c r="J423" i="36"/>
  <c r="J616" i="36" s="1"/>
  <c r="J623" i="36" s="1"/>
  <c r="Y74" i="5"/>
  <c r="X85" i="5"/>
  <c r="V87" i="5"/>
  <c r="W76" i="5"/>
  <c r="Y84" i="5"/>
  <c r="Z73" i="5"/>
  <c r="W86" i="5"/>
  <c r="X75" i="5"/>
  <c r="AA72" i="5"/>
  <c r="Z83" i="5"/>
  <c r="AC71" i="5"/>
  <c r="AB82" i="5"/>
  <c r="J440" i="36" l="1"/>
  <c r="J447" i="36" s="1"/>
  <c r="J421" i="36"/>
  <c r="J554" i="36" s="1"/>
  <c r="J561" i="36" s="1"/>
  <c r="J564" i="36" s="1"/>
  <c r="J570" i="36" s="1"/>
  <c r="J403" i="36"/>
  <c r="AA68" i="32" s="1"/>
  <c r="J595" i="36"/>
  <c r="J406" i="36"/>
  <c r="AA71" i="32" s="1"/>
  <c r="J596" i="36"/>
  <c r="J602" i="36" s="1"/>
  <c r="J438" i="36"/>
  <c r="J445" i="36" s="1"/>
  <c r="J374" i="36"/>
  <c r="J376" i="36" s="1"/>
  <c r="J397" i="36"/>
  <c r="J401" i="36"/>
  <c r="AA66" i="32" s="1"/>
  <c r="J402" i="36"/>
  <c r="AA67" i="32" s="1"/>
  <c r="J418" i="36"/>
  <c r="J461" i="36" s="1"/>
  <c r="J468" i="36" s="1"/>
  <c r="J404" i="36"/>
  <c r="AA69" i="32" s="1"/>
  <c r="J420" i="36"/>
  <c r="J523" i="36" s="1"/>
  <c r="J530" i="36" s="1"/>
  <c r="J501" i="36"/>
  <c r="J502" i="36"/>
  <c r="J508" i="36" s="1"/>
  <c r="J503" i="36"/>
  <c r="J509" i="36" s="1"/>
  <c r="J627" i="36"/>
  <c r="J633" i="36" s="1"/>
  <c r="J625" i="36"/>
  <c r="J626" i="36"/>
  <c r="J632" i="36" s="1"/>
  <c r="S11" i="4"/>
  <c r="P82" i="36"/>
  <c r="AA82" i="36"/>
  <c r="AD11" i="4"/>
  <c r="O82" i="36"/>
  <c r="R11" i="4"/>
  <c r="R82" i="36"/>
  <c r="U11" i="4"/>
  <c r="AD71" i="5"/>
  <c r="AC82" i="5"/>
  <c r="Y85" i="5"/>
  <c r="Z74" i="5"/>
  <c r="U82" i="36"/>
  <c r="X11" i="4"/>
  <c r="W87" i="5"/>
  <c r="X76" i="5"/>
  <c r="Z82" i="36"/>
  <c r="AC11" i="4"/>
  <c r="W11" i="4"/>
  <c r="T82" i="36"/>
  <c r="AA11" i="4"/>
  <c r="X82" i="36"/>
  <c r="V11" i="4"/>
  <c r="S82" i="36"/>
  <c r="AB72" i="5"/>
  <c r="AA83" i="5"/>
  <c r="Z84" i="5"/>
  <c r="AA73" i="5"/>
  <c r="Q82" i="36"/>
  <c r="T11" i="4"/>
  <c r="Y82" i="36"/>
  <c r="AB11" i="4"/>
  <c r="Y11" i="4"/>
  <c r="V82" i="36"/>
  <c r="Z11" i="4"/>
  <c r="W82" i="36"/>
  <c r="X86" i="5"/>
  <c r="Y75" i="5"/>
  <c r="J563" i="36" l="1"/>
  <c r="J569" i="36" s="1"/>
  <c r="J565" i="36"/>
  <c r="J571" i="36" s="1"/>
  <c r="J441" i="36"/>
  <c r="J449" i="36" s="1"/>
  <c r="J450" i="36" s="1"/>
  <c r="J455" i="36" s="1"/>
  <c r="J666" i="36" s="1"/>
  <c r="J601" i="36"/>
  <c r="J599" i="36" s="1"/>
  <c r="J597" i="36"/>
  <c r="J604" i="36" s="1"/>
  <c r="J605" i="36" s="1"/>
  <c r="J610" i="36" s="1"/>
  <c r="J671" i="36" s="1"/>
  <c r="J719" i="36" s="1"/>
  <c r="J470" i="36"/>
  <c r="J471" i="36"/>
  <c r="J477" i="36" s="1"/>
  <c r="J472" i="36"/>
  <c r="J478" i="36" s="1"/>
  <c r="J533" i="36"/>
  <c r="J539" i="36" s="1"/>
  <c r="J532" i="36"/>
  <c r="J534" i="36"/>
  <c r="J540" i="36" s="1"/>
  <c r="J631" i="36"/>
  <c r="J630" i="36" s="1"/>
  <c r="J628" i="36"/>
  <c r="J635" i="36" s="1"/>
  <c r="J504" i="36"/>
  <c r="J511" i="36" s="1"/>
  <c r="J507" i="36"/>
  <c r="J506" i="36" s="1"/>
  <c r="J444" i="36"/>
  <c r="AD82" i="5"/>
  <c r="AE71" i="5"/>
  <c r="AE82" i="5" s="1"/>
  <c r="AB83" i="5"/>
  <c r="AC72" i="5"/>
  <c r="Y86" i="5"/>
  <c r="Z75" i="5"/>
  <c r="X87" i="5"/>
  <c r="Y76" i="5"/>
  <c r="Z85" i="5"/>
  <c r="AA74" i="5"/>
  <c r="AA84" i="5"/>
  <c r="AB73" i="5"/>
  <c r="J566" i="36" l="1"/>
  <c r="J573" i="36" s="1"/>
  <c r="J574" i="36" s="1"/>
  <c r="J575" i="36" s="1"/>
  <c r="J580" i="36" s="1"/>
  <c r="J681" i="36" s="1"/>
  <c r="J730" i="36" s="1"/>
  <c r="J568" i="36"/>
  <c r="J606" i="36"/>
  <c r="J611" i="36" s="1"/>
  <c r="J682" i="36" s="1"/>
  <c r="J731" i="36" s="1"/>
  <c r="J636" i="36"/>
  <c r="J641" i="36" s="1"/>
  <c r="J672" i="36" s="1"/>
  <c r="J720" i="36" s="1"/>
  <c r="J535" i="36"/>
  <c r="J542" i="36" s="1"/>
  <c r="J538" i="36"/>
  <c r="J537" i="36" s="1"/>
  <c r="J473" i="36"/>
  <c r="J480" i="36" s="1"/>
  <c r="J476" i="36"/>
  <c r="J475" i="36" s="1"/>
  <c r="J512" i="36"/>
  <c r="J517" i="36" s="1"/>
  <c r="J668" i="36" s="1"/>
  <c r="J716" i="36" s="1"/>
  <c r="J451" i="36"/>
  <c r="J456" i="36" s="1"/>
  <c r="J677" i="36" s="1"/>
  <c r="J726" i="36" s="1"/>
  <c r="AB74" i="5"/>
  <c r="AA85" i="5"/>
  <c r="AA75" i="5"/>
  <c r="Z86" i="5"/>
  <c r="AC73" i="5"/>
  <c r="AB84" i="5"/>
  <c r="Y87" i="5"/>
  <c r="Z76" i="5"/>
  <c r="AC83" i="5"/>
  <c r="AD72" i="5"/>
  <c r="J576" i="36" l="1"/>
  <c r="J581" i="36" s="1"/>
  <c r="J692" i="36" s="1"/>
  <c r="J742" i="36" s="1"/>
  <c r="J579" i="36"/>
  <c r="J670" i="36" s="1"/>
  <c r="J718" i="36" s="1"/>
  <c r="J607" i="36"/>
  <c r="J612" i="36" s="1"/>
  <c r="J693" i="36" s="1"/>
  <c r="J743" i="36" s="1"/>
  <c r="J513" i="36"/>
  <c r="J518" i="36" s="1"/>
  <c r="J679" i="36" s="1"/>
  <c r="J728" i="36" s="1"/>
  <c r="J637" i="36"/>
  <c r="J481" i="36"/>
  <c r="J486" i="36" s="1"/>
  <c r="J667" i="36" s="1"/>
  <c r="J543" i="36"/>
  <c r="J452" i="36"/>
  <c r="J457" i="36" s="1"/>
  <c r="J688" i="36" s="1"/>
  <c r="J700" i="36" s="1"/>
  <c r="AB75" i="5"/>
  <c r="AA86" i="5"/>
  <c r="AD73" i="5"/>
  <c r="AC84" i="5"/>
  <c r="AA76" i="5"/>
  <c r="Z87" i="5"/>
  <c r="AE72" i="5"/>
  <c r="AE83" i="5" s="1"/>
  <c r="AD83" i="5"/>
  <c r="AC74" i="5"/>
  <c r="AB85" i="5"/>
  <c r="J704" i="36" l="1"/>
  <c r="M49" i="4" s="1"/>
  <c r="N46" i="4" s="1"/>
  <c r="N48" i="4" s="1"/>
  <c r="N42" i="5" s="1"/>
  <c r="J705" i="36"/>
  <c r="K9" i="40" s="1"/>
  <c r="J514" i="36"/>
  <c r="J519" i="36" s="1"/>
  <c r="J690" i="36" s="1"/>
  <c r="J740" i="36" s="1"/>
  <c r="J642" i="36"/>
  <c r="J683" i="36" s="1"/>
  <c r="J732" i="36" s="1"/>
  <c r="J638" i="36"/>
  <c r="J643" i="36" s="1"/>
  <c r="J694" i="36" s="1"/>
  <c r="J548" i="36"/>
  <c r="J669" i="36" s="1"/>
  <c r="J717" i="36" s="1"/>
  <c r="J482" i="36"/>
  <c r="J738" i="36"/>
  <c r="J544" i="36"/>
  <c r="J549" i="36" s="1"/>
  <c r="J680" i="36" s="1"/>
  <c r="J729" i="36" s="1"/>
  <c r="J715" i="36"/>
  <c r="M9" i="4"/>
  <c r="N7" i="4" s="1"/>
  <c r="J752" i="36"/>
  <c r="K4" i="40"/>
  <c r="AA87" i="5"/>
  <c r="AB76" i="5"/>
  <c r="AE73" i="5"/>
  <c r="AE84" i="5" s="1"/>
  <c r="AD84" i="5"/>
  <c r="AD74" i="5"/>
  <c r="AC85" i="5"/>
  <c r="AB86" i="5"/>
  <c r="AC75" i="5"/>
  <c r="N40" i="5" l="1"/>
  <c r="K42" i="36" s="1"/>
  <c r="N47" i="4"/>
  <c r="K8" i="40"/>
  <c r="J756" i="36"/>
  <c r="N50" i="4"/>
  <c r="N44" i="5" s="1"/>
  <c r="N52" i="4"/>
  <c r="M61" i="4"/>
  <c r="N58" i="4" s="1"/>
  <c r="N60" i="4" s="1"/>
  <c r="N52" i="5" s="1"/>
  <c r="J757" i="36"/>
  <c r="J702" i="36"/>
  <c r="M28" i="4" s="1"/>
  <c r="N24" i="4" s="1"/>
  <c r="N26" i="4" s="1"/>
  <c r="J663" i="36"/>
  <c r="J706" i="36"/>
  <c r="J744" i="36"/>
  <c r="J487" i="36"/>
  <c r="J678" i="36" s="1"/>
  <c r="J727" i="36" s="1"/>
  <c r="J483" i="36"/>
  <c r="J488" i="36" s="1"/>
  <c r="J689" i="36" s="1"/>
  <c r="J545" i="36"/>
  <c r="J550" i="36" s="1"/>
  <c r="J691" i="36" s="1"/>
  <c r="N5" i="5"/>
  <c r="N8" i="4"/>
  <c r="N10" i="4"/>
  <c r="N7" i="5" s="1"/>
  <c r="N8" i="5" s="1"/>
  <c r="K28" i="36"/>
  <c r="K556" i="36" s="1"/>
  <c r="N43" i="5"/>
  <c r="AB87" i="5"/>
  <c r="AC76" i="5"/>
  <c r="AC86" i="5"/>
  <c r="AD75" i="5"/>
  <c r="AE74" i="5"/>
  <c r="AE85" i="5" s="1"/>
  <c r="AD85" i="5"/>
  <c r="N41" i="5" l="1"/>
  <c r="K14" i="36" s="1"/>
  <c r="K557" i="36" s="1"/>
  <c r="N51" i="4"/>
  <c r="N45" i="5" s="1"/>
  <c r="N50" i="5"/>
  <c r="N51" i="5" s="1"/>
  <c r="K15" i="36" s="1"/>
  <c r="K588" i="36" s="1"/>
  <c r="N62" i="4"/>
  <c r="N63" i="4" s="1"/>
  <c r="N55" i="5" s="1"/>
  <c r="N32" i="41"/>
  <c r="N64" i="4"/>
  <c r="N59" i="4"/>
  <c r="N27" i="4"/>
  <c r="N24" i="5" s="1"/>
  <c r="K26" i="36" s="1"/>
  <c r="K494" i="36" s="1"/>
  <c r="K6" i="40"/>
  <c r="N31" i="4"/>
  <c r="N29" i="4"/>
  <c r="N30" i="4" s="1"/>
  <c r="N27" i="5" s="1"/>
  <c r="N22" i="5"/>
  <c r="N23" i="5" s="1"/>
  <c r="K12" i="36" s="1"/>
  <c r="K495" i="36" s="1"/>
  <c r="N29" i="41"/>
  <c r="J754" i="36"/>
  <c r="K10" i="40"/>
  <c r="J758" i="36"/>
  <c r="M72" i="4"/>
  <c r="N69" i="4" s="1"/>
  <c r="J741" i="36"/>
  <c r="J703" i="36"/>
  <c r="J701" i="36"/>
  <c r="J739" i="36"/>
  <c r="N53" i="5"/>
  <c r="K29" i="36"/>
  <c r="K587" i="36" s="1"/>
  <c r="K73" i="36"/>
  <c r="K53" i="36"/>
  <c r="K90" i="36" s="1"/>
  <c r="L19" i="40"/>
  <c r="N6" i="5"/>
  <c r="K10" i="36" s="1"/>
  <c r="K432" i="36" s="1"/>
  <c r="N9" i="5"/>
  <c r="K38" i="36"/>
  <c r="AD86" i="5"/>
  <c r="AE75" i="5"/>
  <c r="AE86" i="5" s="1"/>
  <c r="AD76" i="5"/>
  <c r="AC87" i="5"/>
  <c r="N54" i="5" l="1"/>
  <c r="K43" i="36"/>
  <c r="K54" i="36" s="1"/>
  <c r="K91" i="36" s="1"/>
  <c r="K40" i="36"/>
  <c r="K71" i="36" s="1"/>
  <c r="N25" i="5"/>
  <c r="N26" i="5"/>
  <c r="N70" i="4"/>
  <c r="N75" i="4"/>
  <c r="N73" i="4"/>
  <c r="N33" i="41"/>
  <c r="N60" i="5"/>
  <c r="N71" i="4"/>
  <c r="N62" i="5" s="1"/>
  <c r="K7" i="40"/>
  <c r="M39" i="4"/>
  <c r="N35" i="4" s="1"/>
  <c r="J755" i="36"/>
  <c r="K5" i="40"/>
  <c r="M17" i="4"/>
  <c r="N14" i="4" s="1"/>
  <c r="J753" i="36"/>
  <c r="O46" i="41"/>
  <c r="K103" i="36"/>
  <c r="L31" i="40"/>
  <c r="K158" i="36"/>
  <c r="K168" i="36" s="1"/>
  <c r="K69" i="36"/>
  <c r="L15" i="40"/>
  <c r="K49" i="36"/>
  <c r="K81" i="36" s="1"/>
  <c r="K83" i="36" s="1"/>
  <c r="K99" i="36" s="1"/>
  <c r="AE76" i="5"/>
  <c r="AE87" i="5" s="1"/>
  <c r="AD87" i="5"/>
  <c r="K74" i="36" l="1"/>
  <c r="K159" i="36" s="1"/>
  <c r="K169" i="36" s="1"/>
  <c r="L20" i="40"/>
  <c r="K51" i="36"/>
  <c r="K88" i="36" s="1"/>
  <c r="K101" i="36" s="1"/>
  <c r="L17" i="40"/>
  <c r="N74" i="4"/>
  <c r="N65" i="5" s="1"/>
  <c r="N64" i="5"/>
  <c r="N63" i="5"/>
  <c r="K30" i="36"/>
  <c r="K618" i="36" s="1"/>
  <c r="K44" i="36"/>
  <c r="N61" i="5"/>
  <c r="K16" i="36" s="1"/>
  <c r="K619" i="36" s="1"/>
  <c r="N38" i="4"/>
  <c r="N33" i="5" s="1"/>
  <c r="N40" i="4"/>
  <c r="N31" i="5"/>
  <c r="N37" i="4"/>
  <c r="N31" i="41"/>
  <c r="N30" i="41"/>
  <c r="N42" i="4"/>
  <c r="N20" i="4"/>
  <c r="N16" i="4"/>
  <c r="N15" i="5" s="1"/>
  <c r="N13" i="5"/>
  <c r="N18" i="4"/>
  <c r="N28" i="41"/>
  <c r="N15" i="4"/>
  <c r="K156" i="36"/>
  <c r="K166" i="36" s="1"/>
  <c r="L29" i="40"/>
  <c r="K111" i="36"/>
  <c r="K433" i="36"/>
  <c r="K430" i="36" s="1"/>
  <c r="K104" i="36"/>
  <c r="O47" i="41"/>
  <c r="L27" i="40"/>
  <c r="K154" i="36"/>
  <c r="K164" i="36" s="1"/>
  <c r="K115" i="36"/>
  <c r="K558" i="36"/>
  <c r="K555" i="36" s="1"/>
  <c r="L32" i="40" l="1"/>
  <c r="O44" i="41"/>
  <c r="L21" i="40"/>
  <c r="K55" i="36"/>
  <c r="K92" i="36" s="1"/>
  <c r="K75" i="36"/>
  <c r="N17" i="5"/>
  <c r="N19" i="4"/>
  <c r="N18" i="5" s="1"/>
  <c r="N32" i="5"/>
  <c r="K13" i="36" s="1"/>
  <c r="K526" i="36" s="1"/>
  <c r="K41" i="36"/>
  <c r="K39" i="36"/>
  <c r="N14" i="5"/>
  <c r="K11" i="36" s="1"/>
  <c r="K464" i="36" s="1"/>
  <c r="N35" i="5"/>
  <c r="N41" i="4"/>
  <c r="N36" i="5" s="1"/>
  <c r="N16" i="5"/>
  <c r="K25" i="36"/>
  <c r="K463" i="36" s="1"/>
  <c r="N34" i="5"/>
  <c r="K27" i="36"/>
  <c r="K525" i="36" s="1"/>
  <c r="K496" i="36"/>
  <c r="K493" i="36" s="1"/>
  <c r="K113" i="36"/>
  <c r="K589" i="36"/>
  <c r="K586" i="36" s="1"/>
  <c r="K116" i="36"/>
  <c r="L33" i="40" l="1"/>
  <c r="K160" i="36"/>
  <c r="K170" i="36" s="1"/>
  <c r="K105" i="36"/>
  <c r="O48" i="41"/>
  <c r="L16" i="40"/>
  <c r="K50" i="36"/>
  <c r="K87" i="36" s="1"/>
  <c r="K70" i="36"/>
  <c r="K52" i="36"/>
  <c r="K89" i="36" s="1"/>
  <c r="K72" i="36"/>
  <c r="L18" i="40"/>
  <c r="K620" i="36" l="1"/>
  <c r="K617" i="36" s="1"/>
  <c r="K117" i="36"/>
  <c r="O45" i="41"/>
  <c r="K102" i="36"/>
  <c r="K155" i="36"/>
  <c r="K165" i="36" s="1"/>
  <c r="L28" i="40"/>
  <c r="K100" i="36"/>
  <c r="O43" i="41"/>
  <c r="K157" i="36"/>
  <c r="K167" i="36" s="1"/>
  <c r="L30" i="40"/>
  <c r="K112" i="36" l="1"/>
  <c r="K465" i="36"/>
  <c r="K462" i="36" s="1"/>
  <c r="K171" i="36"/>
  <c r="K176" i="36" s="1"/>
  <c r="O49" i="41"/>
  <c r="O53" i="41" s="1"/>
  <c r="K527" i="36"/>
  <c r="K524" i="36" s="1"/>
  <c r="K114" i="36"/>
  <c r="O55" i="41" l="1"/>
  <c r="K178" i="36"/>
  <c r="K179" i="36"/>
  <c r="K175" i="36"/>
  <c r="K177" i="36"/>
  <c r="K180" i="36"/>
  <c r="K181" i="36"/>
  <c r="O57" i="41"/>
  <c r="O54" i="41"/>
  <c r="O56" i="41"/>
  <c r="O58" i="41"/>
  <c r="K118" i="36"/>
  <c r="K123" i="36" s="1"/>
  <c r="K133" i="36" s="1"/>
  <c r="K146" i="36" s="1"/>
  <c r="K135" i="36" l="1"/>
  <c r="K148" i="36" s="1"/>
  <c r="K137" i="36"/>
  <c r="K150" i="36" s="1"/>
  <c r="K138" i="36"/>
  <c r="K151" i="36" s="1"/>
  <c r="K132" i="36"/>
  <c r="K136" i="36"/>
  <c r="K149" i="36" s="1"/>
  <c r="K134" i="36"/>
  <c r="K147" i="36" s="1"/>
  <c r="K182" i="36"/>
  <c r="K214" i="36"/>
  <c r="K215" i="36" s="1"/>
  <c r="K233" i="36" l="1"/>
  <c r="K230" i="36"/>
  <c r="K231" i="36"/>
  <c r="K235" i="36"/>
  <c r="K222" i="36"/>
  <c r="K223" i="36"/>
  <c r="K218" i="36"/>
  <c r="K234" i="36"/>
  <c r="K229" i="36"/>
  <c r="K221" i="36"/>
  <c r="K219" i="36"/>
  <c r="K217" i="36"/>
  <c r="K232" i="36"/>
  <c r="K139" i="36"/>
  <c r="K141" i="36" s="1"/>
  <c r="K145" i="36"/>
  <c r="K239" i="36" l="1"/>
  <c r="K240" i="36" s="1"/>
  <c r="K152" i="36"/>
  <c r="K196" i="36"/>
  <c r="K206" i="36" s="1"/>
  <c r="K193" i="36"/>
  <c r="K203" i="36" s="1"/>
  <c r="K195" i="36"/>
  <c r="K205" i="36" s="1"/>
  <c r="K192" i="36"/>
  <c r="K202" i="36" s="1"/>
  <c r="K191" i="36"/>
  <c r="K201" i="36" s="1"/>
  <c r="K190" i="36"/>
  <c r="K194" i="36"/>
  <c r="K204" i="36" s="1"/>
  <c r="K197" i="36" l="1"/>
  <c r="K209" i="36" s="1"/>
  <c r="K220" i="36" s="1"/>
  <c r="K224" i="36" s="1"/>
  <c r="K226" i="36" s="1"/>
  <c r="K246" i="36" s="1"/>
  <c r="K258" i="36"/>
  <c r="K260" i="36"/>
  <c r="K243" i="36"/>
  <c r="K242" i="36"/>
  <c r="K257" i="36"/>
  <c r="K255" i="36"/>
  <c r="K247" i="36"/>
  <c r="K248" i="36"/>
  <c r="K244" i="36"/>
  <c r="K259" i="36"/>
  <c r="K254" i="36"/>
  <c r="K245" i="36"/>
  <c r="K256" i="36"/>
  <c r="K200" i="36"/>
  <c r="K207" i="36" s="1"/>
  <c r="K249" i="36" l="1"/>
  <c r="K251" i="36" s="1"/>
  <c r="K264" i="36"/>
  <c r="K265" i="36" s="1"/>
  <c r="K272" i="36" l="1"/>
  <c r="K269" i="36"/>
  <c r="K285" i="36"/>
  <c r="K267" i="36"/>
  <c r="K284" i="36"/>
  <c r="K273" i="36"/>
  <c r="K282" i="36"/>
  <c r="K283" i="36"/>
  <c r="K280" i="36"/>
  <c r="K268" i="36"/>
  <c r="K279" i="36"/>
  <c r="K281" i="36"/>
  <c r="K271" i="36"/>
  <c r="K270" i="36"/>
  <c r="K289" i="36" l="1"/>
  <c r="K290" i="36" s="1"/>
  <c r="K309" i="36" s="1"/>
  <c r="K274" i="36"/>
  <c r="K276" i="36" s="1"/>
  <c r="K298" i="36" l="1"/>
  <c r="K293" i="36"/>
  <c r="K304" i="36"/>
  <c r="K297" i="36"/>
  <c r="K306" i="36"/>
  <c r="K295" i="36"/>
  <c r="K294" i="36"/>
  <c r="K308" i="36"/>
  <c r="K296" i="36"/>
  <c r="K292" i="36"/>
  <c r="K310" i="36"/>
  <c r="K305" i="36"/>
  <c r="K307" i="36"/>
  <c r="K314" i="36" l="1"/>
  <c r="K315" i="36" s="1"/>
  <c r="K319" i="36" s="1"/>
  <c r="K299" i="36"/>
  <c r="K301" i="36" s="1"/>
  <c r="K331" i="36" l="1"/>
  <c r="K332" i="36"/>
  <c r="K322" i="36"/>
  <c r="K333" i="36"/>
  <c r="K318" i="36"/>
  <c r="K317" i="36"/>
  <c r="K334" i="36"/>
  <c r="K320" i="36"/>
  <c r="K329" i="36"/>
  <c r="K330" i="36"/>
  <c r="K335" i="36"/>
  <c r="K321" i="36"/>
  <c r="K323" i="36"/>
  <c r="K339" i="36" l="1"/>
  <c r="K340" i="36" s="1"/>
  <c r="K345" i="36" s="1"/>
  <c r="K324" i="36"/>
  <c r="K326" i="36" s="1"/>
  <c r="K354" i="36" l="1"/>
  <c r="K346" i="36"/>
  <c r="K347" i="36"/>
  <c r="K344" i="36"/>
  <c r="K357" i="36"/>
  <c r="K360" i="36"/>
  <c r="K355" i="36"/>
  <c r="K356" i="36"/>
  <c r="K348" i="36"/>
  <c r="K343" i="36"/>
  <c r="K358" i="36"/>
  <c r="K342" i="36"/>
  <c r="K359" i="36"/>
  <c r="K349" i="36" l="1"/>
  <c r="K351" i="36" s="1"/>
  <c r="K364" i="36"/>
  <c r="K365" i="36" s="1"/>
  <c r="K382" i="36" s="1"/>
  <c r="K373" i="36" l="1"/>
  <c r="K396" i="36" s="1"/>
  <c r="K407" i="36" s="1"/>
  <c r="K371" i="36"/>
  <c r="K394" i="36" s="1"/>
  <c r="K421" i="36" s="1"/>
  <c r="K554" i="36" s="1"/>
  <c r="K561" i="36" s="1"/>
  <c r="K379" i="36"/>
  <c r="K368" i="36"/>
  <c r="K391" i="36" s="1"/>
  <c r="K402" i="36" s="1"/>
  <c r="K383" i="36"/>
  <c r="K370" i="36"/>
  <c r="K393" i="36" s="1"/>
  <c r="K420" i="36" s="1"/>
  <c r="K523" i="36" s="1"/>
  <c r="K530" i="36" s="1"/>
  <c r="K372" i="36"/>
  <c r="K395" i="36" s="1"/>
  <c r="K422" i="36" s="1"/>
  <c r="K585" i="36" s="1"/>
  <c r="K592" i="36" s="1"/>
  <c r="K381" i="36"/>
  <c r="K380" i="36"/>
  <c r="K367" i="36"/>
  <c r="K390" i="36" s="1"/>
  <c r="K384" i="36"/>
  <c r="K369" i="36"/>
  <c r="K392" i="36" s="1"/>
  <c r="K419" i="36" s="1"/>
  <c r="K492" i="36" s="1"/>
  <c r="K499" i="36" s="1"/>
  <c r="K385" i="36"/>
  <c r="K405" i="36" l="1"/>
  <c r="K403" i="36"/>
  <c r="K418" i="36"/>
  <c r="K461" i="36" s="1"/>
  <c r="K468" i="36" s="1"/>
  <c r="K471" i="36" s="1"/>
  <c r="K477" i="36" s="1"/>
  <c r="K374" i="36"/>
  <c r="K376" i="36" s="1"/>
  <c r="K404" i="36"/>
  <c r="K423" i="36"/>
  <c r="K616" i="36" s="1"/>
  <c r="K623" i="36" s="1"/>
  <c r="K626" i="36" s="1"/>
  <c r="K632" i="36" s="1"/>
  <c r="K406" i="36"/>
  <c r="K417" i="36"/>
  <c r="K429" i="36" s="1"/>
  <c r="K436" i="36" s="1"/>
  <c r="K397" i="36"/>
  <c r="K401" i="36"/>
  <c r="K534" i="36"/>
  <c r="K540" i="36" s="1"/>
  <c r="K532" i="36"/>
  <c r="K533" i="36"/>
  <c r="K539" i="36" s="1"/>
  <c r="K565" i="36"/>
  <c r="K571" i="36" s="1"/>
  <c r="K564" i="36"/>
  <c r="K570" i="36" s="1"/>
  <c r="K563" i="36"/>
  <c r="K501" i="36"/>
  <c r="K503" i="36"/>
  <c r="K509" i="36" s="1"/>
  <c r="K502" i="36"/>
  <c r="K508" i="36" s="1"/>
  <c r="K596" i="36"/>
  <c r="K602" i="36" s="1"/>
  <c r="K594" i="36"/>
  <c r="K595" i="36"/>
  <c r="K601" i="36" s="1"/>
  <c r="K627" i="36" l="1"/>
  <c r="K633" i="36" s="1"/>
  <c r="K470" i="36"/>
  <c r="K476" i="36" s="1"/>
  <c r="K472" i="36"/>
  <c r="K478" i="36" s="1"/>
  <c r="K625" i="36"/>
  <c r="K631" i="36" s="1"/>
  <c r="K538" i="36"/>
  <c r="K537" i="36" s="1"/>
  <c r="K535" i="36"/>
  <c r="K542" i="36" s="1"/>
  <c r="K507" i="36"/>
  <c r="K506" i="36" s="1"/>
  <c r="K504" i="36"/>
  <c r="K511" i="36" s="1"/>
  <c r="K569" i="36"/>
  <c r="K568" i="36" s="1"/>
  <c r="K566" i="36"/>
  <c r="K573" i="36" s="1"/>
  <c r="K438" i="36"/>
  <c r="K440" i="36"/>
  <c r="K447" i="36" s="1"/>
  <c r="K439" i="36"/>
  <c r="K446" i="36" s="1"/>
  <c r="K600" i="36"/>
  <c r="K599" i="36" s="1"/>
  <c r="K597" i="36"/>
  <c r="K604" i="36" s="1"/>
  <c r="K630" i="36" l="1"/>
  <c r="K473" i="36"/>
  <c r="K480" i="36" s="1"/>
  <c r="K481" i="36" s="1"/>
  <c r="K486" i="36" s="1"/>
  <c r="K667" i="36" s="1"/>
  <c r="K715" i="36" s="1"/>
  <c r="K475" i="36"/>
  <c r="K628" i="36"/>
  <c r="K635" i="36" s="1"/>
  <c r="K636" i="36" s="1"/>
  <c r="K637" i="36" s="1"/>
  <c r="K642" i="36" s="1"/>
  <c r="K683" i="36" s="1"/>
  <c r="K732" i="36" s="1"/>
  <c r="K543" i="36"/>
  <c r="K548" i="36" s="1"/>
  <c r="K669" i="36" s="1"/>
  <c r="K717" i="36" s="1"/>
  <c r="K441" i="36"/>
  <c r="K449" i="36" s="1"/>
  <c r="K445" i="36"/>
  <c r="K512" i="36"/>
  <c r="K517" i="36" s="1"/>
  <c r="K668" i="36" s="1"/>
  <c r="K716" i="36" s="1"/>
  <c r="K605" i="36"/>
  <c r="K610" i="36" s="1"/>
  <c r="K671" i="36" s="1"/>
  <c r="K719" i="36" s="1"/>
  <c r="K574" i="36"/>
  <c r="K641" i="36" l="1"/>
  <c r="K672" i="36" s="1"/>
  <c r="K720" i="36" s="1"/>
  <c r="K638" i="36"/>
  <c r="K643" i="36" s="1"/>
  <c r="K694" i="36" s="1"/>
  <c r="K744" i="36" s="1"/>
  <c r="K544" i="36"/>
  <c r="K545" i="36" s="1"/>
  <c r="K550" i="36" s="1"/>
  <c r="K691" i="36" s="1"/>
  <c r="K741" i="36" s="1"/>
  <c r="K513" i="36"/>
  <c r="K518" i="36" s="1"/>
  <c r="K679" i="36" s="1"/>
  <c r="K728" i="36" s="1"/>
  <c r="K579" i="36"/>
  <c r="K670" i="36" s="1"/>
  <c r="K718" i="36" s="1"/>
  <c r="K575" i="36"/>
  <c r="K580" i="36" s="1"/>
  <c r="K681" i="36" s="1"/>
  <c r="K730" i="36" s="1"/>
  <c r="K606" i="36"/>
  <c r="K611" i="36" s="1"/>
  <c r="K682" i="36" s="1"/>
  <c r="K731" i="36" s="1"/>
  <c r="K482" i="36"/>
  <c r="K487" i="36" s="1"/>
  <c r="K678" i="36" s="1"/>
  <c r="K727" i="36" s="1"/>
  <c r="K444" i="36"/>
  <c r="K450" i="36"/>
  <c r="K703" i="36" l="1"/>
  <c r="K755" i="36" s="1"/>
  <c r="K706" i="36"/>
  <c r="K758" i="36" s="1"/>
  <c r="K549" i="36"/>
  <c r="K680" i="36" s="1"/>
  <c r="K729" i="36" s="1"/>
  <c r="K514" i="36"/>
  <c r="K519" i="36" s="1"/>
  <c r="K690" i="36" s="1"/>
  <c r="K483" i="36"/>
  <c r="K488" i="36" s="1"/>
  <c r="K689" i="36" s="1"/>
  <c r="K701" i="36" s="1"/>
  <c r="K455" i="36"/>
  <c r="K666" i="36" s="1"/>
  <c r="K663" i="36" s="1"/>
  <c r="K451" i="36"/>
  <c r="K456" i="36" s="1"/>
  <c r="K677" i="36" s="1"/>
  <c r="K726" i="36" s="1"/>
  <c r="K576" i="36"/>
  <c r="K581" i="36" s="1"/>
  <c r="K692" i="36" s="1"/>
  <c r="K607" i="36"/>
  <c r="K612" i="36" s="1"/>
  <c r="K693" i="36" s="1"/>
  <c r="N39" i="4" l="1"/>
  <c r="O35" i="4" s="1"/>
  <c r="O42" i="4" s="1"/>
  <c r="L7" i="40"/>
  <c r="N72" i="4"/>
  <c r="O69" i="4" s="1"/>
  <c r="O71" i="4" s="1"/>
  <c r="O62" i="5" s="1"/>
  <c r="L30" i="36" s="1"/>
  <c r="L618" i="36" s="1"/>
  <c r="L10" i="40"/>
  <c r="K739" i="36"/>
  <c r="K702" i="36"/>
  <c r="K740" i="36"/>
  <c r="L5" i="40"/>
  <c r="N17" i="4"/>
  <c r="O14" i="4" s="1"/>
  <c r="K753" i="36"/>
  <c r="K705" i="36"/>
  <c r="K743" i="36"/>
  <c r="K742" i="36"/>
  <c r="K704" i="36"/>
  <c r="K452" i="36"/>
  <c r="K457" i="36" s="1"/>
  <c r="K688" i="36" s="1"/>
  <c r="O31" i="5" l="1"/>
  <c r="L41" i="36" s="1"/>
  <c r="O37" i="4"/>
  <c r="O38" i="4"/>
  <c r="O33" i="5" s="1"/>
  <c r="L27" i="36" s="1"/>
  <c r="L525" i="36" s="1"/>
  <c r="O30" i="41"/>
  <c r="O31" i="41"/>
  <c r="O40" i="4"/>
  <c r="O35" i="5" s="1"/>
  <c r="O33" i="41"/>
  <c r="O60" i="5"/>
  <c r="O73" i="4"/>
  <c r="O63" i="5"/>
  <c r="O75" i="4"/>
  <c r="O70" i="4"/>
  <c r="L6" i="40"/>
  <c r="K754" i="36"/>
  <c r="N28" i="4"/>
  <c r="O24" i="4" s="1"/>
  <c r="N61" i="4"/>
  <c r="O58" i="4" s="1"/>
  <c r="K757" i="36"/>
  <c r="L9" i="40"/>
  <c r="O20" i="4"/>
  <c r="O13" i="5"/>
  <c r="O28" i="41"/>
  <c r="O15" i="4"/>
  <c r="O18" i="4"/>
  <c r="O16" i="4"/>
  <c r="O15" i="5" s="1"/>
  <c r="K700" i="36"/>
  <c r="K738" i="36"/>
  <c r="L8" i="40"/>
  <c r="N49" i="4"/>
  <c r="O46" i="4" s="1"/>
  <c r="K756" i="36"/>
  <c r="O41" i="4" l="1"/>
  <c r="O36" i="5" s="1"/>
  <c r="O32" i="5"/>
  <c r="L13" i="36" s="1"/>
  <c r="L526" i="36" s="1"/>
  <c r="O34" i="5"/>
  <c r="O74" i="4"/>
  <c r="O65" i="5" s="1"/>
  <c r="O64" i="5"/>
  <c r="L44" i="36"/>
  <c r="O61" i="5"/>
  <c r="L16" i="36" s="1"/>
  <c r="L619" i="36" s="1"/>
  <c r="O22" i="5"/>
  <c r="O31" i="4"/>
  <c r="O27" i="4"/>
  <c r="O24" i="5" s="1"/>
  <c r="O29" i="4"/>
  <c r="O29" i="41"/>
  <c r="O26" i="4"/>
  <c r="O48" i="4"/>
  <c r="O42" i="5" s="1"/>
  <c r="O47" i="4"/>
  <c r="O52" i="4"/>
  <c r="O50" i="4"/>
  <c r="O40" i="5"/>
  <c r="L25" i="36"/>
  <c r="L463" i="36" s="1"/>
  <c r="O16" i="5"/>
  <c r="L39" i="36"/>
  <c r="O14" i="5"/>
  <c r="L11" i="36" s="1"/>
  <c r="L464" i="36" s="1"/>
  <c r="L4" i="40"/>
  <c r="K752" i="36"/>
  <c r="N9" i="4"/>
  <c r="O7" i="4" s="1"/>
  <c r="O19" i="4"/>
  <c r="O18" i="5" s="1"/>
  <c r="O17" i="5"/>
  <c r="O64" i="4"/>
  <c r="O62" i="4"/>
  <c r="O59" i="4"/>
  <c r="O32" i="41"/>
  <c r="O60" i="4"/>
  <c r="O52" i="5" s="1"/>
  <c r="O50" i="5"/>
  <c r="L52" i="36"/>
  <c r="L89" i="36" s="1"/>
  <c r="L72" i="36"/>
  <c r="M18" i="40"/>
  <c r="M21" i="40" l="1"/>
  <c r="L75" i="36"/>
  <c r="L55" i="36"/>
  <c r="L92" i="36" s="1"/>
  <c r="O30" i="4"/>
  <c r="O27" i="5" s="1"/>
  <c r="O26" i="5"/>
  <c r="L26" i="36"/>
  <c r="L494" i="36" s="1"/>
  <c r="O25" i="5"/>
  <c r="O23" i="5"/>
  <c r="L12" i="36" s="1"/>
  <c r="L495" i="36" s="1"/>
  <c r="L40" i="36"/>
  <c r="O10" i="4"/>
  <c r="O7" i="5" s="1"/>
  <c r="O8" i="5" s="1"/>
  <c r="O8" i="4"/>
  <c r="O5" i="5"/>
  <c r="M16" i="40"/>
  <c r="L70" i="36"/>
  <c r="L50" i="36"/>
  <c r="L87" i="36" s="1"/>
  <c r="O51" i="4"/>
  <c r="O45" i="5" s="1"/>
  <c r="O44" i="5"/>
  <c r="O51" i="5"/>
  <c r="L15" i="36" s="1"/>
  <c r="L588" i="36" s="1"/>
  <c r="L43" i="36"/>
  <c r="O63" i="4"/>
  <c r="O55" i="5" s="1"/>
  <c r="O54" i="5"/>
  <c r="L29" i="36"/>
  <c r="L587" i="36" s="1"/>
  <c r="O53" i="5"/>
  <c r="O41" i="5"/>
  <c r="L14" i="36" s="1"/>
  <c r="L557" i="36" s="1"/>
  <c r="L42" i="36"/>
  <c r="L28" i="36"/>
  <c r="L556" i="36" s="1"/>
  <c r="O43" i="5"/>
  <c r="M30" i="40"/>
  <c r="L157" i="36"/>
  <c r="L167" i="36" s="1"/>
  <c r="P45" i="41"/>
  <c r="L102" i="36"/>
  <c r="P48" i="41" l="1"/>
  <c r="L105" i="36"/>
  <c r="M33" i="40"/>
  <c r="L160" i="36"/>
  <c r="L170" i="36" s="1"/>
  <c r="M17" i="40"/>
  <c r="L71" i="36"/>
  <c r="L51" i="36"/>
  <c r="L88" i="36" s="1"/>
  <c r="L73" i="36"/>
  <c r="M19" i="40"/>
  <c r="L53" i="36"/>
  <c r="L90" i="36" s="1"/>
  <c r="L74" i="36"/>
  <c r="M20" i="40"/>
  <c r="L54" i="36"/>
  <c r="L91" i="36" s="1"/>
  <c r="P43" i="41"/>
  <c r="L100" i="36"/>
  <c r="M28" i="40"/>
  <c r="L155" i="36"/>
  <c r="L165" i="36" s="1"/>
  <c r="O6" i="5"/>
  <c r="L10" i="36" s="1"/>
  <c r="L432" i="36" s="1"/>
  <c r="O9" i="5"/>
  <c r="L38" i="36"/>
  <c r="L527" i="36"/>
  <c r="L524" i="36" s="1"/>
  <c r="L114" i="36"/>
  <c r="L620" i="36" l="1"/>
  <c r="L617" i="36" s="1"/>
  <c r="L117" i="36"/>
  <c r="P44" i="41"/>
  <c r="L101" i="36"/>
  <c r="M29" i="40"/>
  <c r="L156" i="36"/>
  <c r="L166" i="36" s="1"/>
  <c r="L69" i="36"/>
  <c r="L49" i="36"/>
  <c r="L81" i="36" s="1"/>
  <c r="L83" i="36" s="1"/>
  <c r="L99" i="36" s="1"/>
  <c r="M15" i="40"/>
  <c r="P46" i="41"/>
  <c r="L103" i="36"/>
  <c r="P47" i="41"/>
  <c r="L104" i="36"/>
  <c r="M31" i="40"/>
  <c r="L158" i="36"/>
  <c r="L168" i="36" s="1"/>
  <c r="L465" i="36"/>
  <c r="L462" i="36" s="1"/>
  <c r="L112" i="36"/>
  <c r="M32" i="40"/>
  <c r="L159" i="36"/>
  <c r="L169" i="36" s="1"/>
  <c r="P49" i="41" l="1"/>
  <c r="P55" i="41" s="1"/>
  <c r="L113" i="36"/>
  <c r="L496" i="36"/>
  <c r="L493" i="36" s="1"/>
  <c r="L116" i="36"/>
  <c r="L589" i="36"/>
  <c r="L586" i="36" s="1"/>
  <c r="L111" i="36"/>
  <c r="L433" i="36"/>
  <c r="L430" i="36" s="1"/>
  <c r="L115" i="36"/>
  <c r="L558" i="36"/>
  <c r="L555" i="36" s="1"/>
  <c r="M27" i="40"/>
  <c r="L154" i="36"/>
  <c r="L164" i="36" s="1"/>
  <c r="L171" i="36" s="1"/>
  <c r="P54" i="41" l="1"/>
  <c r="P56" i="41"/>
  <c r="P58" i="41"/>
  <c r="P53" i="41"/>
  <c r="P57" i="41"/>
  <c r="L175" i="36"/>
  <c r="L178" i="36"/>
  <c r="L176" i="36"/>
  <c r="L181" i="36"/>
  <c r="L177" i="36"/>
  <c r="L118" i="36"/>
  <c r="L123" i="36" s="1"/>
  <c r="L137" i="36" s="1"/>
  <c r="L150" i="36" s="1"/>
  <c r="L179" i="36"/>
  <c r="L180" i="36"/>
  <c r="L132" i="36" l="1"/>
  <c r="L138" i="36"/>
  <c r="L151" i="36" s="1"/>
  <c r="L134" i="36"/>
  <c r="L147" i="36" s="1"/>
  <c r="L133" i="36"/>
  <c r="L146" i="36" s="1"/>
  <c r="L135" i="36"/>
  <c r="L148" i="36" s="1"/>
  <c r="L182" i="36"/>
  <c r="L214" i="36"/>
  <c r="L215" i="36" s="1"/>
  <c r="L136" i="36"/>
  <c r="L149" i="36" s="1"/>
  <c r="L223" i="36" l="1"/>
  <c r="L219" i="36"/>
  <c r="L218" i="36"/>
  <c r="L230" i="36"/>
  <c r="L231" i="36"/>
  <c r="L232" i="36"/>
  <c r="L235" i="36"/>
  <c r="L229" i="36"/>
  <c r="L221" i="36"/>
  <c r="L234" i="36"/>
  <c r="L220" i="36"/>
  <c r="L233" i="36"/>
  <c r="L217" i="36"/>
  <c r="L145" i="36"/>
  <c r="L152" i="36" s="1"/>
  <c r="L139" i="36"/>
  <c r="L141" i="36" s="1"/>
  <c r="L196" i="36" l="1"/>
  <c r="L206" i="36" s="1"/>
  <c r="L192" i="36"/>
  <c r="L202" i="36" s="1"/>
  <c r="L195" i="36"/>
  <c r="L205" i="36" s="1"/>
  <c r="L190" i="36"/>
  <c r="L193" i="36"/>
  <c r="L203" i="36" s="1"/>
  <c r="L194" i="36"/>
  <c r="L204" i="36" s="1"/>
  <c r="L191" i="36"/>
  <c r="L201" i="36" s="1"/>
  <c r="L239" i="36"/>
  <c r="L240" i="36" s="1"/>
  <c r="L256" i="36" l="1"/>
  <c r="L260" i="36"/>
  <c r="L257" i="36"/>
  <c r="L259" i="36"/>
  <c r="L247" i="36"/>
  <c r="L242" i="36"/>
  <c r="L246" i="36"/>
  <c r="L258" i="36"/>
  <c r="L244" i="36"/>
  <c r="L255" i="36"/>
  <c r="L243" i="36"/>
  <c r="L254" i="36"/>
  <c r="L200" i="36"/>
  <c r="L207" i="36" s="1"/>
  <c r="L197" i="36"/>
  <c r="L209" i="36" s="1"/>
  <c r="L222" i="36" s="1"/>
  <c r="L224" i="36" s="1"/>
  <c r="L226" i="36" s="1"/>
  <c r="L248" i="36" s="1"/>
  <c r="L245" i="36" l="1"/>
  <c r="L249" i="36" s="1"/>
  <c r="L251" i="36" s="1"/>
  <c r="L264" i="36"/>
  <c r="L265" i="36" s="1"/>
  <c r="L269" i="36" s="1"/>
  <c r="L272" i="36" l="1"/>
  <c r="L285" i="36"/>
  <c r="L281" i="36"/>
  <c r="L267" i="36"/>
  <c r="L283" i="36"/>
  <c r="L271" i="36"/>
  <c r="L268" i="36"/>
  <c r="L282" i="36"/>
  <c r="L270" i="36"/>
  <c r="L284" i="36"/>
  <c r="L279" i="36"/>
  <c r="L273" i="36"/>
  <c r="L280" i="36"/>
  <c r="L289" i="36" l="1"/>
  <c r="L290" i="36" s="1"/>
  <c r="L274" i="36"/>
  <c r="L276" i="36" s="1"/>
  <c r="L295" i="36" l="1"/>
  <c r="L304" i="36"/>
  <c r="L310" i="36"/>
  <c r="L294" i="36"/>
  <c r="L305" i="36"/>
  <c r="L306" i="36"/>
  <c r="L296" i="36"/>
  <c r="L293" i="36"/>
  <c r="L307" i="36"/>
  <c r="L309" i="36"/>
  <c r="L308" i="36"/>
  <c r="L298" i="36"/>
  <c r="L297" i="36"/>
  <c r="L292" i="36"/>
  <c r="L299" i="36" l="1"/>
  <c r="L301" i="36" s="1"/>
  <c r="L314" i="36"/>
  <c r="L315" i="36" s="1"/>
  <c r="L333" i="36" s="1"/>
  <c r="L321" i="36" l="1"/>
  <c r="L335" i="36"/>
  <c r="L318" i="36"/>
  <c r="L331" i="36"/>
  <c r="L320" i="36"/>
  <c r="L334" i="36"/>
  <c r="L323" i="36"/>
  <c r="L319" i="36"/>
  <c r="L332" i="36"/>
  <c r="L330" i="36"/>
  <c r="L317" i="36"/>
  <c r="L329" i="36"/>
  <c r="L322" i="36"/>
  <c r="L339" i="36" l="1"/>
  <c r="L340" i="36" s="1"/>
  <c r="L356" i="36" s="1"/>
  <c r="L324" i="36"/>
  <c r="L326" i="36" s="1"/>
  <c r="L355" i="36" l="1"/>
  <c r="L348" i="36"/>
  <c r="L344" i="36"/>
  <c r="L342" i="36"/>
  <c r="L345" i="36"/>
  <c r="L343" i="36"/>
  <c r="L354" i="36"/>
  <c r="L359" i="36"/>
  <c r="L346" i="36"/>
  <c r="L357" i="36"/>
  <c r="L358" i="36"/>
  <c r="L360" i="36"/>
  <c r="L347" i="36"/>
  <c r="L364" i="36" l="1"/>
  <c r="L365" i="36" s="1"/>
  <c r="L380" i="36" s="1"/>
  <c r="L349" i="36"/>
  <c r="L351" i="36" s="1"/>
  <c r="L367" i="36" l="1"/>
  <c r="L390" i="36" s="1"/>
  <c r="L401" i="36" s="1"/>
  <c r="L385" i="36"/>
  <c r="L372" i="36"/>
  <c r="L395" i="36" s="1"/>
  <c r="L406" i="36" s="1"/>
  <c r="L384" i="36"/>
  <c r="L371" i="36"/>
  <c r="L394" i="36" s="1"/>
  <c r="L421" i="36" s="1"/>
  <c r="L554" i="36" s="1"/>
  <c r="L561" i="36" s="1"/>
  <c r="L563" i="36" s="1"/>
  <c r="L370" i="36"/>
  <c r="L393" i="36" s="1"/>
  <c r="L420" i="36" s="1"/>
  <c r="L523" i="36" s="1"/>
  <c r="L530" i="36" s="1"/>
  <c r="L533" i="36" s="1"/>
  <c r="L539" i="36" s="1"/>
  <c r="L368" i="36"/>
  <c r="L391" i="36" s="1"/>
  <c r="L418" i="36" s="1"/>
  <c r="L461" i="36" s="1"/>
  <c r="L468" i="36" s="1"/>
  <c r="L471" i="36" s="1"/>
  <c r="L477" i="36" s="1"/>
  <c r="L373" i="36"/>
  <c r="L396" i="36" s="1"/>
  <c r="L423" i="36" s="1"/>
  <c r="L616" i="36" s="1"/>
  <c r="L623" i="36" s="1"/>
  <c r="L625" i="36" s="1"/>
  <c r="L381" i="36"/>
  <c r="L382" i="36"/>
  <c r="L383" i="36"/>
  <c r="L379" i="36"/>
  <c r="L369" i="36"/>
  <c r="L392" i="36" s="1"/>
  <c r="L419" i="36" s="1"/>
  <c r="L492" i="36" s="1"/>
  <c r="L499" i="36" s="1"/>
  <c r="L503" i="36" s="1"/>
  <c r="L509" i="36" s="1"/>
  <c r="L532" i="36" l="1"/>
  <c r="L538" i="36" s="1"/>
  <c r="L422" i="36"/>
  <c r="L585" i="36" s="1"/>
  <c r="L592" i="36" s="1"/>
  <c r="L594" i="36" s="1"/>
  <c r="L600" i="36" s="1"/>
  <c r="L404" i="36"/>
  <c r="L405" i="36"/>
  <c r="L564" i="36"/>
  <c r="L570" i="36" s="1"/>
  <c r="L565" i="36"/>
  <c r="L571" i="36" s="1"/>
  <c r="L534" i="36"/>
  <c r="L540" i="36" s="1"/>
  <c r="L472" i="36"/>
  <c r="L478" i="36" s="1"/>
  <c r="L502" i="36"/>
  <c r="L508" i="36" s="1"/>
  <c r="L501" i="36"/>
  <c r="L470" i="36"/>
  <c r="L476" i="36" s="1"/>
  <c r="L397" i="36"/>
  <c r="L626" i="36"/>
  <c r="L632" i="36" s="1"/>
  <c r="L402" i="36"/>
  <c r="L407" i="36"/>
  <c r="L627" i="36"/>
  <c r="L633" i="36" s="1"/>
  <c r="L417" i="36"/>
  <c r="L429" i="36" s="1"/>
  <c r="L436" i="36" s="1"/>
  <c r="L438" i="36" s="1"/>
  <c r="L374" i="36"/>
  <c r="L376" i="36" s="1"/>
  <c r="L403" i="36"/>
  <c r="L569" i="36"/>
  <c r="L631" i="36"/>
  <c r="L596" i="36" l="1"/>
  <c r="L602" i="36" s="1"/>
  <c r="L595" i="36"/>
  <c r="L601" i="36" s="1"/>
  <c r="L568" i="36"/>
  <c r="L566" i="36"/>
  <c r="L573" i="36" s="1"/>
  <c r="L574" i="36" s="1"/>
  <c r="L535" i="36"/>
  <c r="L542" i="36" s="1"/>
  <c r="L543" i="36" s="1"/>
  <c r="L548" i="36" s="1"/>
  <c r="L669" i="36" s="1"/>
  <c r="L717" i="36" s="1"/>
  <c r="L537" i="36"/>
  <c r="L504" i="36"/>
  <c r="L511" i="36" s="1"/>
  <c r="L628" i="36"/>
  <c r="L635" i="36" s="1"/>
  <c r="L636" i="36" s="1"/>
  <c r="L637" i="36" s="1"/>
  <c r="L642" i="36" s="1"/>
  <c r="L683" i="36" s="1"/>
  <c r="L732" i="36" s="1"/>
  <c r="L475" i="36"/>
  <c r="L473" i="36"/>
  <c r="L480" i="36" s="1"/>
  <c r="L481" i="36" s="1"/>
  <c r="L486" i="36" s="1"/>
  <c r="L667" i="36" s="1"/>
  <c r="L715" i="36" s="1"/>
  <c r="L507" i="36"/>
  <c r="L506" i="36" s="1"/>
  <c r="L630" i="36"/>
  <c r="L439" i="36"/>
  <c r="L446" i="36" s="1"/>
  <c r="L440" i="36"/>
  <c r="L447" i="36" s="1"/>
  <c r="L445" i="36"/>
  <c r="L599" i="36" l="1"/>
  <c r="L597" i="36"/>
  <c r="L604" i="36" s="1"/>
  <c r="L605" i="36" s="1"/>
  <c r="L610" i="36" s="1"/>
  <c r="L671" i="36" s="1"/>
  <c r="L719" i="36" s="1"/>
  <c r="L512" i="36"/>
  <c r="L513" i="36" s="1"/>
  <c r="L518" i="36" s="1"/>
  <c r="L679" i="36" s="1"/>
  <c r="L728" i="36" s="1"/>
  <c r="L441" i="36"/>
  <c r="L449" i="36" s="1"/>
  <c r="L450" i="36" s="1"/>
  <c r="L544" i="36"/>
  <c r="L549" i="36" s="1"/>
  <c r="L680" i="36" s="1"/>
  <c r="L729" i="36" s="1"/>
  <c r="L641" i="36"/>
  <c r="L672" i="36" s="1"/>
  <c r="L720" i="36" s="1"/>
  <c r="L638" i="36"/>
  <c r="L643" i="36" s="1"/>
  <c r="L694" i="36" s="1"/>
  <c r="L444" i="36"/>
  <c r="L579" i="36"/>
  <c r="L670" i="36" s="1"/>
  <c r="L718" i="36" s="1"/>
  <c r="L575" i="36"/>
  <c r="L580" i="36" s="1"/>
  <c r="L681" i="36" s="1"/>
  <c r="L730" i="36" s="1"/>
  <c r="L482" i="36"/>
  <c r="L487" i="36" s="1"/>
  <c r="L678" i="36" s="1"/>
  <c r="L727" i="36" s="1"/>
  <c r="L517" i="36" l="1"/>
  <c r="L668" i="36" s="1"/>
  <c r="L716" i="36" s="1"/>
  <c r="L606" i="36"/>
  <c r="L611" i="36" s="1"/>
  <c r="L682" i="36" s="1"/>
  <c r="L731" i="36" s="1"/>
  <c r="L514" i="36"/>
  <c r="L519" i="36" s="1"/>
  <c r="L690" i="36" s="1"/>
  <c r="L702" i="36" s="1"/>
  <c r="L545" i="36"/>
  <c r="L550" i="36" s="1"/>
  <c r="L691" i="36" s="1"/>
  <c r="L741" i="36" s="1"/>
  <c r="L483" i="36"/>
  <c r="L488" i="36" s="1"/>
  <c r="L689" i="36" s="1"/>
  <c r="L455" i="36"/>
  <c r="L666" i="36" s="1"/>
  <c r="L451" i="36"/>
  <c r="L456" i="36" s="1"/>
  <c r="L677" i="36" s="1"/>
  <c r="L726" i="36" s="1"/>
  <c r="L576" i="36"/>
  <c r="L581" i="36" s="1"/>
  <c r="L692" i="36" s="1"/>
  <c r="L744" i="36"/>
  <c r="L706" i="36"/>
  <c r="L663" i="36" l="1"/>
  <c r="L607" i="36"/>
  <c r="L612" i="36" s="1"/>
  <c r="L693" i="36" s="1"/>
  <c r="L743" i="36" s="1"/>
  <c r="L740" i="36"/>
  <c r="L703" i="36"/>
  <c r="L755" i="36" s="1"/>
  <c r="M10" i="40"/>
  <c r="O72" i="4"/>
  <c r="P69" i="4" s="1"/>
  <c r="L758" i="36"/>
  <c r="L739" i="36"/>
  <c r="L701" i="36"/>
  <c r="O28" i="4"/>
  <c r="P24" i="4" s="1"/>
  <c r="M6" i="40"/>
  <c r="L754" i="36"/>
  <c r="L704" i="36"/>
  <c r="L742" i="36"/>
  <c r="L452" i="36"/>
  <c r="L457" i="36" s="1"/>
  <c r="L688" i="36" s="1"/>
  <c r="L705" i="36" l="1"/>
  <c r="O61" i="4" s="1"/>
  <c r="P58" i="4" s="1"/>
  <c r="O39" i="4"/>
  <c r="P35" i="4" s="1"/>
  <c r="P38" i="4" s="1"/>
  <c r="P33" i="5" s="1"/>
  <c r="M7" i="40"/>
  <c r="L738" i="36"/>
  <c r="L700" i="36"/>
  <c r="L756" i="36"/>
  <c r="O49" i="4"/>
  <c r="P46" i="4" s="1"/>
  <c r="M8" i="40"/>
  <c r="P60" i="5"/>
  <c r="P71" i="4"/>
  <c r="P62" i="5" s="1"/>
  <c r="P33" i="41"/>
  <c r="P75" i="4"/>
  <c r="P70" i="4"/>
  <c r="P73" i="4"/>
  <c r="P29" i="41"/>
  <c r="P31" i="4"/>
  <c r="P22" i="5"/>
  <c r="P29" i="4"/>
  <c r="P27" i="4"/>
  <c r="P24" i="5" s="1"/>
  <c r="P26" i="4"/>
  <c r="M5" i="40"/>
  <c r="O17" i="4"/>
  <c r="P14" i="4" s="1"/>
  <c r="L753" i="36"/>
  <c r="M9" i="40" l="1"/>
  <c r="L757" i="36"/>
  <c r="P37" i="4"/>
  <c r="P31" i="41"/>
  <c r="P30" i="41"/>
  <c r="P31" i="5"/>
  <c r="P32" i="5" s="1"/>
  <c r="M13" i="36" s="1"/>
  <c r="M526" i="36" s="1"/>
  <c r="P42" i="4"/>
  <c r="P40" i="4"/>
  <c r="P41" i="4" s="1"/>
  <c r="P36" i="5" s="1"/>
  <c r="P48" i="4"/>
  <c r="P42" i="5" s="1"/>
  <c r="P50" i="4"/>
  <c r="P40" i="5"/>
  <c r="P52" i="4"/>
  <c r="P47" i="4"/>
  <c r="M26" i="36"/>
  <c r="M494" i="36" s="1"/>
  <c r="P25" i="5"/>
  <c r="P26" i="5"/>
  <c r="P30" i="4"/>
  <c r="P27" i="5" s="1"/>
  <c r="P74" i="4"/>
  <c r="P65" i="5" s="1"/>
  <c r="P64" i="5"/>
  <c r="P63" i="5"/>
  <c r="M30" i="36"/>
  <c r="M618" i="36" s="1"/>
  <c r="P34" i="5"/>
  <c r="M27" i="36"/>
  <c r="M525" i="36" s="1"/>
  <c r="P15" i="4"/>
  <c r="P16" i="4"/>
  <c r="P15" i="5" s="1"/>
  <c r="P28" i="41"/>
  <c r="P13" i="5"/>
  <c r="P18" i="4"/>
  <c r="P20" i="4"/>
  <c r="M40" i="36"/>
  <c r="P23" i="5"/>
  <c r="M12" i="36" s="1"/>
  <c r="M495" i="36" s="1"/>
  <c r="P61" i="5"/>
  <c r="M16" i="36" s="1"/>
  <c r="M619" i="36" s="1"/>
  <c r="M44" i="36"/>
  <c r="M4" i="40"/>
  <c r="L752" i="36"/>
  <c r="O9" i="4"/>
  <c r="P7" i="4" s="1"/>
  <c r="P50" i="5"/>
  <c r="P62" i="4"/>
  <c r="P59" i="4"/>
  <c r="P32" i="41"/>
  <c r="P60" i="4"/>
  <c r="P52" i="5" s="1"/>
  <c r="P64" i="4"/>
  <c r="P35" i="5" l="1"/>
  <c r="M41" i="36"/>
  <c r="M72" i="36" s="1"/>
  <c r="P5" i="5"/>
  <c r="P10" i="4"/>
  <c r="P7" i="5" s="1"/>
  <c r="P8" i="5" s="1"/>
  <c r="P8" i="4"/>
  <c r="P16" i="5"/>
  <c r="M25" i="36"/>
  <c r="M463" i="36" s="1"/>
  <c r="M42" i="36"/>
  <c r="P41" i="5"/>
  <c r="M14" i="36" s="1"/>
  <c r="M557" i="36" s="1"/>
  <c r="P54" i="5"/>
  <c r="P63" i="4"/>
  <c r="P55" i="5" s="1"/>
  <c r="M51" i="36"/>
  <c r="M88" i="36" s="1"/>
  <c r="M71" i="36"/>
  <c r="N17" i="40"/>
  <c r="P17" i="5"/>
  <c r="P19" i="4"/>
  <c r="P18" i="5" s="1"/>
  <c r="P44" i="5"/>
  <c r="P51" i="4"/>
  <c r="P45" i="5" s="1"/>
  <c r="P53" i="5"/>
  <c r="M29" i="36"/>
  <c r="M587" i="36" s="1"/>
  <c r="P51" i="5"/>
  <c r="M15" i="36" s="1"/>
  <c r="M588" i="36" s="1"/>
  <c r="M43" i="36"/>
  <c r="M75" i="36"/>
  <c r="N21" i="40"/>
  <c r="M55" i="36"/>
  <c r="M92" i="36" s="1"/>
  <c r="P14" i="5"/>
  <c r="M11" i="36" s="1"/>
  <c r="M464" i="36" s="1"/>
  <c r="M39" i="36"/>
  <c r="M28" i="36"/>
  <c r="M556" i="36" s="1"/>
  <c r="P43" i="5"/>
  <c r="M52" i="36" l="1"/>
  <c r="M89" i="36" s="1"/>
  <c r="Q45" i="41" s="1"/>
  <c r="N18" i="40"/>
  <c r="Q48" i="41"/>
  <c r="M105" i="36"/>
  <c r="M156" i="36"/>
  <c r="M166" i="36" s="1"/>
  <c r="N29" i="40"/>
  <c r="M101" i="36"/>
  <c r="Q44" i="41"/>
  <c r="N19" i="40"/>
  <c r="M53" i="36"/>
  <c r="M90" i="36" s="1"/>
  <c r="M73" i="36"/>
  <c r="M54" i="36"/>
  <c r="M91" i="36" s="1"/>
  <c r="N20" i="40"/>
  <c r="M74" i="36"/>
  <c r="M157" i="36"/>
  <c r="M167" i="36" s="1"/>
  <c r="N30" i="40"/>
  <c r="M70" i="36"/>
  <c r="M50" i="36"/>
  <c r="M87" i="36" s="1"/>
  <c r="N16" i="40"/>
  <c r="N33" i="40"/>
  <c r="M160" i="36"/>
  <c r="M170" i="36" s="1"/>
  <c r="P6" i="5"/>
  <c r="M10" i="36" s="1"/>
  <c r="M432" i="36" s="1"/>
  <c r="M38" i="36"/>
  <c r="P9" i="5"/>
  <c r="M102" i="36" l="1"/>
  <c r="M527" i="36" s="1"/>
  <c r="M524" i="36" s="1"/>
  <c r="M117" i="36"/>
  <c r="M620" i="36"/>
  <c r="M617" i="36" s="1"/>
  <c r="N15" i="40"/>
  <c r="M69" i="36"/>
  <c r="M49" i="36"/>
  <c r="M81" i="36" s="1"/>
  <c r="M83" i="36" s="1"/>
  <c r="M99" i="36" s="1"/>
  <c r="N31" i="40"/>
  <c r="M158" i="36"/>
  <c r="M168" i="36" s="1"/>
  <c r="M113" i="36"/>
  <c r="M496" i="36"/>
  <c r="M493" i="36" s="1"/>
  <c r="Q43" i="41"/>
  <c r="M100" i="36"/>
  <c r="N32" i="40"/>
  <c r="M159" i="36"/>
  <c r="M169" i="36" s="1"/>
  <c r="Q46" i="41"/>
  <c r="M103" i="36"/>
  <c r="Q47" i="41"/>
  <c r="M104" i="36"/>
  <c r="N28" i="40"/>
  <c r="M155" i="36"/>
  <c r="M165" i="36" s="1"/>
  <c r="M114" i="36" l="1"/>
  <c r="M558" i="36"/>
  <c r="M555" i="36" s="1"/>
  <c r="M115" i="36"/>
  <c r="M465" i="36"/>
  <c r="M462" i="36" s="1"/>
  <c r="M112" i="36"/>
  <c r="Q49" i="41"/>
  <c r="Q57" i="41" s="1"/>
  <c r="M433" i="36"/>
  <c r="M430" i="36" s="1"/>
  <c r="M111" i="36"/>
  <c r="M589" i="36"/>
  <c r="M586" i="36" s="1"/>
  <c r="M116" i="36"/>
  <c r="N27" i="40"/>
  <c r="M154" i="36"/>
  <c r="M164" i="36" s="1"/>
  <c r="M171" i="36" s="1"/>
  <c r="M118" i="36" l="1"/>
  <c r="M123" i="36" s="1"/>
  <c r="M132" i="36" s="1"/>
  <c r="Q56" i="41"/>
  <c r="M175" i="36"/>
  <c r="M177" i="36"/>
  <c r="M178" i="36"/>
  <c r="M181" i="36"/>
  <c r="M180" i="36"/>
  <c r="Q53" i="41"/>
  <c r="Q55" i="41"/>
  <c r="Q58" i="41"/>
  <c r="Q54" i="41"/>
  <c r="M176" i="36"/>
  <c r="M179" i="36"/>
  <c r="M137" i="36" l="1"/>
  <c r="M150" i="36" s="1"/>
  <c r="M145" i="36"/>
  <c r="M136" i="36"/>
  <c r="M149" i="36" s="1"/>
  <c r="M134" i="36"/>
  <c r="M147" i="36" s="1"/>
  <c r="M135" i="36"/>
  <c r="M148" i="36" s="1"/>
  <c r="M138" i="36"/>
  <c r="M151" i="36" s="1"/>
  <c r="M214" i="36"/>
  <c r="M215" i="36" s="1"/>
  <c r="M182" i="36"/>
  <c r="M133" i="36"/>
  <c r="M146" i="36" s="1"/>
  <c r="M139" i="36" l="1"/>
  <c r="M141" i="36" s="1"/>
  <c r="M218" i="36"/>
  <c r="M230" i="36"/>
  <c r="M223" i="36"/>
  <c r="M234" i="36"/>
  <c r="M229" i="36"/>
  <c r="M231" i="36"/>
  <c r="M221" i="36"/>
  <c r="M233" i="36"/>
  <c r="M232" i="36"/>
  <c r="M235" i="36"/>
  <c r="M219" i="36"/>
  <c r="M217" i="36"/>
  <c r="M222" i="36"/>
  <c r="M152" i="36"/>
  <c r="M239" i="36" l="1"/>
  <c r="M240" i="36" s="1"/>
  <c r="M190" i="36"/>
  <c r="M193" i="36"/>
  <c r="M203" i="36" s="1"/>
  <c r="M191" i="36"/>
  <c r="M201" i="36" s="1"/>
  <c r="M195" i="36"/>
  <c r="M205" i="36" s="1"/>
  <c r="M196" i="36"/>
  <c r="M206" i="36" s="1"/>
  <c r="M192" i="36"/>
  <c r="M202" i="36" s="1"/>
  <c r="M194" i="36"/>
  <c r="M204" i="36" s="1"/>
  <c r="M200" i="36" l="1"/>
  <c r="M207" i="36" s="1"/>
  <c r="M197" i="36"/>
  <c r="M209" i="36" s="1"/>
  <c r="M220" i="36" s="1"/>
  <c r="M224" i="36" s="1"/>
  <c r="M226" i="36" s="1"/>
  <c r="M248" i="36" s="1"/>
  <c r="M258" i="36"/>
  <c r="M244" i="36"/>
  <c r="M259" i="36"/>
  <c r="M257" i="36"/>
  <c r="M245" i="36"/>
  <c r="M242" i="36"/>
  <c r="M255" i="36"/>
  <c r="M243" i="36"/>
  <c r="M260" i="36"/>
  <c r="M247" i="36"/>
  <c r="M246" i="36"/>
  <c r="M254" i="36"/>
  <c r="M256" i="36"/>
  <c r="M264" i="36" l="1"/>
  <c r="M265" i="36" s="1"/>
  <c r="M272" i="36" s="1"/>
  <c r="M249" i="36"/>
  <c r="M251" i="36" s="1"/>
  <c r="M270" i="36" l="1"/>
  <c r="M268" i="36"/>
  <c r="M285" i="36"/>
  <c r="M279" i="36"/>
  <c r="M284" i="36"/>
  <c r="M283" i="36"/>
  <c r="M273" i="36"/>
  <c r="M269" i="36"/>
  <c r="M280" i="36"/>
  <c r="M281" i="36"/>
  <c r="M267" i="36"/>
  <c r="M271" i="36"/>
  <c r="M282" i="36"/>
  <c r="M289" i="36" l="1"/>
  <c r="M290" i="36" s="1"/>
  <c r="M298" i="36" s="1"/>
  <c r="M274" i="36"/>
  <c r="M276" i="36" s="1"/>
  <c r="M308" i="36" l="1"/>
  <c r="M293" i="36"/>
  <c r="M304" i="36"/>
  <c r="M305" i="36"/>
  <c r="M292" i="36"/>
  <c r="M307" i="36"/>
  <c r="M309" i="36"/>
  <c r="M295" i="36"/>
  <c r="M306" i="36"/>
  <c r="M310" i="36"/>
  <c r="M294" i="36"/>
  <c r="M296" i="36"/>
  <c r="M297" i="36"/>
  <c r="M299" i="36" l="1"/>
  <c r="M301" i="36" s="1"/>
  <c r="M314" i="36"/>
  <c r="M315" i="36" s="1"/>
  <c r="M318" i="36" l="1"/>
  <c r="M331" i="36"/>
  <c r="M321" i="36"/>
  <c r="M322" i="36"/>
  <c r="M323" i="36"/>
  <c r="M317" i="36"/>
  <c r="M333" i="36"/>
  <c r="M335" i="36"/>
  <c r="M330" i="36"/>
  <c r="M320" i="36"/>
  <c r="M334" i="36"/>
  <c r="M319" i="36"/>
  <c r="M329" i="36"/>
  <c r="M332" i="36"/>
  <c r="M339" i="36" l="1"/>
  <c r="M340" i="36" s="1"/>
  <c r="M346" i="36" s="1"/>
  <c r="M324" i="36"/>
  <c r="M326" i="36" s="1"/>
  <c r="M345" i="36" l="1"/>
  <c r="M356" i="36"/>
  <c r="M348" i="36"/>
  <c r="M342" i="36"/>
  <c r="M347" i="36"/>
  <c r="M357" i="36"/>
  <c r="M343" i="36"/>
  <c r="M355" i="36"/>
  <c r="M344" i="36"/>
  <c r="M354" i="36"/>
  <c r="M359" i="36"/>
  <c r="M358" i="36"/>
  <c r="M360" i="36"/>
  <c r="M349" i="36" l="1"/>
  <c r="M351" i="36" s="1"/>
  <c r="M364" i="36"/>
  <c r="M365" i="36" s="1"/>
  <c r="M373" i="36" s="1"/>
  <c r="M396" i="36" s="1"/>
  <c r="M380" i="36" l="1"/>
  <c r="M379" i="36"/>
  <c r="M368" i="36"/>
  <c r="M391" i="36" s="1"/>
  <c r="M402" i="36" s="1"/>
  <c r="M369" i="36"/>
  <c r="M392" i="36" s="1"/>
  <c r="M419" i="36" s="1"/>
  <c r="M492" i="36" s="1"/>
  <c r="M499" i="36" s="1"/>
  <c r="M502" i="36" s="1"/>
  <c r="M508" i="36" s="1"/>
  <c r="M384" i="36"/>
  <c r="M381" i="36"/>
  <c r="M372" i="36"/>
  <c r="M395" i="36" s="1"/>
  <c r="M406" i="36" s="1"/>
  <c r="M383" i="36"/>
  <c r="M367" i="36"/>
  <c r="M390" i="36" s="1"/>
  <c r="M417" i="36" s="1"/>
  <c r="M429" i="36" s="1"/>
  <c r="M436" i="36" s="1"/>
  <c r="M382" i="36"/>
  <c r="M385" i="36"/>
  <c r="M370" i="36"/>
  <c r="M393" i="36" s="1"/>
  <c r="M420" i="36" s="1"/>
  <c r="M523" i="36" s="1"/>
  <c r="M530" i="36" s="1"/>
  <c r="M371" i="36"/>
  <c r="M394" i="36" s="1"/>
  <c r="M405" i="36" s="1"/>
  <c r="M407" i="36"/>
  <c r="M423" i="36"/>
  <c r="M616" i="36" s="1"/>
  <c r="M623" i="36" s="1"/>
  <c r="M401" i="36" l="1"/>
  <c r="M422" i="36"/>
  <c r="M585" i="36" s="1"/>
  <c r="M592" i="36" s="1"/>
  <c r="M595" i="36" s="1"/>
  <c r="M601" i="36" s="1"/>
  <c r="M418" i="36"/>
  <c r="M461" i="36" s="1"/>
  <c r="M468" i="36" s="1"/>
  <c r="M470" i="36" s="1"/>
  <c r="M421" i="36"/>
  <c r="M554" i="36" s="1"/>
  <c r="M561" i="36" s="1"/>
  <c r="M563" i="36" s="1"/>
  <c r="M503" i="36"/>
  <c r="M509" i="36" s="1"/>
  <c r="M501" i="36"/>
  <c r="M403" i="36"/>
  <c r="M374" i="36"/>
  <c r="M376" i="36" s="1"/>
  <c r="M404" i="36"/>
  <c r="M397" i="36"/>
  <c r="M534" i="36"/>
  <c r="M540" i="36" s="1"/>
  <c r="M533" i="36"/>
  <c r="M539" i="36" s="1"/>
  <c r="M532" i="36"/>
  <c r="M440" i="36"/>
  <c r="M447" i="36" s="1"/>
  <c r="M439" i="36"/>
  <c r="M446" i="36" s="1"/>
  <c r="M438" i="36"/>
  <c r="M625" i="36"/>
  <c r="M627" i="36"/>
  <c r="M633" i="36" s="1"/>
  <c r="M626" i="36"/>
  <c r="M632" i="36" s="1"/>
  <c r="M596" i="36" l="1"/>
  <c r="M602" i="36" s="1"/>
  <c r="M472" i="36"/>
  <c r="M478" i="36" s="1"/>
  <c r="M594" i="36"/>
  <c r="M600" i="36" s="1"/>
  <c r="M471" i="36"/>
  <c r="M477" i="36" s="1"/>
  <c r="M565" i="36"/>
  <c r="M571" i="36" s="1"/>
  <c r="M564" i="36"/>
  <c r="M570" i="36" s="1"/>
  <c r="M507" i="36"/>
  <c r="M506" i="36" s="1"/>
  <c r="M504" i="36"/>
  <c r="M511" i="36" s="1"/>
  <c r="M538" i="36"/>
  <c r="M537" i="36" s="1"/>
  <c r="M535" i="36"/>
  <c r="M542" i="36" s="1"/>
  <c r="M569" i="36"/>
  <c r="M445" i="36"/>
  <c r="M444" i="36" s="1"/>
  <c r="M441" i="36"/>
  <c r="M449" i="36" s="1"/>
  <c r="M476" i="36"/>
  <c r="M631" i="36"/>
  <c r="M630" i="36" s="1"/>
  <c r="M628" i="36"/>
  <c r="M635" i="36" s="1"/>
  <c r="M599" i="36" l="1"/>
  <c r="M597" i="36"/>
  <c r="M604" i="36" s="1"/>
  <c r="M605" i="36" s="1"/>
  <c r="M610" i="36" s="1"/>
  <c r="M671" i="36" s="1"/>
  <c r="M719" i="36" s="1"/>
  <c r="M512" i="36"/>
  <c r="M517" i="36" s="1"/>
  <c r="M668" i="36" s="1"/>
  <c r="M716" i="36" s="1"/>
  <c r="M543" i="36"/>
  <c r="M548" i="36" s="1"/>
  <c r="M669" i="36" s="1"/>
  <c r="M717" i="36" s="1"/>
  <c r="M566" i="36"/>
  <c r="M573" i="36" s="1"/>
  <c r="M574" i="36" s="1"/>
  <c r="M579" i="36" s="1"/>
  <c r="M670" i="36" s="1"/>
  <c r="M718" i="36" s="1"/>
  <c r="M568" i="36"/>
  <c r="M475" i="36"/>
  <c r="M473" i="36"/>
  <c r="M480" i="36" s="1"/>
  <c r="M481" i="36" s="1"/>
  <c r="M636" i="36"/>
  <c r="M641" i="36" s="1"/>
  <c r="M672" i="36" s="1"/>
  <c r="M720" i="36" s="1"/>
  <c r="M450" i="36"/>
  <c r="M451" i="36" s="1"/>
  <c r="M456" i="36" s="1"/>
  <c r="M677" i="36" s="1"/>
  <c r="M726" i="36" s="1"/>
  <c r="M513" i="36" l="1"/>
  <c r="M518" i="36" s="1"/>
  <c r="M679" i="36" s="1"/>
  <c r="M728" i="36" s="1"/>
  <c r="M544" i="36"/>
  <c r="M545" i="36" s="1"/>
  <c r="M550" i="36" s="1"/>
  <c r="M691" i="36" s="1"/>
  <c r="M741" i="36" s="1"/>
  <c r="M575" i="36"/>
  <c r="M580" i="36" s="1"/>
  <c r="M681" i="36" s="1"/>
  <c r="M730" i="36" s="1"/>
  <c r="M606" i="36"/>
  <c r="M611" i="36" s="1"/>
  <c r="M682" i="36" s="1"/>
  <c r="M731" i="36" s="1"/>
  <c r="M637" i="36"/>
  <c r="M642" i="36" s="1"/>
  <c r="M683" i="36" s="1"/>
  <c r="M732" i="36" s="1"/>
  <c r="M455" i="36"/>
  <c r="M666" i="36" s="1"/>
  <c r="M452" i="36"/>
  <c r="M457" i="36" s="1"/>
  <c r="M688" i="36" s="1"/>
  <c r="M482" i="36"/>
  <c r="M486" i="36"/>
  <c r="M667" i="36" s="1"/>
  <c r="M715" i="36" s="1"/>
  <c r="M514" i="36" l="1"/>
  <c r="M519" i="36" s="1"/>
  <c r="M690" i="36" s="1"/>
  <c r="M740" i="36" s="1"/>
  <c r="M703" i="36"/>
  <c r="M755" i="36" s="1"/>
  <c r="M549" i="36"/>
  <c r="M680" i="36" s="1"/>
  <c r="M729" i="36" s="1"/>
  <c r="M638" i="36"/>
  <c r="M643" i="36" s="1"/>
  <c r="M694" i="36" s="1"/>
  <c r="M706" i="36" s="1"/>
  <c r="M576" i="36"/>
  <c r="M581" i="36" s="1"/>
  <c r="M692" i="36" s="1"/>
  <c r="M742" i="36" s="1"/>
  <c r="M607" i="36"/>
  <c r="M612" i="36" s="1"/>
  <c r="M693" i="36" s="1"/>
  <c r="M738" i="36"/>
  <c r="M700" i="36"/>
  <c r="M487" i="36"/>
  <c r="M678" i="36" s="1"/>
  <c r="M727" i="36" s="1"/>
  <c r="M483" i="36"/>
  <c r="M488" i="36" s="1"/>
  <c r="M689" i="36" s="1"/>
  <c r="M663" i="36"/>
  <c r="M702" i="36" l="1"/>
  <c r="M754" i="36" s="1"/>
  <c r="M744" i="36"/>
  <c r="P39" i="4"/>
  <c r="Q35" i="4" s="1"/>
  <c r="Q31" i="41" s="1"/>
  <c r="N7" i="40"/>
  <c r="M704" i="36"/>
  <c r="N8" i="40" s="1"/>
  <c r="M743" i="36"/>
  <c r="M705" i="36"/>
  <c r="P9" i="4"/>
  <c r="Q7" i="4" s="1"/>
  <c r="M752" i="36"/>
  <c r="N4" i="40"/>
  <c r="M701" i="36"/>
  <c r="M739" i="36"/>
  <c r="M758" i="36"/>
  <c r="N10" i="40"/>
  <c r="P72" i="4"/>
  <c r="Q69" i="4" s="1"/>
  <c r="N6" i="40" l="1"/>
  <c r="P28" i="4"/>
  <c r="Q24" i="4" s="1"/>
  <c r="Q22" i="5" s="1"/>
  <c r="Q23" i="5" s="1"/>
  <c r="M756" i="36"/>
  <c r="Q38" i="4"/>
  <c r="Q33" i="5" s="1"/>
  <c r="Q34" i="5" s="1"/>
  <c r="K70" i="32" s="1"/>
  <c r="Q42" i="4"/>
  <c r="Q37" i="4"/>
  <c r="Q31" i="5"/>
  <c r="K67" i="32" s="1"/>
  <c r="Q40" i="4"/>
  <c r="Q35" i="5" s="1"/>
  <c r="K71" i="32" s="1"/>
  <c r="Q30" i="41"/>
  <c r="P49" i="4"/>
  <c r="Q46" i="4" s="1"/>
  <c r="Q47" i="4" s="1"/>
  <c r="N9" i="40"/>
  <c r="M757" i="36"/>
  <c r="P61" i="4"/>
  <c r="Q58" i="4" s="1"/>
  <c r="P17" i="4"/>
  <c r="Q14" i="4" s="1"/>
  <c r="M753" i="36"/>
  <c r="N5" i="40"/>
  <c r="Q71" i="4"/>
  <c r="Q62" i="5" s="1"/>
  <c r="Q60" i="5"/>
  <c r="Q75" i="4"/>
  <c r="Q73" i="4"/>
  <c r="Q33" i="41"/>
  <c r="Q70" i="4"/>
  <c r="Q10" i="4"/>
  <c r="Q7" i="5" s="1"/>
  <c r="Q8" i="5" s="1"/>
  <c r="Q5" i="5"/>
  <c r="Q8" i="4"/>
  <c r="J67" i="32" l="1"/>
  <c r="Q32" i="5"/>
  <c r="N13" i="36" s="1"/>
  <c r="N41" i="36"/>
  <c r="N52" i="36" s="1"/>
  <c r="N89" i="36" s="1"/>
  <c r="Q31" i="4"/>
  <c r="N40" i="36"/>
  <c r="N71" i="36" s="1"/>
  <c r="Q27" i="4"/>
  <c r="Q24" i="5" s="1"/>
  <c r="Q26" i="4"/>
  <c r="Q29" i="41"/>
  <c r="Q29" i="4"/>
  <c r="Q41" i="4"/>
  <c r="Q36" i="5" s="1"/>
  <c r="K72" i="32" s="1"/>
  <c r="N27" i="36"/>
  <c r="N525" i="36" s="1"/>
  <c r="K69" i="32"/>
  <c r="Q40" i="5"/>
  <c r="L67" i="32" s="1"/>
  <c r="Q52" i="4"/>
  <c r="Q48" i="4"/>
  <c r="Q42" i="5" s="1"/>
  <c r="N28" i="36" s="1"/>
  <c r="Q50" i="4"/>
  <c r="Q44" i="5" s="1"/>
  <c r="L71" i="32" s="1"/>
  <c r="Q59" i="4"/>
  <c r="Q60" i="4"/>
  <c r="Q52" i="5" s="1"/>
  <c r="Q32" i="41"/>
  <c r="Q50" i="5"/>
  <c r="Q62" i="4"/>
  <c r="Q64" i="4"/>
  <c r="N38" i="36"/>
  <c r="Q6" i="5"/>
  <c r="N10" i="36" s="1"/>
  <c r="Q9" i="5"/>
  <c r="Q74" i="4"/>
  <c r="Q65" i="5" s="1"/>
  <c r="N72" i="32" s="1"/>
  <c r="Q64" i="5"/>
  <c r="N71" i="32" s="1"/>
  <c r="Q61" i="5"/>
  <c r="N67" i="32"/>
  <c r="N44" i="36"/>
  <c r="Q18" i="4"/>
  <c r="Q15" i="4"/>
  <c r="Q28" i="41"/>
  <c r="Q20" i="4"/>
  <c r="Q13" i="5"/>
  <c r="Q16" i="4"/>
  <c r="Q15" i="5" s="1"/>
  <c r="N30" i="36"/>
  <c r="N69" i="32"/>
  <c r="Q63" i="5"/>
  <c r="N70" i="32" s="1"/>
  <c r="J68" i="32"/>
  <c r="N12" i="36"/>
  <c r="O18" i="40" l="1"/>
  <c r="K68" i="32"/>
  <c r="N72" i="36"/>
  <c r="O30" i="40" s="1"/>
  <c r="N51" i="36"/>
  <c r="N88" i="36" s="1"/>
  <c r="R44" i="41" s="1"/>
  <c r="O17" i="40"/>
  <c r="H82" i="32"/>
  <c r="Q41" i="5"/>
  <c r="N14" i="36" s="1"/>
  <c r="Q26" i="5"/>
  <c r="J71" i="32" s="1"/>
  <c r="Q30" i="4"/>
  <c r="Q27" i="5" s="1"/>
  <c r="J72" i="32" s="1"/>
  <c r="J69" i="32"/>
  <c r="Q25" i="5"/>
  <c r="J70" i="32" s="1"/>
  <c r="N26" i="36"/>
  <c r="N42" i="36"/>
  <c r="N73" i="36" s="1"/>
  <c r="Q43" i="5"/>
  <c r="L70" i="32" s="1"/>
  <c r="L69" i="32"/>
  <c r="Q51" i="4"/>
  <c r="Q45" i="5" s="1"/>
  <c r="L72" i="32" s="1"/>
  <c r="N43" i="36"/>
  <c r="M67" i="32"/>
  <c r="Q51" i="5"/>
  <c r="Q53" i="5"/>
  <c r="M70" i="32" s="1"/>
  <c r="N29" i="36"/>
  <c r="M69" i="32"/>
  <c r="Q54" i="5"/>
  <c r="M71" i="32" s="1"/>
  <c r="Q63" i="4"/>
  <c r="Q55" i="5" s="1"/>
  <c r="M72" i="32" s="1"/>
  <c r="H85" i="32"/>
  <c r="N618" i="36"/>
  <c r="I69" i="32"/>
  <c r="Q16" i="5"/>
  <c r="I70" i="32" s="1"/>
  <c r="N25" i="36"/>
  <c r="N16" i="36"/>
  <c r="N68" i="32"/>
  <c r="N556" i="36"/>
  <c r="H83" i="32"/>
  <c r="N39" i="36"/>
  <c r="I67" i="32"/>
  <c r="Q14" i="5"/>
  <c r="Q19" i="4"/>
  <c r="Q18" i="5" s="1"/>
  <c r="I72" i="32" s="1"/>
  <c r="Q17" i="5"/>
  <c r="I71" i="32" s="1"/>
  <c r="G79" i="32"/>
  <c r="N432" i="36"/>
  <c r="N55" i="36"/>
  <c r="N92" i="36" s="1"/>
  <c r="O21" i="40"/>
  <c r="N75" i="36"/>
  <c r="N49" i="36"/>
  <c r="N81" i="36" s="1"/>
  <c r="N83" i="36" s="1"/>
  <c r="N99" i="36" s="1"/>
  <c r="O15" i="40"/>
  <c r="N69" i="36"/>
  <c r="G82" i="32"/>
  <c r="N526" i="36"/>
  <c r="N102" i="36"/>
  <c r="R45" i="41"/>
  <c r="G81" i="32"/>
  <c r="N495" i="36"/>
  <c r="N156" i="36"/>
  <c r="N166" i="36" s="1"/>
  <c r="O29" i="40"/>
  <c r="N157" i="36" l="1"/>
  <c r="N167" i="36" s="1"/>
  <c r="N101" i="36"/>
  <c r="N496" i="36" s="1"/>
  <c r="L68" i="32"/>
  <c r="N53" i="36"/>
  <c r="N90" i="36" s="1"/>
  <c r="R46" i="41" s="1"/>
  <c r="O19" i="40"/>
  <c r="H81" i="32"/>
  <c r="N494" i="36"/>
  <c r="M68" i="32"/>
  <c r="N15" i="36"/>
  <c r="N587" i="36"/>
  <c r="H84" i="32"/>
  <c r="O20" i="40"/>
  <c r="N54" i="36"/>
  <c r="N91" i="36" s="1"/>
  <c r="N74" i="36"/>
  <c r="I79" i="32"/>
  <c r="N433" i="36"/>
  <c r="N430" i="36" s="1"/>
  <c r="N111" i="36"/>
  <c r="J79" i="32" s="1"/>
  <c r="N160" i="36"/>
  <c r="N170" i="36" s="1"/>
  <c r="O33" i="40"/>
  <c r="N154" i="36"/>
  <c r="N164" i="36" s="1"/>
  <c r="O27" i="40"/>
  <c r="O16" i="40"/>
  <c r="N70" i="36"/>
  <c r="N50" i="36"/>
  <c r="N87" i="36" s="1"/>
  <c r="N619" i="36"/>
  <c r="G85" i="32"/>
  <c r="N158" i="36"/>
  <c r="N168" i="36" s="1"/>
  <c r="O31" i="40"/>
  <c r="R48" i="41"/>
  <c r="N105" i="36"/>
  <c r="N463" i="36"/>
  <c r="H80" i="32"/>
  <c r="G83" i="32"/>
  <c r="N557" i="36"/>
  <c r="I68" i="32"/>
  <c r="N11" i="36"/>
  <c r="N527" i="36"/>
  <c r="N524" i="36" s="1"/>
  <c r="N114" i="36"/>
  <c r="J82" i="32" s="1"/>
  <c r="I82" i="32"/>
  <c r="I81" i="32" l="1"/>
  <c r="N113" i="36"/>
  <c r="J81" i="32" s="1"/>
  <c r="N493" i="36"/>
  <c r="N103" i="36"/>
  <c r="N558" i="36" s="1"/>
  <c r="N555" i="36" s="1"/>
  <c r="O32" i="40"/>
  <c r="N159" i="36"/>
  <c r="N169" i="36" s="1"/>
  <c r="R47" i="41"/>
  <c r="N104" i="36"/>
  <c r="G84" i="32"/>
  <c r="N588" i="36"/>
  <c r="N117" i="36"/>
  <c r="J85" i="32" s="1"/>
  <c r="N620" i="36"/>
  <c r="N617" i="36" s="1"/>
  <c r="I85" i="32"/>
  <c r="N464" i="36"/>
  <c r="G80" i="32"/>
  <c r="N100" i="36"/>
  <c r="R43" i="41"/>
  <c r="N155" i="36"/>
  <c r="N165" i="36" s="1"/>
  <c r="O28" i="40"/>
  <c r="I83" i="32" l="1"/>
  <c r="N115" i="36"/>
  <c r="J83" i="32" s="1"/>
  <c r="R49" i="41"/>
  <c r="R55" i="41" s="1"/>
  <c r="N589" i="36"/>
  <c r="N586" i="36" s="1"/>
  <c r="N116" i="36"/>
  <c r="J84" i="32" s="1"/>
  <c r="I84" i="32"/>
  <c r="N171" i="36"/>
  <c r="N176" i="36" s="1"/>
  <c r="I80" i="32"/>
  <c r="N112" i="36"/>
  <c r="N465" i="36"/>
  <c r="N462" i="36" s="1"/>
  <c r="R53" i="41" l="1"/>
  <c r="R54" i="41"/>
  <c r="R58" i="41"/>
  <c r="R57" i="41"/>
  <c r="R56" i="41"/>
  <c r="J80" i="32"/>
  <c r="N118" i="36"/>
  <c r="N123" i="36" s="1"/>
  <c r="N178" i="36"/>
  <c r="N175" i="36"/>
  <c r="N179" i="36"/>
  <c r="N180" i="36"/>
  <c r="N181" i="36"/>
  <c r="N177" i="36"/>
  <c r="N214" i="36" l="1"/>
  <c r="N215" i="36" s="1"/>
  <c r="N230" i="36" s="1"/>
  <c r="N182" i="36"/>
  <c r="N133" i="36"/>
  <c r="N146" i="36" s="1"/>
  <c r="N132" i="36"/>
  <c r="N138" i="36"/>
  <c r="N151" i="36" s="1"/>
  <c r="N135" i="36"/>
  <c r="N148" i="36" s="1"/>
  <c r="H89" i="32"/>
  <c r="N136" i="36"/>
  <c r="N149" i="36" s="1"/>
  <c r="N134" i="36"/>
  <c r="N147" i="36" s="1"/>
  <c r="N137" i="36"/>
  <c r="N150" i="36" s="1"/>
  <c r="N218" i="36" l="1"/>
  <c r="N221" i="36"/>
  <c r="N217" i="36"/>
  <c r="N233" i="36"/>
  <c r="N232" i="36"/>
  <c r="N220" i="36"/>
  <c r="N229" i="36"/>
  <c r="N234" i="36"/>
  <c r="N219" i="36"/>
  <c r="N235" i="36"/>
  <c r="N231" i="36"/>
  <c r="N145" i="36"/>
  <c r="N152" i="36" s="1"/>
  <c r="N139" i="36"/>
  <c r="N141" i="36" s="1"/>
  <c r="N239" i="36" l="1"/>
  <c r="N240" i="36" s="1"/>
  <c r="N257" i="36" s="1"/>
  <c r="N194" i="36"/>
  <c r="N204" i="36" s="1"/>
  <c r="N195" i="36"/>
  <c r="N205" i="36" s="1"/>
  <c r="N196" i="36"/>
  <c r="N206" i="36" s="1"/>
  <c r="N190" i="36"/>
  <c r="N192" i="36"/>
  <c r="N202" i="36" s="1"/>
  <c r="N193" i="36"/>
  <c r="N203" i="36" s="1"/>
  <c r="N191" i="36"/>
  <c r="N201" i="36" s="1"/>
  <c r="N254" i="36" l="1"/>
  <c r="N248" i="36"/>
  <c r="N259" i="36"/>
  <c r="N255" i="36"/>
  <c r="N246" i="36"/>
  <c r="N247" i="36"/>
  <c r="N256" i="36"/>
  <c r="N244" i="36"/>
  <c r="N243" i="36"/>
  <c r="N242" i="36"/>
  <c r="N260" i="36"/>
  <c r="N258" i="36"/>
  <c r="N197" i="36"/>
  <c r="N209" i="36" s="1"/>
  <c r="N223" i="36" s="1"/>
  <c r="N200" i="36"/>
  <c r="N207" i="36" s="1"/>
  <c r="N222" i="36" l="1"/>
  <c r="N224" i="36" s="1"/>
  <c r="N226" i="36" s="1"/>
  <c r="N245" i="36" s="1"/>
  <c r="N249" i="36" s="1"/>
  <c r="N251" i="36" s="1"/>
  <c r="N264" i="36"/>
  <c r="N265" i="36" s="1"/>
  <c r="N283" i="36" s="1"/>
  <c r="N280" i="36" l="1"/>
  <c r="N271" i="36"/>
  <c r="N273" i="36"/>
  <c r="N279" i="36"/>
  <c r="N269" i="36"/>
  <c r="N282" i="36"/>
  <c r="N267" i="36"/>
  <c r="N270" i="36"/>
  <c r="N268" i="36"/>
  <c r="N272" i="36"/>
  <c r="N284" i="36"/>
  <c r="N285" i="36"/>
  <c r="N281" i="36"/>
  <c r="N289" i="36" l="1"/>
  <c r="N290" i="36" s="1"/>
  <c r="N306" i="36" s="1"/>
  <c r="N274" i="36"/>
  <c r="N276" i="36" s="1"/>
  <c r="N294" i="36" l="1"/>
  <c r="N292" i="36"/>
  <c r="N304" i="36"/>
  <c r="N298" i="36"/>
  <c r="N308" i="36"/>
  <c r="N309" i="36"/>
  <c r="N310" i="36"/>
  <c r="N305" i="36"/>
  <c r="N307" i="36"/>
  <c r="N293" i="36"/>
  <c r="N296" i="36"/>
  <c r="N295" i="36"/>
  <c r="N297" i="36"/>
  <c r="N314" i="36" l="1"/>
  <c r="N315" i="36" s="1"/>
  <c r="N334" i="36" s="1"/>
  <c r="N299" i="36"/>
  <c r="N301" i="36" s="1"/>
  <c r="N332" i="36" l="1"/>
  <c r="N323" i="36"/>
  <c r="N322" i="36"/>
  <c r="N321" i="36"/>
  <c r="N317" i="36"/>
  <c r="N320" i="36"/>
  <c r="N318" i="36"/>
  <c r="N335" i="36"/>
  <c r="N329" i="36"/>
  <c r="N330" i="36"/>
  <c r="N333" i="36"/>
  <c r="N331" i="36"/>
  <c r="N319" i="36"/>
  <c r="N324" i="36" l="1"/>
  <c r="N326" i="36" s="1"/>
  <c r="N339" i="36"/>
  <c r="N340" i="36" s="1"/>
  <c r="N358" i="36" s="1"/>
  <c r="N354" i="36" l="1"/>
  <c r="N344" i="36"/>
  <c r="N345" i="36"/>
  <c r="N357" i="36"/>
  <c r="N347" i="36"/>
  <c r="N348" i="36"/>
  <c r="N342" i="36"/>
  <c r="N360" i="36"/>
  <c r="N359" i="36"/>
  <c r="N343" i="36"/>
  <c r="N346" i="36"/>
  <c r="N355" i="36"/>
  <c r="N356" i="36"/>
  <c r="N349" i="36" l="1"/>
  <c r="N351" i="36" s="1"/>
  <c r="N364" i="36"/>
  <c r="N365" i="36" s="1"/>
  <c r="N379" i="36" s="1"/>
  <c r="N380" i="36" l="1"/>
  <c r="N372" i="36"/>
  <c r="N395" i="36" s="1"/>
  <c r="N406" i="36" s="1"/>
  <c r="N381" i="36"/>
  <c r="N383" i="36"/>
  <c r="N369" i="36"/>
  <c r="N392" i="36" s="1"/>
  <c r="N403" i="36" s="1"/>
  <c r="N368" i="36"/>
  <c r="N391" i="36" s="1"/>
  <c r="N370" i="36"/>
  <c r="N393" i="36" s="1"/>
  <c r="N420" i="36" s="1"/>
  <c r="N382" i="36"/>
  <c r="N367" i="36"/>
  <c r="N390" i="36" s="1"/>
  <c r="N373" i="36"/>
  <c r="N396" i="36" s="1"/>
  <c r="N423" i="36" s="1"/>
  <c r="N616" i="36" s="1"/>
  <c r="N623" i="36" s="1"/>
  <c r="N627" i="36" s="1"/>
  <c r="N633" i="36" s="1"/>
  <c r="N371" i="36"/>
  <c r="N394" i="36" s="1"/>
  <c r="N421" i="36" s="1"/>
  <c r="N385" i="36"/>
  <c r="N384" i="36"/>
  <c r="G100" i="32" l="1"/>
  <c r="N422" i="36"/>
  <c r="N585" i="36" s="1"/>
  <c r="N592" i="36" s="1"/>
  <c r="N596" i="36" s="1"/>
  <c r="N602" i="36" s="1"/>
  <c r="N404" i="36"/>
  <c r="N419" i="36"/>
  <c r="N405" i="36"/>
  <c r="N374" i="36"/>
  <c r="N376" i="36" s="1"/>
  <c r="N625" i="36"/>
  <c r="N631" i="36" s="1"/>
  <c r="N626" i="36"/>
  <c r="N632" i="36" s="1"/>
  <c r="N418" i="36"/>
  <c r="N402" i="36"/>
  <c r="N417" i="36"/>
  <c r="N401" i="36"/>
  <c r="N397" i="36"/>
  <c r="N407" i="36"/>
  <c r="N554" i="36"/>
  <c r="N561" i="36" s="1"/>
  <c r="G98" i="32"/>
  <c r="G97" i="32"/>
  <c r="N523" i="36"/>
  <c r="N530" i="36" s="1"/>
  <c r="N594" i="36" l="1"/>
  <c r="N600" i="36" s="1"/>
  <c r="G99" i="32"/>
  <c r="N595" i="36"/>
  <c r="N601" i="36" s="1"/>
  <c r="N630" i="36"/>
  <c r="G96" i="32"/>
  <c r="N492" i="36"/>
  <c r="N499" i="36" s="1"/>
  <c r="G95" i="32"/>
  <c r="N461" i="36"/>
  <c r="N468" i="36" s="1"/>
  <c r="G94" i="32"/>
  <c r="N429" i="36"/>
  <c r="N436" i="36" s="1"/>
  <c r="N628" i="36"/>
  <c r="N635" i="36" s="1"/>
  <c r="N636" i="36" s="1"/>
  <c r="N641" i="36" s="1"/>
  <c r="N672" i="36" s="1"/>
  <c r="H111" i="32" s="1"/>
  <c r="N533" i="36"/>
  <c r="N539" i="36" s="1"/>
  <c r="N534" i="36"/>
  <c r="N540" i="36" s="1"/>
  <c r="N532" i="36"/>
  <c r="N564" i="36"/>
  <c r="N570" i="36" s="1"/>
  <c r="N565" i="36"/>
  <c r="N571" i="36" s="1"/>
  <c r="N563" i="36"/>
  <c r="N599" i="36" l="1"/>
  <c r="N597" i="36"/>
  <c r="N604" i="36" s="1"/>
  <c r="N605" i="36" s="1"/>
  <c r="N606" i="36" s="1"/>
  <c r="N611" i="36" s="1"/>
  <c r="N682" i="36" s="1"/>
  <c r="N720" i="36"/>
  <c r="N503" i="36"/>
  <c r="N509" i="36" s="1"/>
  <c r="N502" i="36"/>
  <c r="N508" i="36" s="1"/>
  <c r="N501" i="36"/>
  <c r="N637" i="36"/>
  <c r="N642" i="36" s="1"/>
  <c r="N683" i="36" s="1"/>
  <c r="N732" i="36" s="1"/>
  <c r="N439" i="36"/>
  <c r="N446" i="36" s="1"/>
  <c r="N438" i="36"/>
  <c r="N440" i="36"/>
  <c r="N447" i="36" s="1"/>
  <c r="N470" i="36"/>
  <c r="N471" i="36"/>
  <c r="N477" i="36" s="1"/>
  <c r="N472" i="36"/>
  <c r="N478" i="36" s="1"/>
  <c r="N566" i="36"/>
  <c r="N573" i="36" s="1"/>
  <c r="N569" i="36"/>
  <c r="N568" i="36" s="1"/>
  <c r="N535" i="36"/>
  <c r="N542" i="36" s="1"/>
  <c r="N538" i="36"/>
  <c r="N537" i="36" s="1"/>
  <c r="N607" i="36" l="1"/>
  <c r="N612" i="36" s="1"/>
  <c r="N693" i="36" s="1"/>
  <c r="N743" i="36" s="1"/>
  <c r="N610" i="36"/>
  <c r="N671" i="36" s="1"/>
  <c r="G111" i="32"/>
  <c r="N504" i="36"/>
  <c r="N511" i="36" s="1"/>
  <c r="N507" i="36"/>
  <c r="N506" i="36" s="1"/>
  <c r="N638" i="36"/>
  <c r="N643" i="36" s="1"/>
  <c r="N694" i="36" s="1"/>
  <c r="I111" i="32" s="1"/>
  <c r="N476" i="36"/>
  <c r="N475" i="36" s="1"/>
  <c r="N473" i="36"/>
  <c r="N480" i="36" s="1"/>
  <c r="N445" i="36"/>
  <c r="N441" i="36"/>
  <c r="N449" i="36" s="1"/>
  <c r="N543" i="36"/>
  <c r="N574" i="36"/>
  <c r="N579" i="36" s="1"/>
  <c r="N670" i="36" s="1"/>
  <c r="G110" i="32"/>
  <c r="N731" i="36"/>
  <c r="N705" i="36" l="1"/>
  <c r="Q61" i="4" s="1"/>
  <c r="R58" i="4" s="1"/>
  <c r="I110" i="32"/>
  <c r="N719" i="36"/>
  <c r="H110" i="32"/>
  <c r="N744" i="36"/>
  <c r="N512" i="36"/>
  <c r="N706" i="36"/>
  <c r="N758" i="36" s="1"/>
  <c r="N444" i="36"/>
  <c r="N450" i="36"/>
  <c r="N481" i="36"/>
  <c r="N486" i="36" s="1"/>
  <c r="N667" i="36" s="1"/>
  <c r="N718" i="36"/>
  <c r="H109" i="32"/>
  <c r="N548" i="36"/>
  <c r="N669" i="36" s="1"/>
  <c r="N544" i="36"/>
  <c r="N549" i="36" s="1"/>
  <c r="N680" i="36" s="1"/>
  <c r="N575" i="36"/>
  <c r="N580" i="36" s="1"/>
  <c r="N681" i="36" s="1"/>
  <c r="J10" i="32" l="1"/>
  <c r="K10" i="32" s="1"/>
  <c r="O9" i="40"/>
  <c r="N757" i="36"/>
  <c r="J110" i="32"/>
  <c r="Q72" i="4"/>
  <c r="R69" i="4" s="1"/>
  <c r="R71" i="4" s="1"/>
  <c r="R62" i="5" s="1"/>
  <c r="R63" i="5" s="1"/>
  <c r="J111" i="32"/>
  <c r="J11" i="32"/>
  <c r="K11" i="32" s="1"/>
  <c r="N513" i="36"/>
  <c r="N518" i="36" s="1"/>
  <c r="N679" i="36" s="1"/>
  <c r="N517" i="36"/>
  <c r="N668" i="36" s="1"/>
  <c r="O10" i="40"/>
  <c r="H106" i="32"/>
  <c r="N715" i="36"/>
  <c r="N455" i="36"/>
  <c r="N666" i="36" s="1"/>
  <c r="H105" i="32" s="1"/>
  <c r="N482" i="36"/>
  <c r="N451" i="36"/>
  <c r="N456" i="36" s="1"/>
  <c r="N677" i="36" s="1"/>
  <c r="N576" i="36"/>
  <c r="N581" i="36" s="1"/>
  <c r="N692" i="36" s="1"/>
  <c r="N742" i="36" s="1"/>
  <c r="N545" i="36"/>
  <c r="N550" i="36" s="1"/>
  <c r="N691" i="36" s="1"/>
  <c r="N717" i="36"/>
  <c r="H108" i="32"/>
  <c r="N730" i="36"/>
  <c r="G109" i="32"/>
  <c r="G108" i="32"/>
  <c r="N729" i="36"/>
  <c r="R32" i="41"/>
  <c r="R64" i="4"/>
  <c r="R60" i="4"/>
  <c r="R52" i="5" s="1"/>
  <c r="R50" i="5"/>
  <c r="R59" i="4"/>
  <c r="R62" i="4"/>
  <c r="N663" i="36" l="1"/>
  <c r="O30" i="36"/>
  <c r="O618" i="36" s="1"/>
  <c r="R33" i="41"/>
  <c r="R70" i="4"/>
  <c r="R60" i="5"/>
  <c r="R73" i="4"/>
  <c r="R74" i="4" s="1"/>
  <c r="R65" i="5" s="1"/>
  <c r="R75" i="4"/>
  <c r="N728" i="36"/>
  <c r="G107" i="32"/>
  <c r="N716" i="36"/>
  <c r="H107" i="32"/>
  <c r="N514" i="36"/>
  <c r="N519" i="36" s="1"/>
  <c r="N690" i="36" s="1"/>
  <c r="N452" i="36"/>
  <c r="N457" i="36" s="1"/>
  <c r="N688" i="36" s="1"/>
  <c r="G105" i="32"/>
  <c r="N726" i="36"/>
  <c r="N483" i="36"/>
  <c r="N488" i="36" s="1"/>
  <c r="N689" i="36" s="1"/>
  <c r="N487" i="36"/>
  <c r="N678" i="36" s="1"/>
  <c r="I109" i="32"/>
  <c r="N704" i="36"/>
  <c r="N756" i="36" s="1"/>
  <c r="I108" i="32"/>
  <c r="N741" i="36"/>
  <c r="N703" i="36"/>
  <c r="O43" i="36"/>
  <c r="R51" i="5"/>
  <c r="O15" i="36" s="1"/>
  <c r="O588" i="36" s="1"/>
  <c r="O29" i="36"/>
  <c r="O587" i="36" s="1"/>
  <c r="R53" i="5"/>
  <c r="R63" i="4"/>
  <c r="R55" i="5" s="1"/>
  <c r="R54" i="5"/>
  <c r="R61" i="5" l="1"/>
  <c r="O16" i="36" s="1"/>
  <c r="O619" i="36" s="1"/>
  <c r="O44" i="36"/>
  <c r="R64" i="5"/>
  <c r="N702" i="36"/>
  <c r="I107" i="32"/>
  <c r="N740" i="36"/>
  <c r="N701" i="36"/>
  <c r="I106" i="32"/>
  <c r="N739" i="36"/>
  <c r="N727" i="36"/>
  <c r="G106" i="32"/>
  <c r="N738" i="36"/>
  <c r="N700" i="36"/>
  <c r="I105" i="32"/>
  <c r="Q49" i="4"/>
  <c r="R46" i="4" s="1"/>
  <c r="R40" i="5" s="1"/>
  <c r="J9" i="32"/>
  <c r="K9" i="32" s="1"/>
  <c r="J109" i="32"/>
  <c r="O8" i="40"/>
  <c r="N755" i="36"/>
  <c r="Q43" i="4"/>
  <c r="O7" i="40"/>
  <c r="J8" i="32"/>
  <c r="K8" i="32" s="1"/>
  <c r="Q39" i="4"/>
  <c r="R35" i="4" s="1"/>
  <c r="J108" i="32"/>
  <c r="O74" i="36"/>
  <c r="P20" i="40"/>
  <c r="O54" i="36"/>
  <c r="O91" i="36" s="1"/>
  <c r="O75" i="36" l="1"/>
  <c r="P21" i="40"/>
  <c r="O55" i="36"/>
  <c r="O92" i="36" s="1"/>
  <c r="N754" i="36"/>
  <c r="Q28" i="4"/>
  <c r="R24" i="4" s="1"/>
  <c r="O6" i="40"/>
  <c r="J107" i="32"/>
  <c r="J7" i="32"/>
  <c r="K7" i="32" s="1"/>
  <c r="O4" i="40"/>
  <c r="J105" i="32"/>
  <c r="Q9" i="4"/>
  <c r="R7" i="4" s="1"/>
  <c r="N752" i="36"/>
  <c r="O5" i="40"/>
  <c r="N753" i="36"/>
  <c r="Q17" i="4"/>
  <c r="R14" i="4" s="1"/>
  <c r="J6" i="32"/>
  <c r="K6" i="32" s="1"/>
  <c r="J106" i="32"/>
  <c r="R48" i="4"/>
  <c r="R42" i="5" s="1"/>
  <c r="R43" i="5" s="1"/>
  <c r="R50" i="4"/>
  <c r="R44" i="5" s="1"/>
  <c r="R47" i="4"/>
  <c r="R52" i="4"/>
  <c r="O42" i="36"/>
  <c r="R41" i="5"/>
  <c r="O14" i="36" s="1"/>
  <c r="O557" i="36" s="1"/>
  <c r="R37" i="4"/>
  <c r="R42" i="4"/>
  <c r="R30" i="41"/>
  <c r="R31" i="41"/>
  <c r="R31" i="5"/>
  <c r="R38" i="4"/>
  <c r="R33" i="5" s="1"/>
  <c r="R40" i="4"/>
  <c r="O159" i="36"/>
  <c r="O169" i="36" s="1"/>
  <c r="P32" i="40"/>
  <c r="O104" i="36"/>
  <c r="S47" i="41"/>
  <c r="O105" i="36" l="1"/>
  <c r="S48" i="41"/>
  <c r="O160" i="36"/>
  <c r="O170" i="36" s="1"/>
  <c r="P33" i="40"/>
  <c r="R29" i="41"/>
  <c r="R29" i="4"/>
  <c r="R22" i="5"/>
  <c r="R31" i="4"/>
  <c r="R27" i="4"/>
  <c r="R24" i="5" s="1"/>
  <c r="R26" i="4"/>
  <c r="R28" i="41"/>
  <c r="R20" i="4"/>
  <c r="R15" i="4"/>
  <c r="R18" i="4"/>
  <c r="R16" i="4"/>
  <c r="R15" i="5" s="1"/>
  <c r="R13" i="5"/>
  <c r="R5" i="5"/>
  <c r="R8" i="4"/>
  <c r="R10" i="4"/>
  <c r="R7" i="5" s="1"/>
  <c r="R8" i="5" s="1"/>
  <c r="R51" i="4"/>
  <c r="R45" i="5" s="1"/>
  <c r="O28" i="36"/>
  <c r="O556" i="36" s="1"/>
  <c r="R34" i="5"/>
  <c r="O27" i="36"/>
  <c r="O525" i="36" s="1"/>
  <c r="O41" i="36"/>
  <c r="R32" i="5"/>
  <c r="O13" i="36" s="1"/>
  <c r="O526" i="36" s="1"/>
  <c r="P19" i="40"/>
  <c r="O73" i="36"/>
  <c r="O53" i="36"/>
  <c r="O90" i="36" s="1"/>
  <c r="R41" i="4"/>
  <c r="R36" i="5" s="1"/>
  <c r="R35" i="5"/>
  <c r="O589" i="36"/>
  <c r="O586" i="36" s="1"/>
  <c r="O116" i="36"/>
  <c r="O620" i="36" l="1"/>
  <c r="O617" i="36" s="1"/>
  <c r="O117" i="36"/>
  <c r="O40" i="36"/>
  <c r="R23" i="5"/>
  <c r="O12" i="36" s="1"/>
  <c r="O495" i="36" s="1"/>
  <c r="R30" i="4"/>
  <c r="R27" i="5" s="1"/>
  <c r="R26" i="5"/>
  <c r="O26" i="36"/>
  <c r="O494" i="36" s="1"/>
  <c r="R25" i="5"/>
  <c r="R17" i="5"/>
  <c r="R19" i="4"/>
  <c r="R18" i="5" s="1"/>
  <c r="R6" i="5"/>
  <c r="O10" i="36" s="1"/>
  <c r="O432" i="36" s="1"/>
  <c r="R9" i="5"/>
  <c r="O38" i="36"/>
  <c r="O39" i="36"/>
  <c r="R14" i="5"/>
  <c r="O11" i="36" s="1"/>
  <c r="O464" i="36" s="1"/>
  <c r="O25" i="36"/>
  <c r="O463" i="36" s="1"/>
  <c r="R16" i="5"/>
  <c r="O103" i="36"/>
  <c r="S46" i="41"/>
  <c r="O52" i="36"/>
  <c r="O89" i="36" s="1"/>
  <c r="P18" i="40"/>
  <c r="O72" i="36"/>
  <c r="O158" i="36"/>
  <c r="O168" i="36" s="1"/>
  <c r="P31" i="40"/>
  <c r="O51" i="36" l="1"/>
  <c r="O88" i="36" s="1"/>
  <c r="O71" i="36"/>
  <c r="P17" i="40"/>
  <c r="O50" i="36"/>
  <c r="O87" i="36" s="1"/>
  <c r="O70" i="36"/>
  <c r="P16" i="40"/>
  <c r="O69" i="36"/>
  <c r="P15" i="40"/>
  <c r="O49" i="36"/>
  <c r="O81" i="36" s="1"/>
  <c r="O83" i="36" s="1"/>
  <c r="O99" i="36" s="1"/>
  <c r="O157" i="36"/>
  <c r="O167" i="36" s="1"/>
  <c r="P30" i="40"/>
  <c r="O102" i="36"/>
  <c r="S45" i="41"/>
  <c r="O558" i="36"/>
  <c r="O555" i="36" s="1"/>
  <c r="O115" i="36"/>
  <c r="O156" i="36" l="1"/>
  <c r="O166" i="36" s="1"/>
  <c r="P29" i="40"/>
  <c r="S44" i="41"/>
  <c r="O101" i="36"/>
  <c r="P27" i="40"/>
  <c r="O154" i="36"/>
  <c r="O164" i="36" s="1"/>
  <c r="O433" i="36"/>
  <c r="O430" i="36" s="1"/>
  <c r="O111" i="36"/>
  <c r="O155" i="36"/>
  <c r="O165" i="36" s="1"/>
  <c r="P28" i="40"/>
  <c r="O100" i="36"/>
  <c r="S43" i="41"/>
  <c r="O114" i="36"/>
  <c r="O527" i="36"/>
  <c r="O524" i="36" s="1"/>
  <c r="S49" i="41" l="1"/>
  <c r="S54" i="41" s="1"/>
  <c r="S66" i="41" s="1"/>
  <c r="O496" i="36"/>
  <c r="O493" i="36" s="1"/>
  <c r="O113" i="36"/>
  <c r="O171" i="36"/>
  <c r="O178" i="36" s="1"/>
  <c r="O465" i="36"/>
  <c r="O462" i="36" s="1"/>
  <c r="O112" i="36"/>
  <c r="S56" i="41" l="1"/>
  <c r="S68" i="41" s="1"/>
  <c r="S31" i="41" s="1"/>
  <c r="S11" i="41" s="1"/>
  <c r="S58" i="41"/>
  <c r="S70" i="41" s="1"/>
  <c r="S79" i="41" s="1"/>
  <c r="S57" i="41"/>
  <c r="S69" i="41" s="1"/>
  <c r="S78" i="41" s="1"/>
  <c r="S53" i="41"/>
  <c r="S65" i="41" s="1"/>
  <c r="S28" i="41" s="1"/>
  <c r="S8" i="41" s="1"/>
  <c r="S55" i="41"/>
  <c r="S67" i="41" s="1"/>
  <c r="S76" i="41" s="1"/>
  <c r="O175" i="36"/>
  <c r="O180" i="36"/>
  <c r="O176" i="36"/>
  <c r="O118" i="36"/>
  <c r="O123" i="36" s="1"/>
  <c r="O132" i="36" s="1"/>
  <c r="O145" i="36" s="1"/>
  <c r="O177" i="36"/>
  <c r="O179" i="36"/>
  <c r="O181" i="36"/>
  <c r="S77" i="41"/>
  <c r="S29" i="41"/>
  <c r="S9" i="41" s="1"/>
  <c r="S75" i="41"/>
  <c r="S33" i="41" l="1"/>
  <c r="S13" i="41" s="1"/>
  <c r="S32" i="41"/>
  <c r="S12" i="41" s="1"/>
  <c r="S74" i="41"/>
  <c r="S105" i="41" s="1"/>
  <c r="S30" i="41"/>
  <c r="S10" i="41" s="1"/>
  <c r="O214" i="36"/>
  <c r="O215" i="36" s="1"/>
  <c r="O233" i="36" s="1"/>
  <c r="O137" i="36"/>
  <c r="O150" i="36" s="1"/>
  <c r="O182" i="36"/>
  <c r="O134" i="36"/>
  <c r="O147" i="36" s="1"/>
  <c r="O135" i="36"/>
  <c r="O148" i="36" s="1"/>
  <c r="O136" i="36"/>
  <c r="O149" i="36" s="1"/>
  <c r="O138" i="36"/>
  <c r="O151" i="36" s="1"/>
  <c r="O133" i="36"/>
  <c r="O146" i="36" s="1"/>
  <c r="S83" i="41"/>
  <c r="S106" i="41"/>
  <c r="S82" i="41"/>
  <c r="S85" i="41"/>
  <c r="S108" i="41"/>
  <c r="S87" i="41"/>
  <c r="S110" i="41"/>
  <c r="S86" i="41"/>
  <c r="S109" i="41"/>
  <c r="S107" i="41"/>
  <c r="S84" i="41"/>
  <c r="O232" i="36" l="1"/>
  <c r="O218" i="36"/>
  <c r="O234" i="36"/>
  <c r="O217" i="36"/>
  <c r="O231" i="36"/>
  <c r="O229" i="36"/>
  <c r="O221" i="36"/>
  <c r="O220" i="36"/>
  <c r="O230" i="36"/>
  <c r="O235" i="36"/>
  <c r="O219" i="36"/>
  <c r="O152" i="36"/>
  <c r="O139" i="36"/>
  <c r="O141" i="36" s="1"/>
  <c r="O195" i="36" s="1"/>
  <c r="O205" i="36" s="1"/>
  <c r="S88" i="41"/>
  <c r="O239" i="36" l="1"/>
  <c r="O240" i="36" s="1"/>
  <c r="O260" i="36" s="1"/>
  <c r="O192" i="36"/>
  <c r="O202" i="36" s="1"/>
  <c r="O191" i="36"/>
  <c r="O201" i="36" s="1"/>
  <c r="O196" i="36"/>
  <c r="O206" i="36" s="1"/>
  <c r="O190" i="36"/>
  <c r="O200" i="36" s="1"/>
  <c r="O194" i="36"/>
  <c r="O204" i="36" s="1"/>
  <c r="O193" i="36"/>
  <c r="O203" i="36" s="1"/>
  <c r="O259" i="36" l="1"/>
  <c r="O255" i="36"/>
  <c r="O254" i="36"/>
  <c r="O242" i="36"/>
  <c r="O243" i="36"/>
  <c r="O246" i="36"/>
  <c r="O257" i="36"/>
  <c r="O248" i="36"/>
  <c r="O244" i="36"/>
  <c r="O256" i="36"/>
  <c r="O258" i="36"/>
  <c r="O207" i="36"/>
  <c r="O197" i="36"/>
  <c r="O209" i="36" s="1"/>
  <c r="O222" i="36" s="1"/>
  <c r="O264" i="36" l="1"/>
  <c r="O265" i="36" s="1"/>
  <c r="O282" i="36" s="1"/>
  <c r="O223" i="36"/>
  <c r="O224" i="36" s="1"/>
  <c r="O226" i="36" s="1"/>
  <c r="O245" i="36" l="1"/>
  <c r="O247" i="36"/>
  <c r="O279" i="36"/>
  <c r="O271" i="36"/>
  <c r="O269" i="36"/>
  <c r="O280" i="36"/>
  <c r="O267" i="36"/>
  <c r="O268" i="36"/>
  <c r="O270" i="36"/>
  <c r="O284" i="36"/>
  <c r="O281" i="36"/>
  <c r="O285" i="36"/>
  <c r="O273" i="36"/>
  <c r="O283" i="36"/>
  <c r="O289" i="36" l="1"/>
  <c r="O290" i="36" s="1"/>
  <c r="O294" i="36" s="1"/>
  <c r="O249" i="36"/>
  <c r="O251" i="36" s="1"/>
  <c r="O272" i="36" s="1"/>
  <c r="O274" i="36" s="1"/>
  <c r="O276" i="36" s="1"/>
  <c r="O293" i="36" l="1"/>
  <c r="O304" i="36"/>
  <c r="O306" i="36"/>
  <c r="O307" i="36"/>
  <c r="O309" i="36"/>
  <c r="O310" i="36"/>
  <c r="O292" i="36"/>
  <c r="O296" i="36"/>
  <c r="O308" i="36"/>
  <c r="O298" i="36"/>
  <c r="O297" i="36"/>
  <c r="O305" i="36"/>
  <c r="O295" i="36"/>
  <c r="O314" i="36" l="1"/>
  <c r="O315" i="36" s="1"/>
  <c r="O319" i="36" s="1"/>
  <c r="O299" i="36"/>
  <c r="O301" i="36" s="1"/>
  <c r="O334" i="36" l="1"/>
  <c r="O330" i="36"/>
  <c r="O335" i="36"/>
  <c r="O321" i="36"/>
  <c r="O331" i="36"/>
  <c r="O329" i="36"/>
  <c r="O323" i="36"/>
  <c r="O332" i="36"/>
  <c r="O318" i="36"/>
  <c r="O322" i="36"/>
  <c r="O333" i="36"/>
  <c r="O320" i="36"/>
  <c r="O317" i="36"/>
  <c r="O324" i="36" l="1"/>
  <c r="O326" i="36" s="1"/>
  <c r="O339" i="36"/>
  <c r="O340" i="36" s="1"/>
  <c r="O356" i="36" s="1"/>
  <c r="O348" i="36" l="1"/>
  <c r="O360" i="36"/>
  <c r="O357" i="36"/>
  <c r="O343" i="36"/>
  <c r="O359" i="36"/>
  <c r="O342" i="36"/>
  <c r="O355" i="36"/>
  <c r="O346" i="36"/>
  <c r="O345" i="36"/>
  <c r="O354" i="36"/>
  <c r="O347" i="36"/>
  <c r="O358" i="36"/>
  <c r="O344" i="36"/>
  <c r="O349" i="36" l="1"/>
  <c r="O351" i="36" s="1"/>
  <c r="O364" i="36"/>
  <c r="O365" i="36" s="1"/>
  <c r="O383" i="36" s="1"/>
  <c r="O373" i="36" l="1"/>
  <c r="O396" i="36" s="1"/>
  <c r="O407" i="36" s="1"/>
  <c r="O367" i="36"/>
  <c r="O390" i="36" s="1"/>
  <c r="O401" i="36" s="1"/>
  <c r="O379" i="36"/>
  <c r="O382" i="36"/>
  <c r="O370" i="36"/>
  <c r="O393" i="36" s="1"/>
  <c r="O420" i="36" s="1"/>
  <c r="O523" i="36" s="1"/>
  <c r="O530" i="36" s="1"/>
  <c r="O532" i="36" s="1"/>
  <c r="O371" i="36"/>
  <c r="O394" i="36" s="1"/>
  <c r="O421" i="36" s="1"/>
  <c r="O554" i="36" s="1"/>
  <c r="O561" i="36" s="1"/>
  <c r="O564" i="36" s="1"/>
  <c r="O570" i="36" s="1"/>
  <c r="O369" i="36"/>
  <c r="O392" i="36" s="1"/>
  <c r="O403" i="36" s="1"/>
  <c r="O381" i="36"/>
  <c r="O380" i="36"/>
  <c r="O372" i="36"/>
  <c r="O395" i="36" s="1"/>
  <c r="O422" i="36" s="1"/>
  <c r="O585" i="36" s="1"/>
  <c r="O592" i="36" s="1"/>
  <c r="O596" i="36" s="1"/>
  <c r="O602" i="36" s="1"/>
  <c r="O385" i="36"/>
  <c r="O384" i="36"/>
  <c r="O368" i="36"/>
  <c r="O391" i="36" s="1"/>
  <c r="O418" i="36" s="1"/>
  <c r="O461" i="36" s="1"/>
  <c r="O468" i="36" s="1"/>
  <c r="O472" i="36" s="1"/>
  <c r="O478" i="36" s="1"/>
  <c r="O423" i="36" l="1"/>
  <c r="O616" i="36" s="1"/>
  <c r="O623" i="36" s="1"/>
  <c r="O626" i="36" s="1"/>
  <c r="O632" i="36" s="1"/>
  <c r="O417" i="36"/>
  <c r="O429" i="36" s="1"/>
  <c r="O436" i="36" s="1"/>
  <c r="O440" i="36" s="1"/>
  <c r="O447" i="36" s="1"/>
  <c r="O563" i="36"/>
  <c r="O569" i="36" s="1"/>
  <c r="O533" i="36"/>
  <c r="O539" i="36" s="1"/>
  <c r="O419" i="36"/>
  <c r="O492" i="36" s="1"/>
  <c r="O499" i="36" s="1"/>
  <c r="O503" i="36" s="1"/>
  <c r="O509" i="36" s="1"/>
  <c r="O565" i="36"/>
  <c r="O571" i="36" s="1"/>
  <c r="O405" i="36"/>
  <c r="O534" i="36"/>
  <c r="O540" i="36" s="1"/>
  <c r="O404" i="36"/>
  <c r="O402" i="36"/>
  <c r="O471" i="36"/>
  <c r="O477" i="36" s="1"/>
  <c r="O470" i="36"/>
  <c r="O476" i="36" s="1"/>
  <c r="O595" i="36"/>
  <c r="O601" i="36" s="1"/>
  <c r="O397" i="36"/>
  <c r="O594" i="36"/>
  <c r="O406" i="36"/>
  <c r="O374" i="36"/>
  <c r="O376" i="36" s="1"/>
  <c r="O538" i="36"/>
  <c r="O439" i="36" l="1"/>
  <c r="O446" i="36" s="1"/>
  <c r="O625" i="36"/>
  <c r="O631" i="36" s="1"/>
  <c r="O627" i="36"/>
  <c r="O633" i="36" s="1"/>
  <c r="O438" i="36"/>
  <c r="O568" i="36"/>
  <c r="O566" i="36"/>
  <c r="O573" i="36" s="1"/>
  <c r="O574" i="36" s="1"/>
  <c r="O502" i="36"/>
  <c r="O508" i="36" s="1"/>
  <c r="O597" i="36"/>
  <c r="O604" i="36" s="1"/>
  <c r="O501" i="36"/>
  <c r="O507" i="36" s="1"/>
  <c r="O600" i="36"/>
  <c r="O599" i="36" s="1"/>
  <c r="O537" i="36"/>
  <c r="O535" i="36"/>
  <c r="O542" i="36" s="1"/>
  <c r="O543" i="36" s="1"/>
  <c r="O473" i="36"/>
  <c r="O480" i="36" s="1"/>
  <c r="O481" i="36" s="1"/>
  <c r="O475" i="36"/>
  <c r="O441" i="36" l="1"/>
  <c r="O449" i="36" s="1"/>
  <c r="O630" i="36"/>
  <c r="O628" i="36"/>
  <c r="O635" i="36" s="1"/>
  <c r="O636" i="36" s="1"/>
  <c r="O641" i="36" s="1"/>
  <c r="O672" i="36" s="1"/>
  <c r="O720" i="36" s="1"/>
  <c r="O445" i="36"/>
  <c r="O506" i="36"/>
  <c r="O605" i="36"/>
  <c r="O610" i="36" s="1"/>
  <c r="O671" i="36" s="1"/>
  <c r="O719" i="36" s="1"/>
  <c r="O504" i="36"/>
  <c r="O511" i="36" s="1"/>
  <c r="O512" i="36" s="1"/>
  <c r="O517" i="36" s="1"/>
  <c r="O668" i="36" s="1"/>
  <c r="O716" i="36" s="1"/>
  <c r="O575" i="36"/>
  <c r="O580" i="36" s="1"/>
  <c r="O681" i="36" s="1"/>
  <c r="O730" i="36" s="1"/>
  <c r="O579" i="36"/>
  <c r="O670" i="36" s="1"/>
  <c r="O718" i="36" s="1"/>
  <c r="O486" i="36"/>
  <c r="O667" i="36" s="1"/>
  <c r="O715" i="36" s="1"/>
  <c r="O482" i="36"/>
  <c r="O548" i="36"/>
  <c r="O669" i="36" s="1"/>
  <c r="O717" i="36" s="1"/>
  <c r="O544" i="36"/>
  <c r="O450" i="36" l="1"/>
  <c r="O451" i="36" s="1"/>
  <c r="O444" i="36"/>
  <c r="O637" i="36"/>
  <c r="O642" i="36" s="1"/>
  <c r="O683" i="36" s="1"/>
  <c r="O732" i="36" s="1"/>
  <c r="O606" i="36"/>
  <c r="O611" i="36" s="1"/>
  <c r="O682" i="36" s="1"/>
  <c r="O731" i="36" s="1"/>
  <c r="O513" i="36"/>
  <c r="O518" i="36" s="1"/>
  <c r="O679" i="36" s="1"/>
  <c r="O728" i="36" s="1"/>
  <c r="O549" i="36"/>
  <c r="O680" i="36" s="1"/>
  <c r="O729" i="36" s="1"/>
  <c r="O545" i="36"/>
  <c r="O550" i="36" s="1"/>
  <c r="O691" i="36" s="1"/>
  <c r="O487" i="36"/>
  <c r="O678" i="36" s="1"/>
  <c r="O727" i="36" s="1"/>
  <c r="O483" i="36"/>
  <c r="O488" i="36" s="1"/>
  <c r="O689" i="36" s="1"/>
  <c r="O576" i="36"/>
  <c r="O581" i="36" s="1"/>
  <c r="O692" i="36" s="1"/>
  <c r="O455" i="36" l="1"/>
  <c r="O666" i="36" s="1"/>
  <c r="O663" i="36" s="1"/>
  <c r="O638" i="36"/>
  <c r="O643" i="36" s="1"/>
  <c r="O694" i="36" s="1"/>
  <c r="O744" i="36" s="1"/>
  <c r="O607" i="36"/>
  <c r="O612" i="36" s="1"/>
  <c r="O693" i="36" s="1"/>
  <c r="O705" i="36" s="1"/>
  <c r="O514" i="36"/>
  <c r="O519" i="36" s="1"/>
  <c r="O690" i="36" s="1"/>
  <c r="O740" i="36" s="1"/>
  <c r="O739" i="36"/>
  <c r="O701" i="36"/>
  <c r="O452" i="36"/>
  <c r="O457" i="36" s="1"/>
  <c r="O688" i="36" s="1"/>
  <c r="O456" i="36"/>
  <c r="O677" i="36" s="1"/>
  <c r="O726" i="36" s="1"/>
  <c r="O703" i="36"/>
  <c r="O741" i="36"/>
  <c r="O742" i="36"/>
  <c r="O704" i="36"/>
  <c r="O706" i="36" l="1"/>
  <c r="O758" i="36" s="1"/>
  <c r="O743" i="36"/>
  <c r="O702" i="36"/>
  <c r="O754" i="36" s="1"/>
  <c r="P7" i="40"/>
  <c r="R39" i="4"/>
  <c r="S35" i="4" s="1"/>
  <c r="O755" i="36"/>
  <c r="O738" i="36"/>
  <c r="O700" i="36"/>
  <c r="P8" i="40"/>
  <c r="R49" i="4"/>
  <c r="S46" i="4" s="1"/>
  <c r="O756" i="36"/>
  <c r="P9" i="40"/>
  <c r="R61" i="4"/>
  <c r="S58" i="4" s="1"/>
  <c r="O757" i="36"/>
  <c r="O753" i="36"/>
  <c r="R17" i="4"/>
  <c r="S14" i="4" s="1"/>
  <c r="P5" i="40"/>
  <c r="P10" i="40" l="1"/>
  <c r="R72" i="4"/>
  <c r="S69" i="4" s="1"/>
  <c r="S60" i="5" s="1"/>
  <c r="R28" i="4"/>
  <c r="S24" i="4" s="1"/>
  <c r="S29" i="4" s="1"/>
  <c r="S26" i="5" s="1"/>
  <c r="P6" i="40"/>
  <c r="S15" i="4"/>
  <c r="S13" i="5"/>
  <c r="S20" i="4"/>
  <c r="S16" i="4"/>
  <c r="S15" i="5" s="1"/>
  <c r="S18" i="4"/>
  <c r="S52" i="4"/>
  <c r="S50" i="4"/>
  <c r="S40" i="5"/>
  <c r="S48" i="4"/>
  <c r="S42" i="5" s="1"/>
  <c r="S47" i="4"/>
  <c r="S60" i="4"/>
  <c r="S52" i="5" s="1"/>
  <c r="S62" i="4"/>
  <c r="S59" i="4"/>
  <c r="S64" i="4"/>
  <c r="S50" i="5"/>
  <c r="S40" i="4"/>
  <c r="S37" i="4"/>
  <c r="S31" i="5"/>
  <c r="S38" i="4"/>
  <c r="S33" i="5" s="1"/>
  <c r="S42" i="4"/>
  <c r="O752" i="36"/>
  <c r="P4" i="40"/>
  <c r="R9" i="4"/>
  <c r="S7" i="4" s="1"/>
  <c r="S70" i="4" l="1"/>
  <c r="S71" i="4"/>
  <c r="S62" i="5" s="1"/>
  <c r="P30" i="36" s="1"/>
  <c r="P618" i="36" s="1"/>
  <c r="S75" i="4"/>
  <c r="S73" i="4"/>
  <c r="S64" i="5" s="1"/>
  <c r="S31" i="4"/>
  <c r="S30" i="4"/>
  <c r="S27" i="5" s="1"/>
  <c r="S27" i="4"/>
  <c r="S24" i="5" s="1"/>
  <c r="P26" i="36" s="1"/>
  <c r="P494" i="36" s="1"/>
  <c r="S26" i="4"/>
  <c r="S22" i="5"/>
  <c r="S23" i="5" s="1"/>
  <c r="P12" i="36" s="1"/>
  <c r="P495" i="36" s="1"/>
  <c r="S61" i="5"/>
  <c r="P16" i="36" s="1"/>
  <c r="P619" i="36" s="1"/>
  <c r="P44" i="36"/>
  <c r="S35" i="5"/>
  <c r="S41" i="4"/>
  <c r="S36" i="5" s="1"/>
  <c r="S54" i="5"/>
  <c r="S63" i="4"/>
  <c r="S55" i="5" s="1"/>
  <c r="S41" i="5"/>
  <c r="P14" i="36" s="1"/>
  <c r="P557" i="36" s="1"/>
  <c r="P42" i="36"/>
  <c r="S16" i="5"/>
  <c r="P25" i="36"/>
  <c r="P463" i="36" s="1"/>
  <c r="S8" i="4"/>
  <c r="S5" i="5"/>
  <c r="S10" i="4"/>
  <c r="S7" i="5" s="1"/>
  <c r="S8" i="5" s="1"/>
  <c r="P29" i="36"/>
  <c r="P587" i="36" s="1"/>
  <c r="S53" i="5"/>
  <c r="S51" i="4"/>
  <c r="S45" i="5" s="1"/>
  <c r="S44" i="5"/>
  <c r="P27" i="36"/>
  <c r="P525" i="36" s="1"/>
  <c r="S34" i="5"/>
  <c r="S51" i="5"/>
  <c r="P15" i="36" s="1"/>
  <c r="P588" i="36" s="1"/>
  <c r="P43" i="36"/>
  <c r="S32" i="5"/>
  <c r="P13" i="36" s="1"/>
  <c r="P526" i="36" s="1"/>
  <c r="P41" i="36"/>
  <c r="S14" i="5"/>
  <c r="P11" i="36" s="1"/>
  <c r="P464" i="36" s="1"/>
  <c r="P39" i="36"/>
  <c r="S43" i="5"/>
  <c r="P28" i="36"/>
  <c r="P556" i="36" s="1"/>
  <c r="S19" i="4"/>
  <c r="S18" i="5" s="1"/>
  <c r="S17" i="5"/>
  <c r="S74" i="4" l="1"/>
  <c r="S65" i="5" s="1"/>
  <c r="S63" i="5"/>
  <c r="P40" i="36"/>
  <c r="P71" i="36" s="1"/>
  <c r="S25" i="5"/>
  <c r="P75" i="36"/>
  <c r="P55" i="36"/>
  <c r="P92" i="36" s="1"/>
  <c r="Q21" i="40"/>
  <c r="P50" i="36"/>
  <c r="P87" i="36" s="1"/>
  <c r="P70" i="36"/>
  <c r="Q16" i="40"/>
  <c r="P74" i="36"/>
  <c r="P54" i="36"/>
  <c r="P91" i="36" s="1"/>
  <c r="Q20" i="40"/>
  <c r="S6" i="5"/>
  <c r="P10" i="36" s="1"/>
  <c r="P432" i="36" s="1"/>
  <c r="S9" i="5"/>
  <c r="P38" i="36"/>
  <c r="Q19" i="40"/>
  <c r="P53" i="36"/>
  <c r="P90" i="36" s="1"/>
  <c r="P73" i="36"/>
  <c r="P52" i="36"/>
  <c r="P89" i="36" s="1"/>
  <c r="P72" i="36"/>
  <c r="Q18" i="40"/>
  <c r="P51" i="36" l="1"/>
  <c r="P88" i="36" s="1"/>
  <c r="T44" i="41" s="1"/>
  <c r="Q17" i="40"/>
  <c r="P156" i="36"/>
  <c r="P166" i="36" s="1"/>
  <c r="Q29" i="40"/>
  <c r="P105" i="36"/>
  <c r="T48" i="41"/>
  <c r="P160" i="36"/>
  <c r="P170" i="36" s="1"/>
  <c r="Q33" i="40"/>
  <c r="T46" i="41"/>
  <c r="P103" i="36"/>
  <c r="P158" i="36"/>
  <c r="P168" i="36" s="1"/>
  <c r="Q31" i="40"/>
  <c r="Q30" i="40"/>
  <c r="P157" i="36"/>
  <c r="P167" i="36" s="1"/>
  <c r="P102" i="36"/>
  <c r="T45" i="41"/>
  <c r="Q15" i="40"/>
  <c r="P49" i="36"/>
  <c r="P81" i="36" s="1"/>
  <c r="P83" i="36" s="1"/>
  <c r="P99" i="36" s="1"/>
  <c r="P69" i="36"/>
  <c r="P104" i="36"/>
  <c r="T47" i="41"/>
  <c r="Q28" i="40"/>
  <c r="P155" i="36"/>
  <c r="P165" i="36" s="1"/>
  <c r="Q32" i="40"/>
  <c r="P159" i="36"/>
  <c r="P169" i="36" s="1"/>
  <c r="T43" i="41"/>
  <c r="P100" i="36"/>
  <c r="P101" i="36" l="1"/>
  <c r="P496" i="36" s="1"/>
  <c r="P493" i="36" s="1"/>
  <c r="P117" i="36"/>
  <c r="P620" i="36"/>
  <c r="P617" i="36" s="1"/>
  <c r="P112" i="36"/>
  <c r="P465" i="36"/>
  <c r="P462" i="36" s="1"/>
  <c r="T49" i="41"/>
  <c r="T53" i="41" s="1"/>
  <c r="T65" i="41" s="1"/>
  <c r="P116" i="36"/>
  <c r="P589" i="36"/>
  <c r="P586" i="36" s="1"/>
  <c r="Q27" i="40"/>
  <c r="P154" i="36"/>
  <c r="P164" i="36" s="1"/>
  <c r="P527" i="36"/>
  <c r="P524" i="36" s="1"/>
  <c r="P114" i="36"/>
  <c r="P111" i="36"/>
  <c r="P433" i="36"/>
  <c r="P430" i="36" s="1"/>
  <c r="P558" i="36"/>
  <c r="P555" i="36" s="1"/>
  <c r="P115" i="36"/>
  <c r="P113" i="36" l="1"/>
  <c r="P118" i="36" s="1"/>
  <c r="P123" i="36" s="1"/>
  <c r="P135" i="36" s="1"/>
  <c r="P148" i="36" s="1"/>
  <c r="T56" i="41"/>
  <c r="T68" i="41" s="1"/>
  <c r="T31" i="41" s="1"/>
  <c r="T11" i="41" s="1"/>
  <c r="T55" i="41"/>
  <c r="T67" i="41" s="1"/>
  <c r="T76" i="41" s="1"/>
  <c r="T57" i="41"/>
  <c r="T69" i="41" s="1"/>
  <c r="T54" i="41"/>
  <c r="T66" i="41" s="1"/>
  <c r="T58" i="41"/>
  <c r="T70" i="41" s="1"/>
  <c r="T28" i="41"/>
  <c r="T8" i="41" s="1"/>
  <c r="T74" i="41"/>
  <c r="P171" i="36"/>
  <c r="T30" i="41" l="1"/>
  <c r="T10" i="41" s="1"/>
  <c r="T77" i="41"/>
  <c r="T85" i="41" s="1"/>
  <c r="P181" i="36"/>
  <c r="P178" i="36"/>
  <c r="P176" i="36"/>
  <c r="P180" i="36"/>
  <c r="P179" i="36"/>
  <c r="P177" i="36"/>
  <c r="T78" i="41"/>
  <c r="T32" i="41"/>
  <c r="T12" i="41" s="1"/>
  <c r="P132" i="36"/>
  <c r="P137" i="36"/>
  <c r="P150" i="36" s="1"/>
  <c r="P133" i="36"/>
  <c r="P146" i="36" s="1"/>
  <c r="P138" i="36"/>
  <c r="P151" i="36" s="1"/>
  <c r="P136" i="36"/>
  <c r="P149" i="36" s="1"/>
  <c r="P134" i="36"/>
  <c r="P147" i="36" s="1"/>
  <c r="T84" i="41"/>
  <c r="T107" i="41"/>
  <c r="T105" i="41"/>
  <c r="T82" i="41"/>
  <c r="T33" i="41"/>
  <c r="T13" i="41" s="1"/>
  <c r="T79" i="41"/>
  <c r="P175" i="36"/>
  <c r="T75" i="41"/>
  <c r="T29" i="41"/>
  <c r="T9" i="41" s="1"/>
  <c r="T108" i="41" l="1"/>
  <c r="P182" i="36"/>
  <c r="P214" i="36"/>
  <c r="P215" i="36" s="1"/>
  <c r="P139" i="36"/>
  <c r="P141" i="36" s="1"/>
  <c r="P145" i="36"/>
  <c r="P152" i="36" s="1"/>
  <c r="T87" i="41"/>
  <c r="T110" i="41"/>
  <c r="T86" i="41"/>
  <c r="T109" i="41"/>
  <c r="T106" i="41"/>
  <c r="T83" i="41"/>
  <c r="T88" i="41" l="1"/>
  <c r="P191" i="36"/>
  <c r="P201" i="36" s="1"/>
  <c r="P195" i="36"/>
  <c r="P205" i="36" s="1"/>
  <c r="P196" i="36"/>
  <c r="P206" i="36" s="1"/>
  <c r="P190" i="36"/>
  <c r="P193" i="36"/>
  <c r="P203" i="36" s="1"/>
  <c r="P192" i="36"/>
  <c r="P202" i="36" s="1"/>
  <c r="P194" i="36"/>
  <c r="P204" i="36" s="1"/>
  <c r="P231" i="36"/>
  <c r="P234" i="36"/>
  <c r="P233" i="36"/>
  <c r="P230" i="36"/>
  <c r="P218" i="36"/>
  <c r="P221" i="36"/>
  <c r="P217" i="36"/>
  <c r="P219" i="36"/>
  <c r="P235" i="36"/>
  <c r="P223" i="36"/>
  <c r="P229" i="36"/>
  <c r="P232" i="36"/>
  <c r="P239" i="36" l="1"/>
  <c r="P240" i="36" s="1"/>
  <c r="P256" i="36" s="1"/>
  <c r="P200" i="36"/>
  <c r="P207" i="36" s="1"/>
  <c r="P197" i="36"/>
  <c r="P209" i="36" s="1"/>
  <c r="P220" i="36" l="1"/>
  <c r="P222" i="36"/>
  <c r="P247" i="36"/>
  <c r="P260" i="36"/>
  <c r="P243" i="36"/>
  <c r="P254" i="36"/>
  <c r="P258" i="36"/>
  <c r="P244" i="36"/>
  <c r="P259" i="36"/>
  <c r="P255" i="36"/>
  <c r="P242" i="36"/>
  <c r="P246" i="36"/>
  <c r="P257" i="36"/>
  <c r="P248" i="36"/>
  <c r="P224" i="36" l="1"/>
  <c r="P226" i="36" s="1"/>
  <c r="P245" i="36" s="1"/>
  <c r="P249" i="36" s="1"/>
  <c r="P251" i="36" s="1"/>
  <c r="P264" i="36"/>
  <c r="P265" i="36" s="1"/>
  <c r="P281" i="36" s="1"/>
  <c r="P280" i="36" l="1"/>
  <c r="P285" i="36"/>
  <c r="P284" i="36"/>
  <c r="P267" i="36"/>
  <c r="P279" i="36"/>
  <c r="P270" i="36"/>
  <c r="P269" i="36"/>
  <c r="P268" i="36"/>
  <c r="P282" i="36"/>
  <c r="P272" i="36"/>
  <c r="P283" i="36"/>
  <c r="P271" i="36"/>
  <c r="P273" i="36"/>
  <c r="P289" i="36" l="1"/>
  <c r="P290" i="36" s="1"/>
  <c r="P309" i="36" s="1"/>
  <c r="P274" i="36"/>
  <c r="P276" i="36" s="1"/>
  <c r="P292" i="36" l="1"/>
  <c r="P305" i="36"/>
  <c r="P295" i="36"/>
  <c r="P293" i="36"/>
  <c r="P307" i="36"/>
  <c r="P304" i="36"/>
  <c r="P306" i="36"/>
  <c r="P310" i="36"/>
  <c r="P294" i="36"/>
  <c r="P296" i="36"/>
  <c r="P297" i="36"/>
  <c r="P308" i="36"/>
  <c r="P298" i="36"/>
  <c r="P299" i="36" l="1"/>
  <c r="P301" i="36" s="1"/>
  <c r="P314" i="36"/>
  <c r="P315" i="36" s="1"/>
  <c r="P330" i="36" s="1"/>
  <c r="P323" i="36" l="1"/>
  <c r="P333" i="36"/>
  <c r="P321" i="36"/>
  <c r="P335" i="36"/>
  <c r="P318" i="36"/>
  <c r="P320" i="36"/>
  <c r="P332" i="36"/>
  <c r="P317" i="36"/>
  <c r="P322" i="36"/>
  <c r="P334" i="36"/>
  <c r="P329" i="36"/>
  <c r="P319" i="36"/>
  <c r="P331" i="36"/>
  <c r="P324" i="36" l="1"/>
  <c r="P326" i="36" s="1"/>
  <c r="P339" i="36"/>
  <c r="P340" i="36" s="1"/>
  <c r="P355" i="36" s="1"/>
  <c r="P347" i="36" l="1"/>
  <c r="P354" i="36"/>
  <c r="P360" i="36"/>
  <c r="P343" i="36"/>
  <c r="P359" i="36"/>
  <c r="P357" i="36"/>
  <c r="P356" i="36"/>
  <c r="P348" i="36"/>
  <c r="P358" i="36"/>
  <c r="P342" i="36"/>
  <c r="P345" i="36"/>
  <c r="P344" i="36"/>
  <c r="P346" i="36"/>
  <c r="P364" i="36" l="1"/>
  <c r="P365" i="36" s="1"/>
  <c r="P372" i="36" s="1"/>
  <c r="P395" i="36" s="1"/>
  <c r="P406" i="36" s="1"/>
  <c r="P349" i="36"/>
  <c r="P351" i="36" s="1"/>
  <c r="P373" i="36" l="1"/>
  <c r="P396" i="36" s="1"/>
  <c r="P423" i="36" s="1"/>
  <c r="P616" i="36" s="1"/>
  <c r="P623" i="36" s="1"/>
  <c r="P379" i="36"/>
  <c r="P383" i="36"/>
  <c r="P367" i="36"/>
  <c r="P390" i="36" s="1"/>
  <c r="P401" i="36" s="1"/>
  <c r="P422" i="36"/>
  <c r="P585" i="36" s="1"/>
  <c r="P592" i="36" s="1"/>
  <c r="P595" i="36" s="1"/>
  <c r="P601" i="36" s="1"/>
  <c r="P382" i="36"/>
  <c r="P385" i="36"/>
  <c r="P368" i="36"/>
  <c r="P391" i="36" s="1"/>
  <c r="P402" i="36" s="1"/>
  <c r="P384" i="36"/>
  <c r="P381" i="36"/>
  <c r="P369" i="36"/>
  <c r="P392" i="36" s="1"/>
  <c r="P403" i="36" s="1"/>
  <c r="P370" i="36"/>
  <c r="P393" i="36" s="1"/>
  <c r="P404" i="36" s="1"/>
  <c r="P380" i="36"/>
  <c r="P371" i="36"/>
  <c r="P394" i="36" s="1"/>
  <c r="P421" i="36" s="1"/>
  <c r="P554" i="36" s="1"/>
  <c r="P561" i="36" s="1"/>
  <c r="P565" i="36" s="1"/>
  <c r="P571" i="36" s="1"/>
  <c r="P407" i="36" l="1"/>
  <c r="P596" i="36"/>
  <c r="P602" i="36" s="1"/>
  <c r="P594" i="36"/>
  <c r="P600" i="36" s="1"/>
  <c r="P374" i="36"/>
  <c r="P376" i="36" s="1"/>
  <c r="P419" i="36"/>
  <c r="P492" i="36" s="1"/>
  <c r="P499" i="36" s="1"/>
  <c r="P501" i="36" s="1"/>
  <c r="P507" i="36" s="1"/>
  <c r="P418" i="36"/>
  <c r="P461" i="36" s="1"/>
  <c r="P468" i="36" s="1"/>
  <c r="P471" i="36" s="1"/>
  <c r="P477" i="36" s="1"/>
  <c r="P420" i="36"/>
  <c r="P523" i="36" s="1"/>
  <c r="P530" i="36" s="1"/>
  <c r="P532" i="36" s="1"/>
  <c r="P417" i="36"/>
  <c r="P429" i="36" s="1"/>
  <c r="P436" i="36" s="1"/>
  <c r="P439" i="36" s="1"/>
  <c r="P446" i="36" s="1"/>
  <c r="P405" i="36"/>
  <c r="P564" i="36"/>
  <c r="P570" i="36" s="1"/>
  <c r="P563" i="36"/>
  <c r="P569" i="36" s="1"/>
  <c r="P397" i="36"/>
  <c r="P625" i="36"/>
  <c r="P626" i="36"/>
  <c r="P632" i="36" s="1"/>
  <c r="P627" i="36"/>
  <c r="P633" i="36" s="1"/>
  <c r="P599" i="36" l="1"/>
  <c r="P597" i="36"/>
  <c r="P604" i="36" s="1"/>
  <c r="P605" i="36" s="1"/>
  <c r="P502" i="36"/>
  <c r="P508" i="36" s="1"/>
  <c r="P503" i="36"/>
  <c r="P509" i="36" s="1"/>
  <c r="P533" i="36"/>
  <c r="P539" i="36" s="1"/>
  <c r="P470" i="36"/>
  <c r="P476" i="36" s="1"/>
  <c r="P472" i="36"/>
  <c r="P478" i="36" s="1"/>
  <c r="P534" i="36"/>
  <c r="P540" i="36" s="1"/>
  <c r="P438" i="36"/>
  <c r="P445" i="36" s="1"/>
  <c r="P440" i="36"/>
  <c r="P447" i="36" s="1"/>
  <c r="P568" i="36"/>
  <c r="P566" i="36"/>
  <c r="P573" i="36" s="1"/>
  <c r="P574" i="36" s="1"/>
  <c r="P575" i="36" s="1"/>
  <c r="P580" i="36" s="1"/>
  <c r="P681" i="36" s="1"/>
  <c r="P730" i="36" s="1"/>
  <c r="P538" i="36"/>
  <c r="P631" i="36"/>
  <c r="P630" i="36" s="1"/>
  <c r="P628" i="36"/>
  <c r="P635" i="36" s="1"/>
  <c r="P504" i="36" l="1"/>
  <c r="P511" i="36" s="1"/>
  <c r="P512" i="36" s="1"/>
  <c r="P517" i="36" s="1"/>
  <c r="P668" i="36" s="1"/>
  <c r="P716" i="36" s="1"/>
  <c r="P537" i="36"/>
  <c r="P506" i="36"/>
  <c r="P473" i="36"/>
  <c r="P480" i="36" s="1"/>
  <c r="P481" i="36" s="1"/>
  <c r="P486" i="36" s="1"/>
  <c r="P667" i="36" s="1"/>
  <c r="P715" i="36" s="1"/>
  <c r="P475" i="36"/>
  <c r="P535" i="36"/>
  <c r="P542" i="36" s="1"/>
  <c r="P543" i="36" s="1"/>
  <c r="P548" i="36" s="1"/>
  <c r="P669" i="36" s="1"/>
  <c r="P717" i="36" s="1"/>
  <c r="P444" i="36"/>
  <c r="P441" i="36"/>
  <c r="P449" i="36" s="1"/>
  <c r="P450" i="36" s="1"/>
  <c r="P455" i="36" s="1"/>
  <c r="P666" i="36" s="1"/>
  <c r="P610" i="36"/>
  <c r="P671" i="36" s="1"/>
  <c r="P719" i="36" s="1"/>
  <c r="P606" i="36"/>
  <c r="P579" i="36"/>
  <c r="P670" i="36" s="1"/>
  <c r="P718" i="36" s="1"/>
  <c r="P576" i="36"/>
  <c r="P581" i="36" s="1"/>
  <c r="P692" i="36" s="1"/>
  <c r="P636" i="36"/>
  <c r="P641" i="36" s="1"/>
  <c r="P672" i="36" s="1"/>
  <c r="P720" i="36" s="1"/>
  <c r="P513" i="36" l="1"/>
  <c r="P518" i="36" s="1"/>
  <c r="P679" i="36" s="1"/>
  <c r="P728" i="36" s="1"/>
  <c r="P451" i="36"/>
  <c r="P456" i="36" s="1"/>
  <c r="P677" i="36" s="1"/>
  <c r="P726" i="36" s="1"/>
  <c r="P482" i="36"/>
  <c r="P487" i="36" s="1"/>
  <c r="P678" i="36" s="1"/>
  <c r="P727" i="36" s="1"/>
  <c r="P611" i="36"/>
  <c r="P682" i="36" s="1"/>
  <c r="P731" i="36" s="1"/>
  <c r="P607" i="36"/>
  <c r="P612" i="36" s="1"/>
  <c r="P693" i="36" s="1"/>
  <c r="P637" i="36"/>
  <c r="P642" i="36" s="1"/>
  <c r="P683" i="36" s="1"/>
  <c r="P732" i="36" s="1"/>
  <c r="P704" i="36"/>
  <c r="P742" i="36"/>
  <c r="P544" i="36"/>
  <c r="P663" i="36"/>
  <c r="P452" i="36" l="1"/>
  <c r="P457" i="36" s="1"/>
  <c r="P688" i="36" s="1"/>
  <c r="P738" i="36" s="1"/>
  <c r="P514" i="36"/>
  <c r="P519" i="36" s="1"/>
  <c r="P690" i="36" s="1"/>
  <c r="P740" i="36" s="1"/>
  <c r="P483" i="36"/>
  <c r="P488" i="36" s="1"/>
  <c r="P689" i="36" s="1"/>
  <c r="P701" i="36" s="1"/>
  <c r="P753" i="36" s="1"/>
  <c r="P638" i="36"/>
  <c r="P643" i="36" s="1"/>
  <c r="P694" i="36" s="1"/>
  <c r="P706" i="36" s="1"/>
  <c r="Q10" i="40" s="1"/>
  <c r="P743" i="36"/>
  <c r="P705" i="36"/>
  <c r="P549" i="36"/>
  <c r="P680" i="36" s="1"/>
  <c r="P729" i="36" s="1"/>
  <c r="P545" i="36"/>
  <c r="P550" i="36" s="1"/>
  <c r="P691" i="36" s="1"/>
  <c r="Q8" i="40"/>
  <c r="P756" i="36"/>
  <c r="S49" i="4"/>
  <c r="T46" i="4" s="1"/>
  <c r="P702" i="36" l="1"/>
  <c r="S28" i="4" s="1"/>
  <c r="T24" i="4" s="1"/>
  <c r="P700" i="36"/>
  <c r="P752" i="36" s="1"/>
  <c r="S17" i="4"/>
  <c r="T14" i="4" s="1"/>
  <c r="T15" i="4" s="1"/>
  <c r="Q5" i="40"/>
  <c r="P739" i="36"/>
  <c r="P744" i="36"/>
  <c r="P758" i="36"/>
  <c r="Q9" i="40"/>
  <c r="P757" i="36"/>
  <c r="S61" i="4"/>
  <c r="T58" i="4" s="1"/>
  <c r="S72" i="4"/>
  <c r="T69" i="4" s="1"/>
  <c r="T71" i="4" s="1"/>
  <c r="T62" i="5" s="1"/>
  <c r="P703" i="36"/>
  <c r="P741" i="36"/>
  <c r="T40" i="5"/>
  <c r="T48" i="4"/>
  <c r="T42" i="5" s="1"/>
  <c r="T47" i="4"/>
  <c r="T50" i="4"/>
  <c r="T52" i="4"/>
  <c r="Q6" i="40" l="1"/>
  <c r="P754" i="36"/>
  <c r="T18" i="4"/>
  <c r="T17" i="5" s="1"/>
  <c r="S9" i="4"/>
  <c r="T7" i="4" s="1"/>
  <c r="T5" i="5" s="1"/>
  <c r="Q4" i="40"/>
  <c r="T16" i="4"/>
  <c r="T15" i="5" s="1"/>
  <c r="T16" i="5" s="1"/>
  <c r="T13" i="5"/>
  <c r="Q39" i="36" s="1"/>
  <c r="T20" i="4"/>
  <c r="T50" i="5"/>
  <c r="T59" i="4"/>
  <c r="T64" i="4"/>
  <c r="T62" i="4"/>
  <c r="T60" i="4"/>
  <c r="T52" i="5" s="1"/>
  <c r="T70" i="4"/>
  <c r="T73" i="4"/>
  <c r="T74" i="4" s="1"/>
  <c r="T65" i="5" s="1"/>
  <c r="T75" i="4"/>
  <c r="T60" i="5"/>
  <c r="Q44" i="36" s="1"/>
  <c r="T26" i="4"/>
  <c r="T29" i="4"/>
  <c r="T27" i="4"/>
  <c r="T24" i="5" s="1"/>
  <c r="T31" i="4"/>
  <c r="T22" i="5"/>
  <c r="Q7" i="40"/>
  <c r="P755" i="36"/>
  <c r="S39" i="4"/>
  <c r="T35" i="4" s="1"/>
  <c r="T43" i="5"/>
  <c r="Q28" i="36"/>
  <c r="Q556" i="36" s="1"/>
  <c r="T41" i="5"/>
  <c r="Q14" i="36" s="1"/>
  <c r="Q557" i="36" s="1"/>
  <c r="Q42" i="36"/>
  <c r="T51" i="4"/>
  <c r="T45" i="5" s="1"/>
  <c r="T44" i="5"/>
  <c r="Q30" i="36"/>
  <c r="Q618" i="36" s="1"/>
  <c r="T63" i="5"/>
  <c r="T10" i="4" l="1"/>
  <c r="T7" i="5" s="1"/>
  <c r="T8" i="5" s="1"/>
  <c r="T19" i="4"/>
  <c r="T18" i="5" s="1"/>
  <c r="T8" i="4"/>
  <c r="T61" i="5"/>
  <c r="Q16" i="36" s="1"/>
  <c r="Q619" i="36" s="1"/>
  <c r="Q25" i="36"/>
  <c r="Q463" i="36" s="1"/>
  <c r="T14" i="5"/>
  <c r="Q11" i="36" s="1"/>
  <c r="Q464" i="36" s="1"/>
  <c r="T64" i="5"/>
  <c r="T63" i="4"/>
  <c r="T55" i="5" s="1"/>
  <c r="T54" i="5"/>
  <c r="T53" i="5"/>
  <c r="Q29" i="36"/>
  <c r="Q587" i="36" s="1"/>
  <c r="T51" i="5"/>
  <c r="Q15" i="36" s="1"/>
  <c r="Q588" i="36" s="1"/>
  <c r="Q43" i="36"/>
  <c r="T25" i="5"/>
  <c r="Q26" i="36"/>
  <c r="Q494" i="36" s="1"/>
  <c r="T30" i="4"/>
  <c r="T27" i="5" s="1"/>
  <c r="T26" i="5"/>
  <c r="T23" i="5"/>
  <c r="Q12" i="36" s="1"/>
  <c r="Q495" i="36" s="1"/>
  <c r="Q40" i="36"/>
  <c r="R19" i="40"/>
  <c r="Q73" i="36"/>
  <c r="Q53" i="36"/>
  <c r="Q90" i="36" s="1"/>
  <c r="T42" i="4"/>
  <c r="T38" i="4"/>
  <c r="T33" i="5" s="1"/>
  <c r="T40" i="4"/>
  <c r="T31" i="5"/>
  <c r="T37" i="4"/>
  <c r="Q38" i="36"/>
  <c r="T9" i="5"/>
  <c r="T6" i="5"/>
  <c r="Q10" i="36" s="1"/>
  <c r="Q432" i="36" s="1"/>
  <c r="Q55" i="36"/>
  <c r="Q92" i="36" s="1"/>
  <c r="R21" i="40"/>
  <c r="Q75" i="36"/>
  <c r="Q70" i="36"/>
  <c r="R16" i="40"/>
  <c r="Q50" i="36"/>
  <c r="Q87" i="36" s="1"/>
  <c r="Q54" i="36" l="1"/>
  <c r="Q91" i="36" s="1"/>
  <c r="Q74" i="36"/>
  <c r="R20" i="40"/>
  <c r="R17" i="40"/>
  <c r="Q71" i="36"/>
  <c r="Q51" i="36"/>
  <c r="Q88" i="36" s="1"/>
  <c r="Q41" i="36"/>
  <c r="T32" i="5"/>
  <c r="Q13" i="36" s="1"/>
  <c r="Q526" i="36" s="1"/>
  <c r="U46" i="41"/>
  <c r="Q103" i="36"/>
  <c r="T35" i="5"/>
  <c r="T41" i="4"/>
  <c r="T36" i="5" s="1"/>
  <c r="R31" i="40"/>
  <c r="Q158" i="36"/>
  <c r="Q168" i="36" s="1"/>
  <c r="Q69" i="36"/>
  <c r="Q49" i="36"/>
  <c r="Q81" i="36" s="1"/>
  <c r="Q83" i="36" s="1"/>
  <c r="Q99" i="36" s="1"/>
  <c r="R15" i="40"/>
  <c r="Q27" i="36"/>
  <c r="Q525" i="36" s="1"/>
  <c r="T34" i="5"/>
  <c r="Q155" i="36"/>
  <c r="Q165" i="36" s="1"/>
  <c r="R28" i="40"/>
  <c r="R33" i="40"/>
  <c r="Q160" i="36"/>
  <c r="Q170" i="36" s="1"/>
  <c r="U43" i="41"/>
  <c r="Q100" i="36"/>
  <c r="U48" i="41"/>
  <c r="Q105" i="36"/>
  <c r="Q159" i="36" l="1"/>
  <c r="Q169" i="36" s="1"/>
  <c r="R32" i="40"/>
  <c r="U47" i="41"/>
  <c r="Q104" i="36"/>
  <c r="U44" i="41"/>
  <c r="Q101" i="36"/>
  <c r="Q156" i="36"/>
  <c r="Q166" i="36" s="1"/>
  <c r="R29" i="40"/>
  <c r="Q558" i="36"/>
  <c r="Q555" i="36" s="1"/>
  <c r="Q115" i="36"/>
  <c r="Q433" i="36"/>
  <c r="Q430" i="36" s="1"/>
  <c r="Q111" i="36"/>
  <c r="Q154" i="36"/>
  <c r="Q164" i="36" s="1"/>
  <c r="R27" i="40"/>
  <c r="Q72" i="36"/>
  <c r="Q52" i="36"/>
  <c r="Q89" i="36" s="1"/>
  <c r="R18" i="40"/>
  <c r="Q112" i="36"/>
  <c r="Q465" i="36"/>
  <c r="Q462" i="36" s="1"/>
  <c r="Q117" i="36"/>
  <c r="Q620" i="36"/>
  <c r="Q617" i="36" s="1"/>
  <c r="Q116" i="36" l="1"/>
  <c r="Q589" i="36"/>
  <c r="Q586" i="36" s="1"/>
  <c r="Q113" i="36"/>
  <c r="Q496" i="36"/>
  <c r="Q493" i="36" s="1"/>
  <c r="R30" i="40"/>
  <c r="Q157" i="36"/>
  <c r="Q167" i="36" s="1"/>
  <c r="Q102" i="36"/>
  <c r="U45" i="41"/>
  <c r="U49" i="41" s="1"/>
  <c r="U57" i="41" s="1"/>
  <c r="U69" i="41" s="1"/>
  <c r="U58" i="41" l="1"/>
  <c r="U70" i="41" s="1"/>
  <c r="U79" i="41" s="1"/>
  <c r="U55" i="41"/>
  <c r="U67" i="41" s="1"/>
  <c r="U30" i="41" s="1"/>
  <c r="U10" i="41" s="1"/>
  <c r="U54" i="41"/>
  <c r="U66" i="41" s="1"/>
  <c r="U29" i="41" s="1"/>
  <c r="U9" i="41" s="1"/>
  <c r="U53" i="41"/>
  <c r="U65" i="41" s="1"/>
  <c r="U28" i="41" s="1"/>
  <c r="U8" i="41" s="1"/>
  <c r="U56" i="41"/>
  <c r="U68" i="41" s="1"/>
  <c r="U77" i="41" s="1"/>
  <c r="Q114" i="36"/>
  <c r="Q118" i="36" s="1"/>
  <c r="Q123" i="36" s="1"/>
  <c r="Q132" i="36" s="1"/>
  <c r="Q527" i="36"/>
  <c r="Q524" i="36" s="1"/>
  <c r="Q171" i="36"/>
  <c r="U33" i="41"/>
  <c r="U13" i="41" s="1"/>
  <c r="U32" i="41"/>
  <c r="U12" i="41" s="1"/>
  <c r="U78" i="41"/>
  <c r="U76" i="41" l="1"/>
  <c r="U84" i="41" s="1"/>
  <c r="U75" i="41"/>
  <c r="U83" i="41" s="1"/>
  <c r="Q138" i="36"/>
  <c r="Q151" i="36" s="1"/>
  <c r="U31" i="41"/>
  <c r="U11" i="41" s="1"/>
  <c r="Q137" i="36"/>
  <c r="Q150" i="36" s="1"/>
  <c r="U74" i="41"/>
  <c r="U82" i="41" s="1"/>
  <c r="Q134" i="36"/>
  <c r="Q147" i="36" s="1"/>
  <c r="Q136" i="36"/>
  <c r="Q149" i="36" s="1"/>
  <c r="Q133" i="36"/>
  <c r="Q146" i="36" s="1"/>
  <c r="Q135" i="36"/>
  <c r="Q148" i="36" s="1"/>
  <c r="Q180" i="36"/>
  <c r="Q176" i="36"/>
  <c r="Q179" i="36"/>
  <c r="Q181" i="36"/>
  <c r="Q177" i="36"/>
  <c r="Q175" i="36"/>
  <c r="Q178" i="36"/>
  <c r="U86" i="41"/>
  <c r="U109" i="41"/>
  <c r="U87" i="41"/>
  <c r="U110" i="41"/>
  <c r="U108" i="41"/>
  <c r="U85" i="41"/>
  <c r="Q145" i="36"/>
  <c r="U105" i="41" l="1"/>
  <c r="U106" i="41"/>
  <c r="U107" i="41"/>
  <c r="Q139" i="36"/>
  <c r="Q141" i="36" s="1"/>
  <c r="Q190" i="36" s="1"/>
  <c r="Q152" i="36"/>
  <c r="Q214" i="36"/>
  <c r="Q215" i="36" s="1"/>
  <c r="Q182" i="36"/>
  <c r="U88" i="41"/>
  <c r="Q193" i="36" l="1"/>
  <c r="Q203" i="36" s="1"/>
  <c r="Q194" i="36"/>
  <c r="Q204" i="36" s="1"/>
  <c r="Q196" i="36"/>
  <c r="Q206" i="36" s="1"/>
  <c r="Q191" i="36"/>
  <c r="Q201" i="36" s="1"/>
  <c r="Q192" i="36"/>
  <c r="Q202" i="36" s="1"/>
  <c r="Q195" i="36"/>
  <c r="Q205" i="36" s="1"/>
  <c r="Q221" i="36"/>
  <c r="Q223" i="36"/>
  <c r="Q229" i="36"/>
  <c r="Q218" i="36"/>
  <c r="Q235" i="36"/>
  <c r="Q217" i="36"/>
  <c r="Q219" i="36"/>
  <c r="Q230" i="36"/>
  <c r="Q233" i="36"/>
  <c r="Q234" i="36"/>
  <c r="Q231" i="36"/>
  <c r="Q232" i="36"/>
  <c r="Q200" i="36"/>
  <c r="Q207" i="36" l="1"/>
  <c r="Q197" i="36"/>
  <c r="Q209" i="36" s="1"/>
  <c r="Q239" i="36"/>
  <c r="Q240" i="36" s="1"/>
  <c r="Q222" i="36" l="1"/>
  <c r="Q220" i="36"/>
  <c r="Q245" i="36"/>
  <c r="Q244" i="36"/>
  <c r="Q255" i="36"/>
  <c r="Q246" i="36"/>
  <c r="Q260" i="36"/>
  <c r="Q257" i="36"/>
  <c r="Q243" i="36"/>
  <c r="Q247" i="36"/>
  <c r="Q256" i="36"/>
  <c r="Q254" i="36"/>
  <c r="Q242" i="36"/>
  <c r="Q259" i="36"/>
  <c r="Q258" i="36"/>
  <c r="Q224" i="36" l="1"/>
  <c r="Q226" i="36" s="1"/>
  <c r="Q248" i="36" s="1"/>
  <c r="Q249" i="36" s="1"/>
  <c r="Q251" i="36" s="1"/>
  <c r="Q264" i="36"/>
  <c r="Q265" i="36" s="1"/>
  <c r="Q271" i="36" s="1"/>
  <c r="Q273" i="36" l="1"/>
  <c r="Q272" i="36"/>
  <c r="Q281" i="36"/>
  <c r="Q269" i="36"/>
  <c r="Q282" i="36"/>
  <c r="Q268" i="36"/>
  <c r="Q285" i="36"/>
  <c r="Q267" i="36"/>
  <c r="Q284" i="36"/>
  <c r="Q283" i="36"/>
  <c r="Q270" i="36"/>
  <c r="Q280" i="36"/>
  <c r="Q279" i="36"/>
  <c r="Q289" i="36" l="1"/>
  <c r="Q290" i="36" s="1"/>
  <c r="Q308" i="36" s="1"/>
  <c r="Q274" i="36"/>
  <c r="Q276" i="36" s="1"/>
  <c r="Q298" i="36" l="1"/>
  <c r="Q310" i="36"/>
  <c r="Q292" i="36"/>
  <c r="Q296" i="36"/>
  <c r="Q295" i="36"/>
  <c r="Q293" i="36"/>
  <c r="Q304" i="36"/>
  <c r="Q307" i="36"/>
  <c r="Q309" i="36"/>
  <c r="Q297" i="36"/>
  <c r="Q294" i="36"/>
  <c r="Q306" i="36"/>
  <c r="Q305" i="36"/>
  <c r="Q314" i="36" l="1"/>
  <c r="Q315" i="36" s="1"/>
  <c r="Q333" i="36" s="1"/>
  <c r="Q299" i="36"/>
  <c r="Q301" i="36" s="1"/>
  <c r="Q318" i="36" l="1"/>
  <c r="Q335" i="36"/>
  <c r="Q323" i="36"/>
  <c r="Q320" i="36"/>
  <c r="Q329" i="36"/>
  <c r="Q322" i="36"/>
  <c r="Q317" i="36"/>
  <c r="Q330" i="36"/>
  <c r="Q321" i="36"/>
  <c r="Q334" i="36"/>
  <c r="Q332" i="36"/>
  <c r="Q331" i="36"/>
  <c r="Q319" i="36"/>
  <c r="Q339" i="36" l="1"/>
  <c r="Q340" i="36" s="1"/>
  <c r="Q359" i="36" s="1"/>
  <c r="Q324" i="36"/>
  <c r="Q326" i="36" s="1"/>
  <c r="Q342" i="36" l="1"/>
  <c r="Q347" i="36"/>
  <c r="Q344" i="36"/>
  <c r="Q360" i="36"/>
  <c r="Q346" i="36"/>
  <c r="Q356" i="36"/>
  <c r="Q358" i="36"/>
  <c r="Q355" i="36"/>
  <c r="Q345" i="36"/>
  <c r="Q348" i="36"/>
  <c r="Q354" i="36"/>
  <c r="Q343" i="36"/>
  <c r="Q357" i="36"/>
  <c r="Q364" i="36" l="1"/>
  <c r="Q365" i="36" s="1"/>
  <c r="Q368" i="36" s="1"/>
  <c r="Q391" i="36" s="1"/>
  <c r="Q349" i="36"/>
  <c r="Q351" i="36" s="1"/>
  <c r="Q369" i="36" l="1"/>
  <c r="Q392" i="36" s="1"/>
  <c r="Q419" i="36" s="1"/>
  <c r="Q492" i="36" s="1"/>
  <c r="Q499" i="36" s="1"/>
  <c r="Q370" i="36"/>
  <c r="Q393" i="36" s="1"/>
  <c r="Q420" i="36" s="1"/>
  <c r="Q523" i="36" s="1"/>
  <c r="Q530" i="36" s="1"/>
  <c r="Q381" i="36"/>
  <c r="Q379" i="36"/>
  <c r="Q382" i="36"/>
  <c r="Q380" i="36"/>
  <c r="Q385" i="36"/>
  <c r="Q372" i="36"/>
  <c r="Q395" i="36" s="1"/>
  <c r="Q422" i="36" s="1"/>
  <c r="Q585" i="36" s="1"/>
  <c r="Q592" i="36" s="1"/>
  <c r="Q384" i="36"/>
  <c r="Q373" i="36"/>
  <c r="Q396" i="36" s="1"/>
  <c r="Q407" i="36" s="1"/>
  <c r="Q367" i="36"/>
  <c r="Q390" i="36" s="1"/>
  <c r="Q371" i="36"/>
  <c r="Q394" i="36" s="1"/>
  <c r="Q405" i="36" s="1"/>
  <c r="Q383" i="36"/>
  <c r="Q402" i="36"/>
  <c r="Q418" i="36"/>
  <c r="Q461" i="36" s="1"/>
  <c r="Q468" i="36" s="1"/>
  <c r="Q404" i="36" l="1"/>
  <c r="Q403" i="36"/>
  <c r="Q374" i="36"/>
  <c r="Q376" i="36" s="1"/>
  <c r="Q421" i="36"/>
  <c r="Q554" i="36" s="1"/>
  <c r="Q561" i="36" s="1"/>
  <c r="Q563" i="36" s="1"/>
  <c r="Q423" i="36"/>
  <c r="Q616" i="36" s="1"/>
  <c r="Q623" i="36" s="1"/>
  <c r="Q627" i="36" s="1"/>
  <c r="Q633" i="36" s="1"/>
  <c r="Q406" i="36"/>
  <c r="Q595" i="36"/>
  <c r="Q601" i="36" s="1"/>
  <c r="Q594" i="36"/>
  <c r="Q596" i="36"/>
  <c r="Q602" i="36" s="1"/>
  <c r="Q417" i="36"/>
  <c r="Q429" i="36" s="1"/>
  <c r="Q436" i="36" s="1"/>
  <c r="Q401" i="36"/>
  <c r="Q397" i="36"/>
  <c r="Q471" i="36"/>
  <c r="Q477" i="36" s="1"/>
  <c r="Q472" i="36"/>
  <c r="Q478" i="36" s="1"/>
  <c r="Q470" i="36"/>
  <c r="Q534" i="36"/>
  <c r="Q540" i="36" s="1"/>
  <c r="Q532" i="36"/>
  <c r="Q533" i="36"/>
  <c r="Q539" i="36" s="1"/>
  <c r="Q502" i="36"/>
  <c r="Q508" i="36" s="1"/>
  <c r="Q503" i="36"/>
  <c r="Q509" i="36" s="1"/>
  <c r="Q501" i="36"/>
  <c r="Q565" i="36" l="1"/>
  <c r="Q571" i="36" s="1"/>
  <c r="Q564" i="36"/>
  <c r="Q570" i="36" s="1"/>
  <c r="Q626" i="36"/>
  <c r="Q632" i="36" s="1"/>
  <c r="Q625" i="36"/>
  <c r="Q440" i="36"/>
  <c r="Q447" i="36" s="1"/>
  <c r="Q438" i="36"/>
  <c r="Q439" i="36"/>
  <c r="Q446" i="36" s="1"/>
  <c r="Q538" i="36"/>
  <c r="Q537" i="36" s="1"/>
  <c r="Q535" i="36"/>
  <c r="Q542" i="36" s="1"/>
  <c r="Q507" i="36"/>
  <c r="Q506" i="36" s="1"/>
  <c r="Q504" i="36"/>
  <c r="Q511" i="36" s="1"/>
  <c r="Q600" i="36"/>
  <c r="Q599" i="36" s="1"/>
  <c r="Q597" i="36"/>
  <c r="Q604" i="36" s="1"/>
  <c r="Q569" i="36"/>
  <c r="Q476" i="36"/>
  <c r="Q475" i="36" s="1"/>
  <c r="Q473" i="36"/>
  <c r="Q480" i="36" s="1"/>
  <c r="Q566" i="36" l="1"/>
  <c r="Q573" i="36" s="1"/>
  <c r="Q574" i="36" s="1"/>
  <c r="Q575" i="36" s="1"/>
  <c r="Q580" i="36" s="1"/>
  <c r="Q681" i="36" s="1"/>
  <c r="Q730" i="36" s="1"/>
  <c r="Q568" i="36"/>
  <c r="Q628" i="36"/>
  <c r="Q635" i="36" s="1"/>
  <c r="Q631" i="36"/>
  <c r="Q630" i="36" s="1"/>
  <c r="Q481" i="36"/>
  <c r="Q482" i="36" s="1"/>
  <c r="Q487" i="36" s="1"/>
  <c r="Q678" i="36" s="1"/>
  <c r="Q727" i="36" s="1"/>
  <c r="Q605" i="36"/>
  <c r="Q441" i="36"/>
  <c r="Q449" i="36" s="1"/>
  <c r="Q445" i="36"/>
  <c r="Q543" i="36"/>
  <c r="Q548" i="36" s="1"/>
  <c r="Q669" i="36" s="1"/>
  <c r="Q717" i="36" s="1"/>
  <c r="Q512" i="36"/>
  <c r="Q513" i="36" s="1"/>
  <c r="Q518" i="36" s="1"/>
  <c r="Q679" i="36" s="1"/>
  <c r="Q728" i="36" s="1"/>
  <c r="Q636" i="36" l="1"/>
  <c r="Q637" i="36" s="1"/>
  <c r="Q642" i="36" s="1"/>
  <c r="Q683" i="36" s="1"/>
  <c r="Q732" i="36" s="1"/>
  <c r="Q610" i="36"/>
  <c r="Q671" i="36" s="1"/>
  <c r="Q719" i="36" s="1"/>
  <c r="Q517" i="36"/>
  <c r="Q668" i="36" s="1"/>
  <c r="Q716" i="36" s="1"/>
  <c r="Q514" i="36"/>
  <c r="Q519" i="36" s="1"/>
  <c r="Q690" i="36" s="1"/>
  <c r="Q444" i="36"/>
  <c r="Q450" i="36"/>
  <c r="Q451" i="36" s="1"/>
  <c r="Q456" i="36" s="1"/>
  <c r="Q677" i="36" s="1"/>
  <c r="Q726" i="36" s="1"/>
  <c r="Q486" i="36"/>
  <c r="Q667" i="36" s="1"/>
  <c r="Q715" i="36" s="1"/>
  <c r="Q483" i="36"/>
  <c r="Q488" i="36" s="1"/>
  <c r="Q689" i="36" s="1"/>
  <c r="Q544" i="36"/>
  <c r="Q606" i="36"/>
  <c r="Q611" i="36" s="1"/>
  <c r="Q682" i="36" s="1"/>
  <c r="Q731" i="36" s="1"/>
  <c r="Q579" i="36"/>
  <c r="Q670" i="36" s="1"/>
  <c r="Q718" i="36" s="1"/>
  <c r="Q576" i="36"/>
  <c r="Q581" i="36" s="1"/>
  <c r="Q692" i="36" s="1"/>
  <c r="Q641" i="36" l="1"/>
  <c r="Q672" i="36" s="1"/>
  <c r="Q720" i="36" s="1"/>
  <c r="Q638" i="36"/>
  <c r="Q643" i="36" s="1"/>
  <c r="Q694" i="36" s="1"/>
  <c r="Q744" i="36" s="1"/>
  <c r="Q549" i="36"/>
  <c r="Q680" i="36" s="1"/>
  <c r="Q729" i="36" s="1"/>
  <c r="Q545" i="36"/>
  <c r="Q550" i="36" s="1"/>
  <c r="Q691" i="36" s="1"/>
  <c r="Q701" i="36"/>
  <c r="Q739" i="36"/>
  <c r="Q702" i="36"/>
  <c r="Q740" i="36"/>
  <c r="Q704" i="36"/>
  <c r="Q742" i="36"/>
  <c r="Q455" i="36"/>
  <c r="Q666" i="36" s="1"/>
  <c r="Q452" i="36"/>
  <c r="Q457" i="36" s="1"/>
  <c r="Q688" i="36" s="1"/>
  <c r="Q607" i="36"/>
  <c r="Q612" i="36" s="1"/>
  <c r="Q693" i="36" s="1"/>
  <c r="Q663" i="36" l="1"/>
  <c r="Q706" i="36"/>
  <c r="R10" i="40" s="1"/>
  <c r="Q738" i="36"/>
  <c r="Q700" i="36"/>
  <c r="T17" i="4"/>
  <c r="U14" i="4" s="1"/>
  <c r="Q753" i="36"/>
  <c r="R5" i="40"/>
  <c r="R8" i="40"/>
  <c r="Q756" i="36"/>
  <c r="T49" i="4"/>
  <c r="U46" i="4" s="1"/>
  <c r="Q703" i="36"/>
  <c r="Q741" i="36"/>
  <c r="Q743" i="36"/>
  <c r="Q705" i="36"/>
  <c r="T28" i="4"/>
  <c r="U24" i="4" s="1"/>
  <c r="R6" i="40"/>
  <c r="Q754" i="36"/>
  <c r="T72" i="4" l="1"/>
  <c r="U69" i="4" s="1"/>
  <c r="U70" i="4" s="1"/>
  <c r="Q758" i="36"/>
  <c r="U26" i="4"/>
  <c r="U31" i="4"/>
  <c r="U22" i="5"/>
  <c r="U27" i="4"/>
  <c r="U24" i="5" s="1"/>
  <c r="U29" i="4"/>
  <c r="T39" i="4"/>
  <c r="U35" i="4" s="1"/>
  <c r="Q755" i="36"/>
  <c r="R7" i="40"/>
  <c r="U48" i="4"/>
  <c r="U42" i="5" s="1"/>
  <c r="U47" i="4"/>
  <c r="U40" i="5"/>
  <c r="U52" i="4"/>
  <c r="U50" i="4"/>
  <c r="U15" i="4"/>
  <c r="U13" i="5"/>
  <c r="U16" i="4"/>
  <c r="U15" i="5" s="1"/>
  <c r="U18" i="4"/>
  <c r="U20" i="4"/>
  <c r="Q757" i="36"/>
  <c r="T61" i="4"/>
  <c r="U58" i="4" s="1"/>
  <c r="R9" i="40"/>
  <c r="T9" i="4"/>
  <c r="U7" i="4" s="1"/>
  <c r="R4" i="40"/>
  <c r="Q752" i="36"/>
  <c r="U73" i="4" l="1"/>
  <c r="U74" i="4" s="1"/>
  <c r="U65" i="5" s="1"/>
  <c r="U71" i="4"/>
  <c r="U62" i="5" s="1"/>
  <c r="R30" i="36" s="1"/>
  <c r="R618" i="36" s="1"/>
  <c r="U60" i="5"/>
  <c r="R44" i="36" s="1"/>
  <c r="U75" i="4"/>
  <c r="U16" i="5"/>
  <c r="R25" i="36"/>
  <c r="R463" i="36" s="1"/>
  <c r="U14" i="5"/>
  <c r="R11" i="36" s="1"/>
  <c r="R464" i="36" s="1"/>
  <c r="R39" i="36"/>
  <c r="U25" i="5"/>
  <c r="R26" i="36"/>
  <c r="R494" i="36" s="1"/>
  <c r="U10" i="4"/>
  <c r="U7" i="5" s="1"/>
  <c r="U8" i="5" s="1"/>
  <c r="U8" i="4"/>
  <c r="U5" i="5"/>
  <c r="R42" i="36"/>
  <c r="U41" i="5"/>
  <c r="R14" i="36" s="1"/>
  <c r="R557" i="36" s="1"/>
  <c r="U23" i="5"/>
  <c r="R12" i="36" s="1"/>
  <c r="R495" i="36" s="1"/>
  <c r="R40" i="36"/>
  <c r="U19" i="4"/>
  <c r="U18" i="5" s="1"/>
  <c r="U17" i="5"/>
  <c r="U38" i="4"/>
  <c r="U33" i="5" s="1"/>
  <c r="U40" i="4"/>
  <c r="U42" i="4"/>
  <c r="U37" i="4"/>
  <c r="U31" i="5"/>
  <c r="U50" i="5"/>
  <c r="U59" i="4"/>
  <c r="U60" i="4"/>
  <c r="U52" i="5" s="1"/>
  <c r="U62" i="4"/>
  <c r="U64" i="4"/>
  <c r="U51" i="4"/>
  <c r="U45" i="5" s="1"/>
  <c r="U44" i="5"/>
  <c r="R28" i="36"/>
  <c r="R556" i="36" s="1"/>
  <c r="U43" i="5"/>
  <c r="U30" i="4"/>
  <c r="U27" i="5" s="1"/>
  <c r="U26" i="5"/>
  <c r="U64" i="5" l="1"/>
  <c r="U63" i="5"/>
  <c r="U61" i="5"/>
  <c r="R16" i="36" s="1"/>
  <c r="R619" i="36" s="1"/>
  <c r="R29" i="36"/>
  <c r="R587" i="36" s="1"/>
  <c r="U53" i="5"/>
  <c r="R73" i="36"/>
  <c r="R53" i="36"/>
  <c r="R90" i="36" s="1"/>
  <c r="S19" i="40"/>
  <c r="S16" i="40"/>
  <c r="R50" i="36"/>
  <c r="R87" i="36" s="1"/>
  <c r="R70" i="36"/>
  <c r="U51" i="5"/>
  <c r="R15" i="36" s="1"/>
  <c r="R588" i="36" s="1"/>
  <c r="R43" i="36"/>
  <c r="U35" i="5"/>
  <c r="U41" i="4"/>
  <c r="U36" i="5" s="1"/>
  <c r="S17" i="40"/>
  <c r="R51" i="36"/>
  <c r="R88" i="36" s="1"/>
  <c r="R71" i="36"/>
  <c r="U54" i="5"/>
  <c r="U63" i="4"/>
  <c r="U55" i="5" s="1"/>
  <c r="U32" i="5"/>
  <c r="R13" i="36" s="1"/>
  <c r="R526" i="36" s="1"/>
  <c r="R41" i="36"/>
  <c r="R27" i="36"/>
  <c r="R525" i="36" s="1"/>
  <c r="U34" i="5"/>
  <c r="R55" i="36"/>
  <c r="R92" i="36" s="1"/>
  <c r="S21" i="40"/>
  <c r="R75" i="36"/>
  <c r="U9" i="5"/>
  <c r="R38" i="36"/>
  <c r="U6" i="5"/>
  <c r="R10" i="36" s="1"/>
  <c r="R432" i="36" s="1"/>
  <c r="S33" i="40" l="1"/>
  <c r="R160" i="36"/>
  <c r="R170" i="36" s="1"/>
  <c r="R155" i="36"/>
  <c r="R165" i="36" s="1"/>
  <c r="S28" i="40"/>
  <c r="V46" i="41"/>
  <c r="R103" i="36"/>
  <c r="R72" i="36"/>
  <c r="R52" i="36"/>
  <c r="R89" i="36" s="1"/>
  <c r="S18" i="40"/>
  <c r="S29" i="40"/>
  <c r="R156" i="36"/>
  <c r="R166" i="36" s="1"/>
  <c r="R100" i="36"/>
  <c r="V43" i="41"/>
  <c r="R158" i="36"/>
  <c r="R168" i="36" s="1"/>
  <c r="S31" i="40"/>
  <c r="S15" i="40"/>
  <c r="R49" i="36"/>
  <c r="R81" i="36" s="1"/>
  <c r="R83" i="36" s="1"/>
  <c r="R99" i="36" s="1"/>
  <c r="R69" i="36"/>
  <c r="R105" i="36"/>
  <c r="V48" i="41"/>
  <c r="R101" i="36"/>
  <c r="V44" i="41"/>
  <c r="R74" i="36"/>
  <c r="R54" i="36"/>
  <c r="R91" i="36" s="1"/>
  <c r="S20" i="40"/>
  <c r="V47" i="41" l="1"/>
  <c r="R104" i="36"/>
  <c r="R112" i="36"/>
  <c r="R465" i="36"/>
  <c r="R462" i="36" s="1"/>
  <c r="R102" i="36"/>
  <c r="V45" i="41"/>
  <c r="S32" i="40"/>
  <c r="R159" i="36"/>
  <c r="R169" i="36" s="1"/>
  <c r="R620" i="36"/>
  <c r="R617" i="36" s="1"/>
  <c r="R117" i="36"/>
  <c r="S30" i="40"/>
  <c r="R157" i="36"/>
  <c r="R167" i="36" s="1"/>
  <c r="S27" i="40"/>
  <c r="R154" i="36"/>
  <c r="R164" i="36" s="1"/>
  <c r="R558" i="36"/>
  <c r="R555" i="36" s="1"/>
  <c r="R115" i="36"/>
  <c r="R496" i="36"/>
  <c r="R493" i="36" s="1"/>
  <c r="R113" i="36"/>
  <c r="R111" i="36"/>
  <c r="R433" i="36"/>
  <c r="R430" i="36" s="1"/>
  <c r="V49" i="41" l="1"/>
  <c r="V58" i="41" s="1"/>
  <c r="V70" i="41" s="1"/>
  <c r="R171" i="36"/>
  <c r="R178" i="36" s="1"/>
  <c r="R527" i="36"/>
  <c r="R524" i="36" s="1"/>
  <c r="R114" i="36"/>
  <c r="R589" i="36"/>
  <c r="R586" i="36" s="1"/>
  <c r="R116" i="36"/>
  <c r="V55" i="41" l="1"/>
  <c r="V67" i="41" s="1"/>
  <c r="V76" i="41" s="1"/>
  <c r="V57" i="41"/>
  <c r="V69" i="41" s="1"/>
  <c r="V32" i="41" s="1"/>
  <c r="V12" i="41" s="1"/>
  <c r="V53" i="41"/>
  <c r="V65" i="41" s="1"/>
  <c r="V74" i="41" s="1"/>
  <c r="V56" i="41"/>
  <c r="V68" i="41" s="1"/>
  <c r="V33" i="41"/>
  <c r="V13" i="41" s="1"/>
  <c r="V79" i="41"/>
  <c r="V110" i="41" s="1"/>
  <c r="V54" i="41"/>
  <c r="V66" i="41" s="1"/>
  <c r="V29" i="41" s="1"/>
  <c r="V9" i="41" s="1"/>
  <c r="R177" i="36"/>
  <c r="R176" i="36"/>
  <c r="R181" i="36"/>
  <c r="R179" i="36"/>
  <c r="R180" i="36"/>
  <c r="R118" i="36"/>
  <c r="R123" i="36" s="1"/>
  <c r="R135" i="36" s="1"/>
  <c r="R148" i="36" s="1"/>
  <c r="R175" i="36"/>
  <c r="V30" i="41" l="1"/>
  <c r="V10" i="41" s="1"/>
  <c r="V78" i="41"/>
  <c r="V109" i="41" s="1"/>
  <c r="V28" i="41"/>
  <c r="V8" i="41" s="1"/>
  <c r="V87" i="41"/>
  <c r="V75" i="41"/>
  <c r="V106" i="41" s="1"/>
  <c r="V77" i="41"/>
  <c r="V31" i="41"/>
  <c r="V11" i="41" s="1"/>
  <c r="R182" i="36"/>
  <c r="R214" i="36"/>
  <c r="R215" i="36" s="1"/>
  <c r="V105" i="41"/>
  <c r="V82" i="41"/>
  <c r="R136" i="36"/>
  <c r="R149" i="36" s="1"/>
  <c r="R138" i="36"/>
  <c r="R151" i="36" s="1"/>
  <c r="R133" i="36"/>
  <c r="R146" i="36" s="1"/>
  <c r="R132" i="36"/>
  <c r="R134" i="36"/>
  <c r="R147" i="36" s="1"/>
  <c r="R137" i="36"/>
  <c r="R150" i="36" s="1"/>
  <c r="V84" i="41"/>
  <c r="V107" i="41"/>
  <c r="V86" i="41" l="1"/>
  <c r="V83" i="41"/>
  <c r="V85" i="41"/>
  <c r="V108" i="41"/>
  <c r="R145" i="36"/>
  <c r="R152" i="36" s="1"/>
  <c r="R139" i="36"/>
  <c r="R141" i="36" s="1"/>
  <c r="R221" i="36"/>
  <c r="R232" i="36"/>
  <c r="R235" i="36"/>
  <c r="R229" i="36"/>
  <c r="R218" i="36"/>
  <c r="R219" i="36"/>
  <c r="R231" i="36"/>
  <c r="R234" i="36"/>
  <c r="R230" i="36"/>
  <c r="R217" i="36"/>
  <c r="R223" i="36"/>
  <c r="R233" i="36"/>
  <c r="V88" i="41" l="1"/>
  <c r="R239" i="36"/>
  <c r="R240" i="36" s="1"/>
  <c r="R191" i="36"/>
  <c r="R201" i="36" s="1"/>
  <c r="R194" i="36"/>
  <c r="R204" i="36" s="1"/>
  <c r="R196" i="36"/>
  <c r="R206" i="36" s="1"/>
  <c r="R195" i="36"/>
  <c r="R205" i="36" s="1"/>
  <c r="R192" i="36"/>
  <c r="R202" i="36" s="1"/>
  <c r="R193" i="36"/>
  <c r="R203" i="36" s="1"/>
  <c r="R190" i="36"/>
  <c r="R200" i="36" l="1"/>
  <c r="R207" i="36" s="1"/>
  <c r="R197" i="36"/>
  <c r="R209" i="36" s="1"/>
  <c r="R222" i="36" s="1"/>
  <c r="R243" i="36"/>
  <c r="R256" i="36"/>
  <c r="R246" i="36"/>
  <c r="R255" i="36"/>
  <c r="R260" i="36"/>
  <c r="R259" i="36"/>
  <c r="R245" i="36"/>
  <c r="R242" i="36"/>
  <c r="R254" i="36"/>
  <c r="R257" i="36"/>
  <c r="R258" i="36"/>
  <c r="R220" i="36" l="1"/>
  <c r="R224" i="36" s="1"/>
  <c r="R226" i="36" s="1"/>
  <c r="R244" i="36" s="1"/>
  <c r="R264" i="36"/>
  <c r="R265" i="36" s="1"/>
  <c r="R248" i="36" l="1"/>
  <c r="R247" i="36"/>
  <c r="R285" i="36"/>
  <c r="R284" i="36"/>
  <c r="R281" i="36"/>
  <c r="R270" i="36"/>
  <c r="R282" i="36"/>
  <c r="R268" i="36"/>
  <c r="R272" i="36"/>
  <c r="R280" i="36"/>
  <c r="R279" i="36"/>
  <c r="R283" i="36"/>
  <c r="R271" i="36"/>
  <c r="R267" i="36"/>
  <c r="R249" i="36" l="1"/>
  <c r="R251" i="36" s="1"/>
  <c r="R289" i="36"/>
  <c r="R290" i="36" s="1"/>
  <c r="R309" i="36" s="1"/>
  <c r="R273" i="36" l="1"/>
  <c r="R269" i="36"/>
  <c r="R308" i="36"/>
  <c r="R304" i="36"/>
  <c r="R305" i="36"/>
  <c r="R293" i="36"/>
  <c r="R295" i="36"/>
  <c r="R297" i="36"/>
  <c r="R298" i="36"/>
  <c r="R307" i="36"/>
  <c r="R292" i="36"/>
  <c r="R294" i="36"/>
  <c r="R306" i="36"/>
  <c r="R310" i="36"/>
  <c r="R274" i="36" l="1"/>
  <c r="R276" i="36" s="1"/>
  <c r="R296" i="36" s="1"/>
  <c r="R299" i="36" s="1"/>
  <c r="R301" i="36" s="1"/>
  <c r="R314" i="36"/>
  <c r="R315" i="36" s="1"/>
  <c r="R329" i="36" s="1"/>
  <c r="R323" i="36" l="1"/>
  <c r="R331" i="36"/>
  <c r="R332" i="36"/>
  <c r="R320" i="36"/>
  <c r="R318" i="36"/>
  <c r="R322" i="36"/>
  <c r="R333" i="36"/>
  <c r="R319" i="36"/>
  <c r="R330" i="36"/>
  <c r="R321" i="36"/>
  <c r="R334" i="36"/>
  <c r="R335" i="36"/>
  <c r="R317" i="36"/>
  <c r="R339" i="36" l="1"/>
  <c r="R340" i="36" s="1"/>
  <c r="R354" i="36" s="1"/>
  <c r="R324" i="36"/>
  <c r="R326" i="36" s="1"/>
  <c r="R355" i="36" l="1"/>
  <c r="R343" i="36"/>
  <c r="R356" i="36"/>
  <c r="R348" i="36"/>
  <c r="R344" i="36"/>
  <c r="R347" i="36"/>
  <c r="R358" i="36"/>
  <c r="R342" i="36"/>
  <c r="R359" i="36"/>
  <c r="R346" i="36"/>
  <c r="R357" i="36"/>
  <c r="R345" i="36"/>
  <c r="R360" i="36"/>
  <c r="R349" i="36" l="1"/>
  <c r="R351" i="36" s="1"/>
  <c r="R364" i="36"/>
  <c r="R365" i="36" s="1"/>
  <c r="R370" i="36" s="1"/>
  <c r="R393" i="36" s="1"/>
  <c r="R383" i="36" l="1"/>
  <c r="R371" i="36"/>
  <c r="R394" i="36" s="1"/>
  <c r="R421" i="36" s="1"/>
  <c r="R554" i="36" s="1"/>
  <c r="R561" i="36" s="1"/>
  <c r="R385" i="36"/>
  <c r="R379" i="36"/>
  <c r="R368" i="36"/>
  <c r="R391" i="36" s="1"/>
  <c r="R418" i="36" s="1"/>
  <c r="R461" i="36" s="1"/>
  <c r="R468" i="36" s="1"/>
  <c r="R373" i="36"/>
  <c r="R396" i="36" s="1"/>
  <c r="R423" i="36" s="1"/>
  <c r="R616" i="36" s="1"/>
  <c r="R623" i="36" s="1"/>
  <c r="R369" i="36"/>
  <c r="R392" i="36" s="1"/>
  <c r="R403" i="36" s="1"/>
  <c r="R372" i="36"/>
  <c r="R395" i="36" s="1"/>
  <c r="R406" i="36" s="1"/>
  <c r="R380" i="36"/>
  <c r="R381" i="36"/>
  <c r="R367" i="36"/>
  <c r="R382" i="36"/>
  <c r="R384" i="36"/>
  <c r="R404" i="36"/>
  <c r="R420" i="36"/>
  <c r="R523" i="36" s="1"/>
  <c r="R530" i="36" s="1"/>
  <c r="R405" i="36" l="1"/>
  <c r="R402" i="36"/>
  <c r="R422" i="36"/>
  <c r="R585" i="36" s="1"/>
  <c r="R592" i="36" s="1"/>
  <c r="R595" i="36" s="1"/>
  <c r="R601" i="36" s="1"/>
  <c r="R374" i="36"/>
  <c r="R376" i="36" s="1"/>
  <c r="R407" i="36"/>
  <c r="R390" i="36"/>
  <c r="R417" i="36" s="1"/>
  <c r="R429" i="36" s="1"/>
  <c r="R436" i="36" s="1"/>
  <c r="R419" i="36"/>
  <c r="R492" i="36" s="1"/>
  <c r="R499" i="36" s="1"/>
  <c r="R502" i="36" s="1"/>
  <c r="R508" i="36" s="1"/>
  <c r="R564" i="36"/>
  <c r="R570" i="36" s="1"/>
  <c r="R563" i="36"/>
  <c r="R565" i="36"/>
  <c r="R571" i="36" s="1"/>
  <c r="R532" i="36"/>
  <c r="R534" i="36"/>
  <c r="R540" i="36" s="1"/>
  <c r="R533" i="36"/>
  <c r="R539" i="36" s="1"/>
  <c r="R471" i="36"/>
  <c r="R477" i="36" s="1"/>
  <c r="R470" i="36"/>
  <c r="R472" i="36"/>
  <c r="R478" i="36" s="1"/>
  <c r="R625" i="36"/>
  <c r="R626" i="36"/>
  <c r="R632" i="36" s="1"/>
  <c r="R627" i="36"/>
  <c r="R633" i="36" s="1"/>
  <c r="R596" i="36" l="1"/>
  <c r="R602" i="36" s="1"/>
  <c r="R501" i="36"/>
  <c r="R507" i="36" s="1"/>
  <c r="R594" i="36"/>
  <c r="R600" i="36" s="1"/>
  <c r="R401" i="36"/>
  <c r="R503" i="36"/>
  <c r="R509" i="36" s="1"/>
  <c r="R397" i="36"/>
  <c r="R631" i="36"/>
  <c r="R630" i="36" s="1"/>
  <c r="R628" i="36"/>
  <c r="R635" i="36" s="1"/>
  <c r="R538" i="36"/>
  <c r="R537" i="36" s="1"/>
  <c r="R535" i="36"/>
  <c r="R542" i="36" s="1"/>
  <c r="R569" i="36"/>
  <c r="R568" i="36" s="1"/>
  <c r="R566" i="36"/>
  <c r="R573" i="36" s="1"/>
  <c r="R473" i="36"/>
  <c r="R480" i="36" s="1"/>
  <c r="R476" i="36"/>
  <c r="R475" i="36" s="1"/>
  <c r="R439" i="36"/>
  <c r="R446" i="36" s="1"/>
  <c r="R438" i="36"/>
  <c r="R440" i="36"/>
  <c r="R447" i="36" s="1"/>
  <c r="R599" i="36" l="1"/>
  <c r="R597" i="36"/>
  <c r="R604" i="36" s="1"/>
  <c r="R605" i="36" s="1"/>
  <c r="R610" i="36" s="1"/>
  <c r="R671" i="36" s="1"/>
  <c r="R719" i="36" s="1"/>
  <c r="R504" i="36"/>
  <c r="R511" i="36" s="1"/>
  <c r="R512" i="36" s="1"/>
  <c r="R517" i="36" s="1"/>
  <c r="R668" i="36" s="1"/>
  <c r="R716" i="36" s="1"/>
  <c r="R506" i="36"/>
  <c r="R574" i="36"/>
  <c r="R575" i="36" s="1"/>
  <c r="R576" i="36" s="1"/>
  <c r="R581" i="36" s="1"/>
  <c r="R692" i="36" s="1"/>
  <c r="R445" i="36"/>
  <c r="R441" i="36"/>
  <c r="R449" i="36" s="1"/>
  <c r="R543" i="36"/>
  <c r="R548" i="36" s="1"/>
  <c r="R669" i="36" s="1"/>
  <c r="R717" i="36" s="1"/>
  <c r="R481" i="36"/>
  <c r="R636" i="36"/>
  <c r="R641" i="36" s="1"/>
  <c r="R672" i="36" s="1"/>
  <c r="R720" i="36" s="1"/>
  <c r="R580" i="36" l="1"/>
  <c r="R681" i="36" s="1"/>
  <c r="R730" i="36" s="1"/>
  <c r="R579" i="36"/>
  <c r="R670" i="36" s="1"/>
  <c r="R718" i="36" s="1"/>
  <c r="R637" i="36"/>
  <c r="R642" i="36" s="1"/>
  <c r="R683" i="36" s="1"/>
  <c r="R732" i="36" s="1"/>
  <c r="R544" i="36"/>
  <c r="R549" i="36" s="1"/>
  <c r="R680" i="36" s="1"/>
  <c r="R729" i="36" s="1"/>
  <c r="R606" i="36"/>
  <c r="R611" i="36" s="1"/>
  <c r="R682" i="36" s="1"/>
  <c r="R731" i="36" s="1"/>
  <c r="R486" i="36"/>
  <c r="R667" i="36" s="1"/>
  <c r="R715" i="36" s="1"/>
  <c r="R513" i="36"/>
  <c r="R518" i="36" s="1"/>
  <c r="R679" i="36" s="1"/>
  <c r="R728" i="36" s="1"/>
  <c r="R482" i="36"/>
  <c r="R487" i="36" s="1"/>
  <c r="R678" i="36" s="1"/>
  <c r="R727" i="36" s="1"/>
  <c r="R444" i="36"/>
  <c r="R450" i="36"/>
  <c r="R455" i="36" s="1"/>
  <c r="R666" i="36" s="1"/>
  <c r="R742" i="36"/>
  <c r="R704" i="36"/>
  <c r="R663" i="36" l="1"/>
  <c r="R638" i="36"/>
  <c r="R643" i="36" s="1"/>
  <c r="R694" i="36" s="1"/>
  <c r="R744" i="36" s="1"/>
  <c r="R607" i="36"/>
  <c r="R612" i="36" s="1"/>
  <c r="R693" i="36" s="1"/>
  <c r="R743" i="36" s="1"/>
  <c r="R514" i="36"/>
  <c r="R519" i="36" s="1"/>
  <c r="R690" i="36" s="1"/>
  <c r="R702" i="36" s="1"/>
  <c r="R545" i="36"/>
  <c r="R550" i="36" s="1"/>
  <c r="R691" i="36" s="1"/>
  <c r="R451" i="36"/>
  <c r="R456" i="36" s="1"/>
  <c r="R677" i="36" s="1"/>
  <c r="R726" i="36" s="1"/>
  <c r="R483" i="36"/>
  <c r="R488" i="36" s="1"/>
  <c r="R689" i="36" s="1"/>
  <c r="U49" i="4"/>
  <c r="V46" i="4" s="1"/>
  <c r="R756" i="36"/>
  <c r="S8" i="40"/>
  <c r="R705" i="36" l="1"/>
  <c r="U61" i="4" s="1"/>
  <c r="V58" i="4" s="1"/>
  <c r="R706" i="36"/>
  <c r="S10" i="40" s="1"/>
  <c r="R740" i="36"/>
  <c r="R452" i="36"/>
  <c r="R457" i="36" s="1"/>
  <c r="R688" i="36" s="1"/>
  <c r="R738" i="36" s="1"/>
  <c r="R703" i="36"/>
  <c r="R741" i="36"/>
  <c r="S6" i="40"/>
  <c r="R754" i="36"/>
  <c r="U28" i="4"/>
  <c r="V24" i="4" s="1"/>
  <c r="R739" i="36"/>
  <c r="R701" i="36"/>
  <c r="V48" i="4"/>
  <c r="V42" i="5" s="1"/>
  <c r="V52" i="4"/>
  <c r="V47" i="4"/>
  <c r="V40" i="5"/>
  <c r="V50" i="4"/>
  <c r="U72" i="4" l="1"/>
  <c r="V69" i="4" s="1"/>
  <c r="V60" i="5" s="1"/>
  <c r="S9" i="40"/>
  <c r="R757" i="36"/>
  <c r="R758" i="36"/>
  <c r="R700" i="36"/>
  <c r="R752" i="36" s="1"/>
  <c r="U39" i="4"/>
  <c r="V35" i="4" s="1"/>
  <c r="R755" i="36"/>
  <c r="S7" i="40"/>
  <c r="V22" i="5"/>
  <c r="V31" i="4"/>
  <c r="V26" i="4"/>
  <c r="V27" i="4"/>
  <c r="V24" i="5" s="1"/>
  <c r="V29" i="4"/>
  <c r="V62" i="4"/>
  <c r="V59" i="4"/>
  <c r="V64" i="4"/>
  <c r="V60" i="4"/>
  <c r="V52" i="5" s="1"/>
  <c r="V50" i="5"/>
  <c r="U17" i="4"/>
  <c r="V14" i="4" s="1"/>
  <c r="S5" i="40"/>
  <c r="R753" i="36"/>
  <c r="S28" i="36"/>
  <c r="S556" i="36" s="1"/>
  <c r="V43" i="5"/>
  <c r="V51" i="4"/>
  <c r="V45" i="5" s="1"/>
  <c r="V44" i="5"/>
  <c r="S42" i="36"/>
  <c r="V41" i="5"/>
  <c r="S14" i="36" s="1"/>
  <c r="S557" i="36" s="1"/>
  <c r="V71" i="4" l="1"/>
  <c r="V62" i="5" s="1"/>
  <c r="S30" i="36" s="1"/>
  <c r="S618" i="36" s="1"/>
  <c r="V75" i="4"/>
  <c r="V73" i="4"/>
  <c r="V74" i="4" s="1"/>
  <c r="V65" i="5" s="1"/>
  <c r="V70" i="4"/>
  <c r="S4" i="40"/>
  <c r="U9" i="4"/>
  <c r="V7" i="4" s="1"/>
  <c r="V8" i="4" s="1"/>
  <c r="V37" i="4"/>
  <c r="V31" i="5"/>
  <c r="V40" i="4"/>
  <c r="V42" i="4"/>
  <c r="V38" i="4"/>
  <c r="V33" i="5" s="1"/>
  <c r="V51" i="5"/>
  <c r="S15" i="36" s="1"/>
  <c r="S588" i="36" s="1"/>
  <c r="S43" i="36"/>
  <c r="V63" i="4"/>
  <c r="V55" i="5" s="1"/>
  <c r="V54" i="5"/>
  <c r="S26" i="36"/>
  <c r="S494" i="36" s="1"/>
  <c r="V25" i="5"/>
  <c r="V16" i="4"/>
  <c r="V15" i="5" s="1"/>
  <c r="V15" i="4"/>
  <c r="V18" i="4"/>
  <c r="V20" i="4"/>
  <c r="V13" i="5"/>
  <c r="S29" i="36"/>
  <c r="S587" i="36" s="1"/>
  <c r="V53" i="5"/>
  <c r="V61" i="5"/>
  <c r="S16" i="36" s="1"/>
  <c r="S619" i="36" s="1"/>
  <c r="S44" i="36"/>
  <c r="V26" i="5"/>
  <c r="V30" i="4"/>
  <c r="V27" i="5" s="1"/>
  <c r="S40" i="36"/>
  <c r="V23" i="5"/>
  <c r="S12" i="36" s="1"/>
  <c r="S495" i="36" s="1"/>
  <c r="S53" i="36"/>
  <c r="S90" i="36" s="1"/>
  <c r="T19" i="40"/>
  <c r="S73" i="36"/>
  <c r="V64" i="5" l="1"/>
  <c r="V63" i="5"/>
  <c r="V10" i="4"/>
  <c r="V7" i="5" s="1"/>
  <c r="V8" i="5" s="1"/>
  <c r="V5" i="5"/>
  <c r="S38" i="36" s="1"/>
  <c r="V41" i="4"/>
  <c r="V36" i="5" s="1"/>
  <c r="V35" i="5"/>
  <c r="S41" i="36"/>
  <c r="V32" i="5"/>
  <c r="S13" i="36" s="1"/>
  <c r="S526" i="36" s="1"/>
  <c r="V34" i="5"/>
  <c r="S27" i="36"/>
  <c r="S525" i="36" s="1"/>
  <c r="T17" i="40"/>
  <c r="S71" i="36"/>
  <c r="S51" i="36"/>
  <c r="S88" i="36" s="1"/>
  <c r="V14" i="5"/>
  <c r="S11" i="36" s="1"/>
  <c r="S464" i="36" s="1"/>
  <c r="S39" i="36"/>
  <c r="S25" i="36"/>
  <c r="S463" i="36" s="1"/>
  <c r="V16" i="5"/>
  <c r="T20" i="40"/>
  <c r="S74" i="36"/>
  <c r="S54" i="36"/>
  <c r="S91" i="36" s="1"/>
  <c r="V19" i="4"/>
  <c r="V18" i="5" s="1"/>
  <c r="V17" i="5"/>
  <c r="S75" i="36"/>
  <c r="S55" i="36"/>
  <c r="S92" i="36" s="1"/>
  <c r="T21" i="40"/>
  <c r="T31" i="40"/>
  <c r="S158" i="36"/>
  <c r="S168" i="36" s="1"/>
  <c r="S103" i="36"/>
  <c r="W46" i="41"/>
  <c r="V9" i="5" l="1"/>
  <c r="V6" i="5"/>
  <c r="S10" i="36" s="1"/>
  <c r="S432" i="36" s="1"/>
  <c r="S72" i="36"/>
  <c r="T18" i="40"/>
  <c r="S52" i="36"/>
  <c r="S89" i="36" s="1"/>
  <c r="S69" i="36"/>
  <c r="T15" i="40"/>
  <c r="S49" i="36"/>
  <c r="S81" i="36" s="1"/>
  <c r="S83" i="36" s="1"/>
  <c r="S99" i="36" s="1"/>
  <c r="W47" i="41"/>
  <c r="S104" i="36"/>
  <c r="S101" i="36"/>
  <c r="W44" i="41"/>
  <c r="W48" i="41"/>
  <c r="S105" i="36"/>
  <c r="T33" i="40"/>
  <c r="S160" i="36"/>
  <c r="S170" i="36" s="1"/>
  <c r="S159" i="36"/>
  <c r="S169" i="36" s="1"/>
  <c r="T32" i="40"/>
  <c r="T29" i="40"/>
  <c r="S156" i="36"/>
  <c r="S166" i="36" s="1"/>
  <c r="S70" i="36"/>
  <c r="T16" i="40"/>
  <c r="S50" i="36"/>
  <c r="S87" i="36" s="1"/>
  <c r="S558" i="36"/>
  <c r="S555" i="36" s="1"/>
  <c r="S115" i="36"/>
  <c r="S102" i="36" l="1"/>
  <c r="W45" i="41"/>
  <c r="S157" i="36"/>
  <c r="S167" i="36" s="1"/>
  <c r="T30" i="40"/>
  <c r="T28" i="40"/>
  <c r="S155" i="36"/>
  <c r="S165" i="36" s="1"/>
  <c r="S113" i="36"/>
  <c r="S496" i="36"/>
  <c r="S493" i="36" s="1"/>
  <c r="S620" i="36"/>
  <c r="S617" i="36" s="1"/>
  <c r="S117" i="36"/>
  <c r="S589" i="36"/>
  <c r="S586" i="36" s="1"/>
  <c r="S116" i="36"/>
  <c r="T27" i="40"/>
  <c r="S154" i="36"/>
  <c r="S164" i="36" s="1"/>
  <c r="W43" i="41"/>
  <c r="S100" i="36"/>
  <c r="S111" i="36"/>
  <c r="S433" i="36"/>
  <c r="S430" i="36" s="1"/>
  <c r="S114" i="36" l="1"/>
  <c r="S527" i="36"/>
  <c r="S524" i="36" s="1"/>
  <c r="S171" i="36"/>
  <c r="S175" i="36" s="1"/>
  <c r="S112" i="36"/>
  <c r="S465" i="36"/>
  <c r="S462" i="36" s="1"/>
  <c r="W49" i="41"/>
  <c r="W53" i="41" s="1"/>
  <c r="W65" i="41" s="1"/>
  <c r="S176" i="36" l="1"/>
  <c r="S118" i="36"/>
  <c r="S123" i="36" s="1"/>
  <c r="S133" i="36" s="1"/>
  <c r="S146" i="36" s="1"/>
  <c r="W54" i="41"/>
  <c r="W66" i="41" s="1"/>
  <c r="W55" i="41"/>
  <c r="W67" i="41" s="1"/>
  <c r="W58" i="41"/>
  <c r="W70" i="41" s="1"/>
  <c r="W57" i="41"/>
  <c r="W69" i="41" s="1"/>
  <c r="W56" i="41"/>
  <c r="W68" i="41" s="1"/>
  <c r="W74" i="41"/>
  <c r="W28" i="41"/>
  <c r="W8" i="41" s="1"/>
  <c r="S180" i="36"/>
  <c r="S178" i="36"/>
  <c r="S179" i="36"/>
  <c r="S177" i="36"/>
  <c r="S181" i="36"/>
  <c r="S134" i="36" l="1"/>
  <c r="S147" i="36" s="1"/>
  <c r="S137" i="36"/>
  <c r="S150" i="36" s="1"/>
  <c r="S136" i="36"/>
  <c r="S149" i="36" s="1"/>
  <c r="S138" i="36"/>
  <c r="S151" i="36" s="1"/>
  <c r="S135" i="36"/>
  <c r="S148" i="36" s="1"/>
  <c r="S132" i="36"/>
  <c r="S145" i="36" s="1"/>
  <c r="S214" i="36"/>
  <c r="S215" i="36" s="1"/>
  <c r="S233" i="36" s="1"/>
  <c r="W79" i="41"/>
  <c r="W33" i="41"/>
  <c r="W13" i="41" s="1"/>
  <c r="S182" i="36"/>
  <c r="W82" i="41"/>
  <c r="W105" i="41"/>
  <c r="W30" i="41"/>
  <c r="W10" i="41" s="1"/>
  <c r="W76" i="41"/>
  <c r="W77" i="41"/>
  <c r="W31" i="41"/>
  <c r="W11" i="41" s="1"/>
  <c r="W75" i="41"/>
  <c r="W29" i="41"/>
  <c r="W9" i="41" s="1"/>
  <c r="W78" i="41"/>
  <c r="W32" i="41"/>
  <c r="W12" i="41" s="1"/>
  <c r="S139" i="36" l="1"/>
  <c r="S141" i="36" s="1"/>
  <c r="S192" i="36" s="1"/>
  <c r="S202" i="36" s="1"/>
  <c r="S218" i="36"/>
  <c r="S231" i="36"/>
  <c r="S217" i="36"/>
  <c r="S234" i="36"/>
  <c r="S219" i="36"/>
  <c r="S230" i="36"/>
  <c r="S229" i="36"/>
  <c r="S221" i="36"/>
  <c r="S232" i="36"/>
  <c r="S235" i="36"/>
  <c r="W106" i="41"/>
  <c r="W83" i="41"/>
  <c r="S152" i="36"/>
  <c r="W107" i="41"/>
  <c r="W84" i="41"/>
  <c r="S196" i="36"/>
  <c r="S206" i="36" s="1"/>
  <c r="W87" i="41"/>
  <c r="W110" i="41"/>
  <c r="W86" i="41"/>
  <c r="W109" i="41"/>
  <c r="W108" i="41"/>
  <c r="W85" i="41"/>
  <c r="S191" i="36" l="1"/>
  <c r="S201" i="36" s="1"/>
  <c r="S190" i="36"/>
  <c r="S200" i="36" s="1"/>
  <c r="S239" i="36"/>
  <c r="S240" i="36" s="1"/>
  <c r="S257" i="36" s="1"/>
  <c r="W88" i="41"/>
  <c r="S195" i="36"/>
  <c r="S205" i="36" s="1"/>
  <c r="S194" i="36"/>
  <c r="S204" i="36" s="1"/>
  <c r="S193" i="36"/>
  <c r="S203" i="36" s="1"/>
  <c r="S258" i="36" l="1"/>
  <c r="S254" i="36"/>
  <c r="S247" i="36"/>
  <c r="S207" i="36"/>
  <c r="S246" i="36"/>
  <c r="S243" i="36"/>
  <c r="S256" i="36"/>
  <c r="S242" i="36"/>
  <c r="S255" i="36"/>
  <c r="S259" i="36"/>
  <c r="S244" i="36"/>
  <c r="S260" i="36"/>
  <c r="S197" i="36"/>
  <c r="S209" i="36" s="1"/>
  <c r="S223" i="36" s="1"/>
  <c r="S222" i="36"/>
  <c r="S220" i="36" l="1"/>
  <c r="S224" i="36" s="1"/>
  <c r="S226" i="36" s="1"/>
  <c r="S245" i="36" s="1"/>
  <c r="S264" i="36"/>
  <c r="S265" i="36" s="1"/>
  <c r="S269" i="36" s="1"/>
  <c r="S248" i="36" l="1"/>
  <c r="S249" i="36" s="1"/>
  <c r="S251" i="36" s="1"/>
  <c r="S280" i="36"/>
  <c r="S279" i="36"/>
  <c r="S285" i="36"/>
  <c r="S271" i="36"/>
  <c r="S284" i="36"/>
  <c r="S283" i="36"/>
  <c r="S272" i="36"/>
  <c r="S282" i="36"/>
  <c r="S267" i="36"/>
  <c r="S268" i="36"/>
  <c r="S281" i="36"/>
  <c r="S289" i="36" l="1"/>
  <c r="S290" i="36" s="1"/>
  <c r="S293" i="36" s="1"/>
  <c r="S273" i="36"/>
  <c r="S270" i="36"/>
  <c r="S298" i="36" l="1"/>
  <c r="S310" i="36"/>
  <c r="S304" i="36"/>
  <c r="S309" i="36"/>
  <c r="S295" i="36"/>
  <c r="S308" i="36"/>
  <c r="S292" i="36"/>
  <c r="S305" i="36"/>
  <c r="S296" i="36"/>
  <c r="S307" i="36"/>
  <c r="S306" i="36"/>
  <c r="S274" i="36"/>
  <c r="S276" i="36" s="1"/>
  <c r="S297" i="36" s="1"/>
  <c r="S294" i="36" l="1"/>
  <c r="S299" i="36" s="1"/>
  <c r="S301" i="36" s="1"/>
  <c r="S314" i="36"/>
  <c r="S315" i="36" s="1"/>
  <c r="S320" i="36" s="1"/>
  <c r="S334" i="36" l="1"/>
  <c r="S335" i="36"/>
  <c r="S331" i="36"/>
  <c r="S319" i="36"/>
  <c r="S329" i="36"/>
  <c r="S322" i="36"/>
  <c r="S321" i="36"/>
  <c r="S330" i="36"/>
  <c r="S323" i="36"/>
  <c r="S317" i="36"/>
  <c r="S318" i="36"/>
  <c r="S333" i="36"/>
  <c r="S332" i="36"/>
  <c r="S324" i="36" l="1"/>
  <c r="S326" i="36" s="1"/>
  <c r="S339" i="36"/>
  <c r="S340" i="36" s="1"/>
  <c r="S357" i="36" s="1"/>
  <c r="S356" i="36" l="1"/>
  <c r="S345" i="36"/>
  <c r="S355" i="36"/>
  <c r="S343" i="36"/>
  <c r="S360" i="36"/>
  <c r="S358" i="36"/>
  <c r="S359" i="36"/>
  <c r="S346" i="36"/>
  <c r="S354" i="36"/>
  <c r="S347" i="36"/>
  <c r="S348" i="36"/>
  <c r="S344" i="36"/>
  <c r="S342" i="36"/>
  <c r="S364" i="36" l="1"/>
  <c r="S365" i="36" s="1"/>
  <c r="S379" i="36" s="1"/>
  <c r="S349" i="36"/>
  <c r="S351" i="36" s="1"/>
  <c r="S367" i="36" l="1"/>
  <c r="S390" i="36" s="1"/>
  <c r="S401" i="36" s="1"/>
  <c r="S383" i="36"/>
  <c r="S372" i="36"/>
  <c r="S395" i="36" s="1"/>
  <c r="S406" i="36" s="1"/>
  <c r="S368" i="36"/>
  <c r="S391" i="36" s="1"/>
  <c r="S418" i="36" s="1"/>
  <c r="S461" i="36" s="1"/>
  <c r="S468" i="36" s="1"/>
  <c r="S384" i="36"/>
  <c r="S369" i="36"/>
  <c r="S392" i="36" s="1"/>
  <c r="S381" i="36"/>
  <c r="S382" i="36"/>
  <c r="S380" i="36"/>
  <c r="S371" i="36"/>
  <c r="S394" i="36" s="1"/>
  <c r="S421" i="36" s="1"/>
  <c r="S554" i="36" s="1"/>
  <c r="S561" i="36" s="1"/>
  <c r="S565" i="36" s="1"/>
  <c r="S571" i="36" s="1"/>
  <c r="S370" i="36"/>
  <c r="S393" i="36" s="1"/>
  <c r="S404" i="36" s="1"/>
  <c r="S385" i="36"/>
  <c r="S373" i="36"/>
  <c r="S396" i="36" s="1"/>
  <c r="S407" i="36" s="1"/>
  <c r="S417" i="36" l="1"/>
  <c r="S429" i="36" s="1"/>
  <c r="S436" i="36" s="1"/>
  <c r="S440" i="36" s="1"/>
  <c r="S447" i="36" s="1"/>
  <c r="S422" i="36"/>
  <c r="S585" i="36" s="1"/>
  <c r="S592" i="36" s="1"/>
  <c r="S595" i="36" s="1"/>
  <c r="S601" i="36" s="1"/>
  <c r="S564" i="36"/>
  <c r="S570" i="36" s="1"/>
  <c r="S423" i="36"/>
  <c r="S616" i="36" s="1"/>
  <c r="S623" i="36" s="1"/>
  <c r="S626" i="36" s="1"/>
  <c r="S632" i="36" s="1"/>
  <c r="S563" i="36"/>
  <c r="S569" i="36" s="1"/>
  <c r="S405" i="36"/>
  <c r="S402" i="36"/>
  <c r="S403" i="36"/>
  <c r="S419" i="36"/>
  <c r="S492" i="36" s="1"/>
  <c r="S499" i="36" s="1"/>
  <c r="S420" i="36"/>
  <c r="S523" i="36" s="1"/>
  <c r="S530" i="36" s="1"/>
  <c r="S533" i="36" s="1"/>
  <c r="S539" i="36" s="1"/>
  <c r="S397" i="36"/>
  <c r="S374" i="36"/>
  <c r="S376" i="36" s="1"/>
  <c r="S472" i="36"/>
  <c r="S478" i="36" s="1"/>
  <c r="S470" i="36"/>
  <c r="S471" i="36"/>
  <c r="S477" i="36" s="1"/>
  <c r="S596" i="36" l="1"/>
  <c r="S602" i="36" s="1"/>
  <c r="S438" i="36"/>
  <c r="S445" i="36" s="1"/>
  <c r="S439" i="36"/>
  <c r="S446" i="36" s="1"/>
  <c r="S625" i="36"/>
  <c r="S631" i="36" s="1"/>
  <c r="S594" i="36"/>
  <c r="S600" i="36" s="1"/>
  <c r="S566" i="36"/>
  <c r="S573" i="36" s="1"/>
  <c r="S574" i="36" s="1"/>
  <c r="S579" i="36" s="1"/>
  <c r="S670" i="36" s="1"/>
  <c r="S718" i="36" s="1"/>
  <c r="S568" i="36"/>
  <c r="S627" i="36"/>
  <c r="S633" i="36" s="1"/>
  <c r="S532" i="36"/>
  <c r="S534" i="36"/>
  <c r="S540" i="36" s="1"/>
  <c r="S501" i="36"/>
  <c r="S503" i="36"/>
  <c r="S509" i="36" s="1"/>
  <c r="S502" i="36"/>
  <c r="S508" i="36" s="1"/>
  <c r="S476" i="36"/>
  <c r="S475" i="36" s="1"/>
  <c r="S473" i="36"/>
  <c r="S480" i="36" s="1"/>
  <c r="S630" i="36" l="1"/>
  <c r="S599" i="36"/>
  <c r="S597" i="36"/>
  <c r="S604" i="36" s="1"/>
  <c r="S605" i="36" s="1"/>
  <c r="S610" i="36" s="1"/>
  <c r="S671" i="36" s="1"/>
  <c r="S719" i="36" s="1"/>
  <c r="S444" i="36"/>
  <c r="S441" i="36"/>
  <c r="S449" i="36" s="1"/>
  <c r="S450" i="36" s="1"/>
  <c r="S451" i="36" s="1"/>
  <c r="S456" i="36" s="1"/>
  <c r="S677" i="36" s="1"/>
  <c r="S726" i="36" s="1"/>
  <c r="S628" i="36"/>
  <c r="S635" i="36" s="1"/>
  <c r="S636" i="36" s="1"/>
  <c r="S641" i="36" s="1"/>
  <c r="S672" i="36" s="1"/>
  <c r="S720" i="36" s="1"/>
  <c r="S507" i="36"/>
  <c r="S506" i="36" s="1"/>
  <c r="S504" i="36"/>
  <c r="S511" i="36" s="1"/>
  <c r="S535" i="36"/>
  <c r="S542" i="36" s="1"/>
  <c r="S538" i="36"/>
  <c r="S537" i="36" s="1"/>
  <c r="S481" i="36"/>
  <c r="S482" i="36" s="1"/>
  <c r="S487" i="36" s="1"/>
  <c r="S678" i="36" s="1"/>
  <c r="S727" i="36" s="1"/>
  <c r="S575" i="36"/>
  <c r="S606" i="36" l="1"/>
  <c r="S611" i="36" s="1"/>
  <c r="S682" i="36" s="1"/>
  <c r="S731" i="36" s="1"/>
  <c r="S455" i="36"/>
  <c r="S666" i="36" s="1"/>
  <c r="S452" i="36"/>
  <c r="S457" i="36" s="1"/>
  <c r="S688" i="36" s="1"/>
  <c r="S700" i="36" s="1"/>
  <c r="S637" i="36"/>
  <c r="S642" i="36" s="1"/>
  <c r="S683" i="36" s="1"/>
  <c r="S732" i="36" s="1"/>
  <c r="S512" i="36"/>
  <c r="S543" i="36"/>
  <c r="S486" i="36"/>
  <c r="S667" i="36" s="1"/>
  <c r="S715" i="36" s="1"/>
  <c r="S483" i="36"/>
  <c r="S488" i="36" s="1"/>
  <c r="S689" i="36" s="1"/>
  <c r="S580" i="36"/>
  <c r="S681" i="36" s="1"/>
  <c r="S730" i="36" s="1"/>
  <c r="S576" i="36"/>
  <c r="S581" i="36" s="1"/>
  <c r="S692" i="36" s="1"/>
  <c r="S607" i="36" l="1"/>
  <c r="S612" i="36" s="1"/>
  <c r="S693" i="36" s="1"/>
  <c r="S705" i="36" s="1"/>
  <c r="S738" i="36"/>
  <c r="S638" i="36"/>
  <c r="S643" i="36" s="1"/>
  <c r="S694" i="36" s="1"/>
  <c r="S706" i="36" s="1"/>
  <c r="S513" i="36"/>
  <c r="S517" i="36"/>
  <c r="S668" i="36" s="1"/>
  <c r="S716" i="36" s="1"/>
  <c r="S548" i="36"/>
  <c r="S669" i="36" s="1"/>
  <c r="S544" i="36"/>
  <c r="S739" i="36"/>
  <c r="S701" i="36"/>
  <c r="S742" i="36"/>
  <c r="S704" i="36"/>
  <c r="T4" i="40"/>
  <c r="S752" i="36"/>
  <c r="V9" i="4"/>
  <c r="W7" i="4" s="1"/>
  <c r="S743" i="36" l="1"/>
  <c r="S744" i="36"/>
  <c r="S514" i="36"/>
  <c r="S519" i="36" s="1"/>
  <c r="S690" i="36" s="1"/>
  <c r="S518" i="36"/>
  <c r="S679" i="36" s="1"/>
  <c r="S728" i="36" s="1"/>
  <c r="S549" i="36"/>
  <c r="S680" i="36" s="1"/>
  <c r="S729" i="36" s="1"/>
  <c r="S545" i="36"/>
  <c r="S550" i="36" s="1"/>
  <c r="S691" i="36" s="1"/>
  <c r="S717" i="36"/>
  <c r="S663" i="36"/>
  <c r="V17" i="4"/>
  <c r="W14" i="4" s="1"/>
  <c r="S753" i="36"/>
  <c r="T5" i="40"/>
  <c r="V49" i="4"/>
  <c r="W46" i="4" s="1"/>
  <c r="T8" i="40"/>
  <c r="S756" i="36"/>
  <c r="S758" i="36"/>
  <c r="T10" i="40"/>
  <c r="V72" i="4"/>
  <c r="W69" i="4" s="1"/>
  <c r="W8" i="4"/>
  <c r="W5" i="5"/>
  <c r="W10" i="4"/>
  <c r="W7" i="5" s="1"/>
  <c r="W8" i="5" s="1"/>
  <c r="T9" i="40"/>
  <c r="V61" i="4"/>
  <c r="W58" i="4" s="1"/>
  <c r="S757" i="36"/>
  <c r="S740" i="36" l="1"/>
  <c r="S702" i="36"/>
  <c r="S741" i="36"/>
  <c r="S703" i="36"/>
  <c r="W16" i="4"/>
  <c r="W15" i="5" s="1"/>
  <c r="W15" i="4"/>
  <c r="W18" i="4"/>
  <c r="W20" i="4"/>
  <c r="W13" i="5"/>
  <c r="W70" i="4"/>
  <c r="W75" i="4"/>
  <c r="W71" i="4"/>
  <c r="W62" i="5" s="1"/>
  <c r="W60" i="5"/>
  <c r="W73" i="4"/>
  <c r="W50" i="4"/>
  <c r="W47" i="4"/>
  <c r="W40" i="5"/>
  <c r="W48" i="4"/>
  <c r="W42" i="5" s="1"/>
  <c r="W52" i="4"/>
  <c r="T38" i="36"/>
  <c r="W6" i="5"/>
  <c r="T10" i="36" s="1"/>
  <c r="T432" i="36" s="1"/>
  <c r="W9" i="5"/>
  <c r="W60" i="4"/>
  <c r="W52" i="5" s="1"/>
  <c r="W62" i="4"/>
  <c r="W64" i="4"/>
  <c r="W59" i="4"/>
  <c r="W50" i="5"/>
  <c r="V28" i="4" l="1"/>
  <c r="W24" i="4" s="1"/>
  <c r="S754" i="36"/>
  <c r="T6" i="40"/>
  <c r="S755" i="36"/>
  <c r="T7" i="40"/>
  <c r="V39" i="4"/>
  <c r="W35" i="4" s="1"/>
  <c r="W19" i="4"/>
  <c r="W18" i="5" s="1"/>
  <c r="W17" i="5"/>
  <c r="T39" i="36"/>
  <c r="W14" i="5"/>
  <c r="T11" i="36" s="1"/>
  <c r="T464" i="36" s="1"/>
  <c r="W16" i="5"/>
  <c r="T25" i="36"/>
  <c r="T463" i="36" s="1"/>
  <c r="W41" i="5"/>
  <c r="T14" i="36" s="1"/>
  <c r="T557" i="36" s="1"/>
  <c r="T42" i="36"/>
  <c r="W61" i="5"/>
  <c r="T16" i="36" s="1"/>
  <c r="T619" i="36" s="1"/>
  <c r="T44" i="36"/>
  <c r="T30" i="36"/>
  <c r="T618" i="36" s="1"/>
  <c r="W63" i="5"/>
  <c r="W44" i="5"/>
  <c r="W51" i="4"/>
  <c r="W45" i="5" s="1"/>
  <c r="W43" i="5"/>
  <c r="T28" i="36"/>
  <c r="T556" i="36" s="1"/>
  <c r="W74" i="4"/>
  <c r="W65" i="5" s="1"/>
  <c r="W64" i="5"/>
  <c r="T43" i="36"/>
  <c r="W51" i="5"/>
  <c r="T15" i="36" s="1"/>
  <c r="T588" i="36" s="1"/>
  <c r="W53" i="5"/>
  <c r="T29" i="36"/>
  <c r="T587" i="36" s="1"/>
  <c r="T69" i="36"/>
  <c r="U15" i="40"/>
  <c r="T49" i="36"/>
  <c r="T81" i="36" s="1"/>
  <c r="T83" i="36" s="1"/>
  <c r="T99" i="36" s="1"/>
  <c r="W63" i="4"/>
  <c r="W55" i="5" s="1"/>
  <c r="W54" i="5"/>
  <c r="W27" i="4" l="1"/>
  <c r="W24" i="5" s="1"/>
  <c r="W26" i="4"/>
  <c r="W22" i="5"/>
  <c r="W29" i="4"/>
  <c r="W31" i="4"/>
  <c r="W38" i="4"/>
  <c r="W33" i="5" s="1"/>
  <c r="W31" i="5"/>
  <c r="W37" i="4"/>
  <c r="W40" i="4"/>
  <c r="W42" i="4"/>
  <c r="T50" i="36"/>
  <c r="T87" i="36" s="1"/>
  <c r="U16" i="40"/>
  <c r="T70" i="36"/>
  <c r="T75" i="36"/>
  <c r="U21" i="40"/>
  <c r="T55" i="36"/>
  <c r="T92" i="36" s="1"/>
  <c r="U19" i="40"/>
  <c r="T53" i="36"/>
  <c r="T90" i="36" s="1"/>
  <c r="T73" i="36"/>
  <c r="T154" i="36"/>
  <c r="T164" i="36" s="1"/>
  <c r="U27" i="40"/>
  <c r="T74" i="36"/>
  <c r="U20" i="40"/>
  <c r="T54" i="36"/>
  <c r="T91" i="36" s="1"/>
  <c r="T111" i="36"/>
  <c r="T433" i="36"/>
  <c r="T430" i="36" s="1"/>
  <c r="W26" i="5" l="1"/>
  <c r="W30" i="4"/>
  <c r="W27" i="5" s="1"/>
  <c r="W23" i="5"/>
  <c r="T12" i="36" s="1"/>
  <c r="T495" i="36" s="1"/>
  <c r="T40" i="36"/>
  <c r="W25" i="5"/>
  <c r="T26" i="36"/>
  <c r="T494" i="36" s="1"/>
  <c r="W35" i="5"/>
  <c r="W41" i="4"/>
  <c r="W36" i="5" s="1"/>
  <c r="W32" i="5"/>
  <c r="T13" i="36" s="1"/>
  <c r="T526" i="36" s="1"/>
  <c r="T41" i="36"/>
  <c r="T27" i="36"/>
  <c r="T525" i="36" s="1"/>
  <c r="W34" i="5"/>
  <c r="T155" i="36"/>
  <c r="T165" i="36" s="1"/>
  <c r="U28" i="40"/>
  <c r="T100" i="36"/>
  <c r="X43" i="41"/>
  <c r="T105" i="36"/>
  <c r="X48" i="41"/>
  <c r="U31" i="40"/>
  <c r="T158" i="36"/>
  <c r="T168" i="36" s="1"/>
  <c r="T103" i="36"/>
  <c r="X46" i="41"/>
  <c r="T160" i="36"/>
  <c r="T170" i="36" s="1"/>
  <c r="U33" i="40"/>
  <c r="T159" i="36"/>
  <c r="T169" i="36" s="1"/>
  <c r="U32" i="40"/>
  <c r="X47" i="41"/>
  <c r="T104" i="36"/>
  <c r="U17" i="40" l="1"/>
  <c r="T51" i="36"/>
  <c r="T88" i="36" s="1"/>
  <c r="T71" i="36"/>
  <c r="U18" i="40"/>
  <c r="T52" i="36"/>
  <c r="T89" i="36" s="1"/>
  <c r="T72" i="36"/>
  <c r="T465" i="36"/>
  <c r="T462" i="36" s="1"/>
  <c r="T112" i="36"/>
  <c r="T558" i="36"/>
  <c r="T555" i="36" s="1"/>
  <c r="T115" i="36"/>
  <c r="T117" i="36"/>
  <c r="T620" i="36"/>
  <c r="T617" i="36" s="1"/>
  <c r="T116" i="36"/>
  <c r="T589" i="36"/>
  <c r="T586" i="36" s="1"/>
  <c r="T156" i="36" l="1"/>
  <c r="T166" i="36" s="1"/>
  <c r="U29" i="40"/>
  <c r="T101" i="36"/>
  <c r="X44" i="41"/>
  <c r="U30" i="40"/>
  <c r="T157" i="36"/>
  <c r="T167" i="36" s="1"/>
  <c r="T102" i="36"/>
  <c r="X45" i="41"/>
  <c r="X49" i="41" l="1"/>
  <c r="X54" i="41" s="1"/>
  <c r="X66" i="41" s="1"/>
  <c r="X29" i="41" s="1"/>
  <c r="X9" i="41" s="1"/>
  <c r="T171" i="36"/>
  <c r="T177" i="36" s="1"/>
  <c r="T496" i="36"/>
  <c r="T493" i="36" s="1"/>
  <c r="T113" i="36"/>
  <c r="T114" i="36"/>
  <c r="T527" i="36"/>
  <c r="T524" i="36" s="1"/>
  <c r="X55" i="41" l="1"/>
  <c r="X67" i="41" s="1"/>
  <c r="X76" i="41" s="1"/>
  <c r="X84" i="41" s="1"/>
  <c r="X56" i="41"/>
  <c r="X68" i="41" s="1"/>
  <c r="X77" i="41" s="1"/>
  <c r="X108" i="41" s="1"/>
  <c r="X75" i="41"/>
  <c r="X106" i="41" s="1"/>
  <c r="X53" i="41"/>
  <c r="X65" i="41" s="1"/>
  <c r="X74" i="41" s="1"/>
  <c r="X82" i="41" s="1"/>
  <c r="X57" i="41"/>
  <c r="X69" i="41" s="1"/>
  <c r="X78" i="41" s="1"/>
  <c r="X58" i="41"/>
  <c r="X70" i="41" s="1"/>
  <c r="X79" i="41" s="1"/>
  <c r="X87" i="41" s="1"/>
  <c r="T178" i="36"/>
  <c r="T176" i="36"/>
  <c r="T179" i="36"/>
  <c r="T180" i="36"/>
  <c r="T181" i="36"/>
  <c r="T175" i="36"/>
  <c r="T118" i="36"/>
  <c r="T123" i="36" s="1"/>
  <c r="T134" i="36" s="1"/>
  <c r="T147" i="36" s="1"/>
  <c r="X31" i="41"/>
  <c r="X11" i="41" s="1"/>
  <c r="X85" i="41" l="1"/>
  <c r="X107" i="41"/>
  <c r="X30" i="41"/>
  <c r="X10" i="41" s="1"/>
  <c r="X83" i="41"/>
  <c r="X105" i="41"/>
  <c r="X28" i="41"/>
  <c r="X8" i="41" s="1"/>
  <c r="X32" i="41"/>
  <c r="X12" i="41" s="1"/>
  <c r="X33" i="41"/>
  <c r="X13" i="41" s="1"/>
  <c r="X110" i="41"/>
  <c r="T214" i="36"/>
  <c r="T215" i="36" s="1"/>
  <c r="T231" i="36" s="1"/>
  <c r="T182" i="36"/>
  <c r="T137" i="36"/>
  <c r="T150" i="36" s="1"/>
  <c r="T135" i="36"/>
  <c r="T148" i="36" s="1"/>
  <c r="T133" i="36"/>
  <c r="T146" i="36" s="1"/>
  <c r="T132" i="36"/>
  <c r="T145" i="36" s="1"/>
  <c r="T136" i="36"/>
  <c r="T149" i="36" s="1"/>
  <c r="T138" i="36"/>
  <c r="T151" i="36" s="1"/>
  <c r="X109" i="41"/>
  <c r="X86" i="41"/>
  <c r="X88" i="41" l="1"/>
  <c r="T235" i="36"/>
  <c r="T219" i="36"/>
  <c r="T233" i="36"/>
  <c r="T220" i="36"/>
  <c r="T217" i="36"/>
  <c r="T218" i="36"/>
  <c r="T234" i="36"/>
  <c r="T230" i="36"/>
  <c r="T229" i="36"/>
  <c r="T232" i="36"/>
  <c r="T221" i="36"/>
  <c r="T152" i="36"/>
  <c r="T139" i="36"/>
  <c r="T141" i="36" s="1"/>
  <c r="T239" i="36" l="1"/>
  <c r="T240" i="36" s="1"/>
  <c r="T244" i="36" s="1"/>
  <c r="T192" i="36"/>
  <c r="T202" i="36" s="1"/>
  <c r="T196" i="36"/>
  <c r="T206" i="36" s="1"/>
  <c r="T195" i="36"/>
  <c r="T205" i="36" s="1"/>
  <c r="T191" i="36"/>
  <c r="T201" i="36" s="1"/>
  <c r="T193" i="36"/>
  <c r="T203" i="36" s="1"/>
  <c r="T190" i="36"/>
  <c r="T194" i="36"/>
  <c r="T204" i="36" s="1"/>
  <c r="T255" i="36" l="1"/>
  <c r="T260" i="36"/>
  <c r="T259" i="36"/>
  <c r="T258" i="36"/>
  <c r="T248" i="36"/>
  <c r="T242" i="36"/>
  <c r="T257" i="36"/>
  <c r="T256" i="36"/>
  <c r="T243" i="36"/>
  <c r="T254" i="36"/>
  <c r="T246" i="36"/>
  <c r="T200" i="36"/>
  <c r="T207" i="36" s="1"/>
  <c r="T197" i="36"/>
  <c r="T209" i="36" s="1"/>
  <c r="T222" i="36" s="1"/>
  <c r="T264" i="36" l="1"/>
  <c r="T265" i="36" s="1"/>
  <c r="T284" i="36" s="1"/>
  <c r="T223" i="36"/>
  <c r="T224" i="36" s="1"/>
  <c r="T226" i="36" s="1"/>
  <c r="T280" i="36" l="1"/>
  <c r="T267" i="36"/>
  <c r="T268" i="36"/>
  <c r="T269" i="36"/>
  <c r="T270" i="36"/>
  <c r="T281" i="36"/>
  <c r="T279" i="36"/>
  <c r="T273" i="36"/>
  <c r="T282" i="36"/>
  <c r="T283" i="36"/>
  <c r="T271" i="36"/>
  <c r="T285" i="36"/>
  <c r="T245" i="36"/>
  <c r="T247" i="36"/>
  <c r="T289" i="36" l="1"/>
  <c r="T290" i="36" s="1"/>
  <c r="T293" i="36" s="1"/>
  <c r="T249" i="36"/>
  <c r="T251" i="36" s="1"/>
  <c r="T272" i="36" s="1"/>
  <c r="T274" i="36" s="1"/>
  <c r="T276" i="36" s="1"/>
  <c r="T307" i="36" l="1"/>
  <c r="T298" i="36"/>
  <c r="T297" i="36"/>
  <c r="T309" i="36"/>
  <c r="T308" i="36"/>
  <c r="T310" i="36"/>
  <c r="T306" i="36"/>
  <c r="T304" i="36"/>
  <c r="T305" i="36"/>
  <c r="T292" i="36"/>
  <c r="T296" i="36"/>
  <c r="T294" i="36"/>
  <c r="T295" i="36"/>
  <c r="T299" i="36" l="1"/>
  <c r="T301" i="36" s="1"/>
  <c r="T314" i="36"/>
  <c r="T315" i="36" s="1"/>
  <c r="T322" i="36" s="1"/>
  <c r="T335" i="36" l="1"/>
  <c r="T318" i="36"/>
  <c r="T334" i="36"/>
  <c r="T323" i="36"/>
  <c r="T319" i="36"/>
  <c r="T331" i="36"/>
  <c r="T333" i="36"/>
  <c r="T317" i="36"/>
  <c r="T321" i="36"/>
  <c r="T329" i="36"/>
  <c r="T330" i="36"/>
  <c r="T332" i="36"/>
  <c r="T320" i="36"/>
  <c r="T339" i="36" l="1"/>
  <c r="T340" i="36" s="1"/>
  <c r="T354" i="36" s="1"/>
  <c r="T324" i="36"/>
  <c r="T326" i="36" s="1"/>
  <c r="T359" i="36" l="1"/>
  <c r="T343" i="36"/>
  <c r="T358" i="36"/>
  <c r="T357" i="36"/>
  <c r="T346" i="36"/>
  <c r="T355" i="36"/>
  <c r="T345" i="36"/>
  <c r="T342" i="36"/>
  <c r="T348" i="36"/>
  <c r="T347" i="36"/>
  <c r="T344" i="36"/>
  <c r="T356" i="36"/>
  <c r="T360" i="36"/>
  <c r="T364" i="36" l="1"/>
  <c r="T365" i="36" s="1"/>
  <c r="T382" i="36" s="1"/>
  <c r="T349" i="36"/>
  <c r="T351" i="36" s="1"/>
  <c r="T369" i="36" l="1"/>
  <c r="T392" i="36" s="1"/>
  <c r="T403" i="36" s="1"/>
  <c r="T383" i="36"/>
  <c r="T381" i="36"/>
  <c r="T371" i="36"/>
  <c r="T394" i="36" s="1"/>
  <c r="T421" i="36" s="1"/>
  <c r="T554" i="36" s="1"/>
  <c r="T561" i="36" s="1"/>
  <c r="T565" i="36" s="1"/>
  <c r="T571" i="36" s="1"/>
  <c r="T380" i="36"/>
  <c r="T385" i="36"/>
  <c r="T373" i="36"/>
  <c r="T396" i="36" s="1"/>
  <c r="T384" i="36"/>
  <c r="T367" i="36"/>
  <c r="T390" i="36" s="1"/>
  <c r="T417" i="36" s="1"/>
  <c r="T429" i="36" s="1"/>
  <c r="T436" i="36" s="1"/>
  <c r="T440" i="36" s="1"/>
  <c r="T447" i="36" s="1"/>
  <c r="T370" i="36"/>
  <c r="T393" i="36" s="1"/>
  <c r="T404" i="36" s="1"/>
  <c r="T372" i="36"/>
  <c r="T395" i="36" s="1"/>
  <c r="T406" i="36" s="1"/>
  <c r="T368" i="36"/>
  <c r="T391" i="36" s="1"/>
  <c r="T418" i="36" s="1"/>
  <c r="T461" i="36" s="1"/>
  <c r="T468" i="36" s="1"/>
  <c r="T471" i="36" s="1"/>
  <c r="T477" i="36" s="1"/>
  <c r="T379" i="36"/>
  <c r="T419" i="36" l="1"/>
  <c r="T492" i="36" s="1"/>
  <c r="T499" i="36" s="1"/>
  <c r="T501" i="36" s="1"/>
  <c r="T507" i="36" s="1"/>
  <c r="T420" i="36"/>
  <c r="T523" i="36" s="1"/>
  <c r="T530" i="36" s="1"/>
  <c r="T534" i="36" s="1"/>
  <c r="T540" i="36" s="1"/>
  <c r="T401" i="36"/>
  <c r="T422" i="36"/>
  <c r="T585" i="36" s="1"/>
  <c r="T592" i="36" s="1"/>
  <c r="T596" i="36" s="1"/>
  <c r="T602" i="36" s="1"/>
  <c r="T563" i="36"/>
  <c r="T569" i="36" s="1"/>
  <c r="T564" i="36"/>
  <c r="T570" i="36" s="1"/>
  <c r="T438" i="36"/>
  <c r="T445" i="36" s="1"/>
  <c r="T374" i="36"/>
  <c r="T376" i="36" s="1"/>
  <c r="T439" i="36"/>
  <c r="T446" i="36" s="1"/>
  <c r="T470" i="36"/>
  <c r="T476" i="36" s="1"/>
  <c r="T402" i="36"/>
  <c r="T405" i="36"/>
  <c r="T423" i="36"/>
  <c r="T616" i="36" s="1"/>
  <c r="T623" i="36" s="1"/>
  <c r="T407" i="36"/>
  <c r="T472" i="36"/>
  <c r="T478" i="36" s="1"/>
  <c r="T397" i="36"/>
  <c r="T502" i="36" l="1"/>
  <c r="T508" i="36" s="1"/>
  <c r="T503" i="36"/>
  <c r="T509" i="36" s="1"/>
  <c r="T532" i="36"/>
  <c r="T538" i="36" s="1"/>
  <c r="T533" i="36"/>
  <c r="T539" i="36" s="1"/>
  <c r="T595" i="36"/>
  <c r="T601" i="36" s="1"/>
  <c r="T594" i="36"/>
  <c r="T600" i="36" s="1"/>
  <c r="T475" i="36"/>
  <c r="T441" i="36"/>
  <c r="T449" i="36" s="1"/>
  <c r="T450" i="36" s="1"/>
  <c r="T455" i="36" s="1"/>
  <c r="T666" i="36" s="1"/>
  <c r="T473" i="36"/>
  <c r="T480" i="36" s="1"/>
  <c r="T481" i="36" s="1"/>
  <c r="T486" i="36" s="1"/>
  <c r="T667" i="36" s="1"/>
  <c r="T715" i="36" s="1"/>
  <c r="T568" i="36"/>
  <c r="T566" i="36"/>
  <c r="T573" i="36" s="1"/>
  <c r="T574" i="36" s="1"/>
  <c r="T627" i="36"/>
  <c r="T633" i="36" s="1"/>
  <c r="T626" i="36"/>
  <c r="T632" i="36" s="1"/>
  <c r="T625" i="36"/>
  <c r="T444" i="36"/>
  <c r="T506" i="36" l="1"/>
  <c r="T504" i="36"/>
  <c r="T511" i="36" s="1"/>
  <c r="T512" i="36" s="1"/>
  <c r="T513" i="36" s="1"/>
  <c r="T518" i="36" s="1"/>
  <c r="T679" i="36" s="1"/>
  <c r="T728" i="36" s="1"/>
  <c r="T537" i="36"/>
  <c r="T535" i="36"/>
  <c r="T542" i="36" s="1"/>
  <c r="T543" i="36" s="1"/>
  <c r="T544" i="36" s="1"/>
  <c r="T549" i="36" s="1"/>
  <c r="T680" i="36" s="1"/>
  <c r="T729" i="36" s="1"/>
  <c r="T599" i="36"/>
  <c r="T482" i="36"/>
  <c r="T487" i="36" s="1"/>
  <c r="T678" i="36" s="1"/>
  <c r="T727" i="36" s="1"/>
  <c r="T597" i="36"/>
  <c r="T604" i="36" s="1"/>
  <c r="T605" i="36" s="1"/>
  <c r="T610" i="36" s="1"/>
  <c r="T671" i="36" s="1"/>
  <c r="T719" i="36" s="1"/>
  <c r="T631" i="36"/>
  <c r="T630" i="36" s="1"/>
  <c r="T628" i="36"/>
  <c r="T635" i="36" s="1"/>
  <c r="T579" i="36"/>
  <c r="T670" i="36" s="1"/>
  <c r="T718" i="36" s="1"/>
  <c r="T575" i="36"/>
  <c r="T451" i="36"/>
  <c r="T514" i="36" l="1"/>
  <c r="T519" i="36" s="1"/>
  <c r="T690" i="36" s="1"/>
  <c r="T702" i="36" s="1"/>
  <c r="T754" i="36" s="1"/>
  <c r="T548" i="36"/>
  <c r="T669" i="36" s="1"/>
  <c r="T717" i="36" s="1"/>
  <c r="T517" i="36"/>
  <c r="T668" i="36" s="1"/>
  <c r="T716" i="36" s="1"/>
  <c r="T545" i="36"/>
  <c r="T550" i="36" s="1"/>
  <c r="T691" i="36" s="1"/>
  <c r="T741" i="36" s="1"/>
  <c r="T483" i="36"/>
  <c r="T488" i="36" s="1"/>
  <c r="T689" i="36" s="1"/>
  <c r="T739" i="36" s="1"/>
  <c r="T636" i="36"/>
  <c r="T637" i="36" s="1"/>
  <c r="T642" i="36" s="1"/>
  <c r="T683" i="36" s="1"/>
  <c r="T732" i="36" s="1"/>
  <c r="T606" i="36"/>
  <c r="T607" i="36" s="1"/>
  <c r="T612" i="36" s="1"/>
  <c r="T693" i="36" s="1"/>
  <c r="T743" i="36" s="1"/>
  <c r="T580" i="36"/>
  <c r="T681" i="36" s="1"/>
  <c r="T730" i="36" s="1"/>
  <c r="T576" i="36"/>
  <c r="T581" i="36" s="1"/>
  <c r="T692" i="36" s="1"/>
  <c r="T456" i="36"/>
  <c r="T677" i="36" s="1"/>
  <c r="T726" i="36" s="1"/>
  <c r="T452" i="36"/>
  <c r="T457" i="36" s="1"/>
  <c r="T688" i="36" s="1"/>
  <c r="W28" i="4" l="1"/>
  <c r="X24" i="4" s="1"/>
  <c r="X27" i="4" s="1"/>
  <c r="X24" i="5" s="1"/>
  <c r="U26" i="36" s="1"/>
  <c r="U494" i="36" s="1"/>
  <c r="T703" i="36"/>
  <c r="U7" i="40" s="1"/>
  <c r="T740" i="36"/>
  <c r="U6" i="40"/>
  <c r="T701" i="36"/>
  <c r="T753" i="36" s="1"/>
  <c r="T641" i="36"/>
  <c r="T672" i="36" s="1"/>
  <c r="T720" i="36" s="1"/>
  <c r="T705" i="36"/>
  <c r="T757" i="36" s="1"/>
  <c r="T638" i="36"/>
  <c r="T643" i="36" s="1"/>
  <c r="T694" i="36" s="1"/>
  <c r="T611" i="36"/>
  <c r="T682" i="36" s="1"/>
  <c r="T731" i="36" s="1"/>
  <c r="T742" i="36"/>
  <c r="T704" i="36"/>
  <c r="T700" i="36"/>
  <c r="T738" i="36"/>
  <c r="W39" i="4" l="1"/>
  <c r="X35" i="4" s="1"/>
  <c r="X40" i="4" s="1"/>
  <c r="T755" i="36"/>
  <c r="X25" i="5"/>
  <c r="X26" i="4"/>
  <c r="W17" i="4"/>
  <c r="X14" i="4" s="1"/>
  <c r="X15" i="4" s="1"/>
  <c r="X31" i="4"/>
  <c r="X29" i="4"/>
  <c r="X26" i="5" s="1"/>
  <c r="X22" i="5"/>
  <c r="U5" i="40"/>
  <c r="T663" i="36"/>
  <c r="U9" i="40"/>
  <c r="W61" i="4"/>
  <c r="X58" i="4" s="1"/>
  <c r="X59" i="4" s="1"/>
  <c r="T706" i="36"/>
  <c r="T744" i="36"/>
  <c r="U8" i="40"/>
  <c r="W49" i="4"/>
  <c r="X46" i="4" s="1"/>
  <c r="T756" i="36"/>
  <c r="W9" i="4"/>
  <c r="X7" i="4" s="1"/>
  <c r="T752" i="36"/>
  <c r="U4" i="40"/>
  <c r="X42" i="4" l="1"/>
  <c r="X38" i="4"/>
  <c r="X33" i="5" s="1"/>
  <c r="U27" i="36" s="1"/>
  <c r="U525" i="36" s="1"/>
  <c r="X37" i="4"/>
  <c r="X30" i="4"/>
  <c r="X27" i="5" s="1"/>
  <c r="X31" i="5"/>
  <c r="U41" i="36" s="1"/>
  <c r="X13" i="5"/>
  <c r="U39" i="36" s="1"/>
  <c r="X18" i="4"/>
  <c r="X19" i="4" s="1"/>
  <c r="X18" i="5" s="1"/>
  <c r="X20" i="4"/>
  <c r="X16" i="4"/>
  <c r="X15" i="5" s="1"/>
  <c r="U25" i="36" s="1"/>
  <c r="U463" i="36" s="1"/>
  <c r="U40" i="36"/>
  <c r="X23" i="5"/>
  <c r="U12" i="36" s="1"/>
  <c r="U495" i="36" s="1"/>
  <c r="X62" i="4"/>
  <c r="X54" i="5" s="1"/>
  <c r="X50" i="5"/>
  <c r="X51" i="5" s="1"/>
  <c r="U15" i="36" s="1"/>
  <c r="U588" i="36" s="1"/>
  <c r="X64" i="4"/>
  <c r="X60" i="4"/>
  <c r="X52" i="5" s="1"/>
  <c r="X53" i="5" s="1"/>
  <c r="W72" i="4"/>
  <c r="X69" i="4" s="1"/>
  <c r="U10" i="40"/>
  <c r="T758" i="36"/>
  <c r="X50" i="4"/>
  <c r="X40" i="5"/>
  <c r="X52" i="4"/>
  <c r="X48" i="4"/>
  <c r="X42" i="5" s="1"/>
  <c r="X47" i="4"/>
  <c r="X35" i="5"/>
  <c r="X41" i="4"/>
  <c r="X36" i="5" s="1"/>
  <c r="X10" i="4"/>
  <c r="X7" i="5" s="1"/>
  <c r="X8" i="5" s="1"/>
  <c r="X5" i="5"/>
  <c r="X8" i="4"/>
  <c r="X34" i="5" l="1"/>
  <c r="X32" i="5"/>
  <c r="U13" i="36" s="1"/>
  <c r="U526" i="36" s="1"/>
  <c r="X14" i="5"/>
  <c r="U11" i="36" s="1"/>
  <c r="U464" i="36" s="1"/>
  <c r="X17" i="5"/>
  <c r="X16" i="5"/>
  <c r="X63" i="4"/>
  <c r="X55" i="5" s="1"/>
  <c r="U51" i="36"/>
  <c r="U88" i="36" s="1"/>
  <c r="V17" i="40"/>
  <c r="U71" i="36"/>
  <c r="U43" i="36"/>
  <c r="U54" i="36" s="1"/>
  <c r="U91" i="36" s="1"/>
  <c r="U29" i="36"/>
  <c r="U587" i="36" s="1"/>
  <c r="X60" i="5"/>
  <c r="X75" i="4"/>
  <c r="X71" i="4"/>
  <c r="X62" i="5" s="1"/>
  <c r="X70" i="4"/>
  <c r="X73" i="4"/>
  <c r="U28" i="36"/>
  <c r="U556" i="36" s="1"/>
  <c r="X43" i="5"/>
  <c r="X41" i="5"/>
  <c r="U14" i="36" s="1"/>
  <c r="U557" i="36" s="1"/>
  <c r="U42" i="36"/>
  <c r="X44" i="5"/>
  <c r="X51" i="4"/>
  <c r="X45" i="5" s="1"/>
  <c r="V18" i="40"/>
  <c r="U72" i="36"/>
  <c r="U52" i="36"/>
  <c r="U89" i="36" s="1"/>
  <c r="U70" i="36"/>
  <c r="U50" i="36"/>
  <c r="U87" i="36" s="1"/>
  <c r="V16" i="40"/>
  <c r="X6" i="5"/>
  <c r="U10" i="36" s="1"/>
  <c r="U432" i="36" s="1"/>
  <c r="X9" i="5"/>
  <c r="U38" i="36"/>
  <c r="V20" i="40" l="1"/>
  <c r="V29" i="40"/>
  <c r="U156" i="36"/>
  <c r="U166" i="36" s="1"/>
  <c r="U101" i="36"/>
  <c r="Y44" i="41"/>
  <c r="U74" i="36"/>
  <c r="U159" i="36" s="1"/>
  <c r="U169" i="36" s="1"/>
  <c r="U30" i="36"/>
  <c r="U618" i="36" s="1"/>
  <c r="X63" i="5"/>
  <c r="X74" i="4"/>
  <c r="X65" i="5" s="1"/>
  <c r="X64" i="5"/>
  <c r="X61" i="5"/>
  <c r="U16" i="36" s="1"/>
  <c r="U619" i="36" s="1"/>
  <c r="U44" i="36"/>
  <c r="Y47" i="41"/>
  <c r="U104" i="36"/>
  <c r="U73" i="36"/>
  <c r="U53" i="36"/>
  <c r="U90" i="36" s="1"/>
  <c r="V19" i="40"/>
  <c r="Y45" i="41"/>
  <c r="U102" i="36"/>
  <c r="U157" i="36"/>
  <c r="U167" i="36" s="1"/>
  <c r="V30" i="40"/>
  <c r="U49" i="36"/>
  <c r="U81" i="36" s="1"/>
  <c r="U83" i="36" s="1"/>
  <c r="U99" i="36" s="1"/>
  <c r="V15" i="40"/>
  <c r="U69" i="36"/>
  <c r="U100" i="36"/>
  <c r="Y43" i="41"/>
  <c r="U155" i="36"/>
  <c r="U165" i="36" s="1"/>
  <c r="V28" i="40"/>
  <c r="U496" i="36" l="1"/>
  <c r="U493" i="36" s="1"/>
  <c r="U113" i="36"/>
  <c r="V32" i="40"/>
  <c r="V21" i="40"/>
  <c r="U75" i="36"/>
  <c r="U55" i="36"/>
  <c r="U92" i="36" s="1"/>
  <c r="U116" i="36"/>
  <c r="U589" i="36"/>
  <c r="U586" i="36" s="1"/>
  <c r="V31" i="40"/>
  <c r="U158" i="36"/>
  <c r="U168" i="36" s="1"/>
  <c r="U103" i="36"/>
  <c r="Y46" i="41"/>
  <c r="U527" i="36"/>
  <c r="U524" i="36" s="1"/>
  <c r="U114" i="36"/>
  <c r="U433" i="36"/>
  <c r="U430" i="36" s="1"/>
  <c r="U111" i="36"/>
  <c r="U112" i="36"/>
  <c r="U465" i="36"/>
  <c r="U462" i="36" s="1"/>
  <c r="V27" i="40"/>
  <c r="U154" i="36"/>
  <c r="U164" i="36" s="1"/>
  <c r="Y48" i="41" l="1"/>
  <c r="Y49" i="41" s="1"/>
  <c r="Y55" i="41" s="1"/>
  <c r="Y67" i="41" s="1"/>
  <c r="Y76" i="41" s="1"/>
  <c r="Y107" i="41" s="1"/>
  <c r="U105" i="36"/>
  <c r="V33" i="40"/>
  <c r="U160" i="36"/>
  <c r="U170" i="36" s="1"/>
  <c r="U171" i="36" s="1"/>
  <c r="U175" i="36" s="1"/>
  <c r="U115" i="36"/>
  <c r="U558" i="36"/>
  <c r="U555" i="36" s="1"/>
  <c r="Y58" i="41" l="1"/>
  <c r="Y70" i="41" s="1"/>
  <c r="Y33" i="41" s="1"/>
  <c r="Y13" i="41" s="1"/>
  <c r="Y53" i="41"/>
  <c r="Y65" i="41" s="1"/>
  <c r="Y28" i="41" s="1"/>
  <c r="Y8" i="41" s="1"/>
  <c r="Y57" i="41"/>
  <c r="Y69" i="41" s="1"/>
  <c r="Y32" i="41" s="1"/>
  <c r="Y12" i="41" s="1"/>
  <c r="Y54" i="41"/>
  <c r="Y66" i="41" s="1"/>
  <c r="Y29" i="41" s="1"/>
  <c r="Y9" i="41" s="1"/>
  <c r="Y56" i="41"/>
  <c r="Y68" i="41" s="1"/>
  <c r="Y31" i="41" s="1"/>
  <c r="Y11" i="41" s="1"/>
  <c r="U117" i="36"/>
  <c r="U118" i="36" s="1"/>
  <c r="U123" i="36" s="1"/>
  <c r="U620" i="36"/>
  <c r="U617" i="36" s="1"/>
  <c r="Y30" i="41"/>
  <c r="Y10" i="41" s="1"/>
  <c r="Y84" i="41"/>
  <c r="U177" i="36"/>
  <c r="U179" i="36"/>
  <c r="U178" i="36"/>
  <c r="U180" i="36"/>
  <c r="U181" i="36"/>
  <c r="U176" i="36"/>
  <c r="Y74" i="41" l="1"/>
  <c r="Y82" i="41" s="1"/>
  <c r="Y78" i="41"/>
  <c r="Y109" i="41" s="1"/>
  <c r="Y79" i="41"/>
  <c r="Y110" i="41" s="1"/>
  <c r="Y75" i="41"/>
  <c r="Y106" i="41" s="1"/>
  <c r="Y77" i="41"/>
  <c r="Y85" i="41" s="1"/>
  <c r="U136" i="36"/>
  <c r="U149" i="36" s="1"/>
  <c r="U133" i="36"/>
  <c r="U146" i="36" s="1"/>
  <c r="U135" i="36"/>
  <c r="U148" i="36" s="1"/>
  <c r="U137" i="36"/>
  <c r="U150" i="36" s="1"/>
  <c r="U138" i="36"/>
  <c r="U151" i="36" s="1"/>
  <c r="U132" i="36"/>
  <c r="U145" i="36" s="1"/>
  <c r="U134" i="36"/>
  <c r="U147" i="36" s="1"/>
  <c r="U182" i="36"/>
  <c r="U214" i="36"/>
  <c r="U215" i="36" s="1"/>
  <c r="Y87" i="41" l="1"/>
  <c r="Y86" i="41"/>
  <c r="Y105" i="41"/>
  <c r="Y108" i="41"/>
  <c r="Y83" i="41"/>
  <c r="U139" i="36"/>
  <c r="U141" i="36" s="1"/>
  <c r="U194" i="36" s="1"/>
  <c r="U204" i="36" s="1"/>
  <c r="U152" i="36"/>
  <c r="U231" i="36"/>
  <c r="U223" i="36"/>
  <c r="U232" i="36"/>
  <c r="U233" i="36"/>
  <c r="U219" i="36"/>
  <c r="U230" i="36"/>
  <c r="U218" i="36"/>
  <c r="U229" i="36"/>
  <c r="U235" i="36"/>
  <c r="U217" i="36"/>
  <c r="U221" i="36"/>
  <c r="U234" i="36"/>
  <c r="Y88" i="41" l="1"/>
  <c r="U192" i="36"/>
  <c r="U202" i="36" s="1"/>
  <c r="U196" i="36"/>
  <c r="U206" i="36" s="1"/>
  <c r="U190" i="36"/>
  <c r="U200" i="36" s="1"/>
  <c r="U195" i="36"/>
  <c r="U205" i="36" s="1"/>
  <c r="U193" i="36"/>
  <c r="U203" i="36" s="1"/>
  <c r="U191" i="36"/>
  <c r="U201" i="36" s="1"/>
  <c r="U239" i="36"/>
  <c r="U240" i="36" s="1"/>
  <c r="U207" i="36" l="1"/>
  <c r="U197" i="36"/>
  <c r="U209" i="36" s="1"/>
  <c r="U220" i="36" s="1"/>
  <c r="U222" i="36"/>
  <c r="U248" i="36"/>
  <c r="U243" i="36"/>
  <c r="U242" i="36"/>
  <c r="U255" i="36"/>
  <c r="U260" i="36"/>
  <c r="U244" i="36"/>
  <c r="U258" i="36"/>
  <c r="U256" i="36"/>
  <c r="U254" i="36"/>
  <c r="U245" i="36"/>
  <c r="U259" i="36"/>
  <c r="U246" i="36"/>
  <c r="U257" i="36"/>
  <c r="U224" i="36" l="1"/>
  <c r="U226" i="36" s="1"/>
  <c r="U247" i="36" s="1"/>
  <c r="U249" i="36" s="1"/>
  <c r="U251" i="36" s="1"/>
  <c r="U264" i="36"/>
  <c r="U265" i="36" s="1"/>
  <c r="U279" i="36" l="1"/>
  <c r="U267" i="36"/>
  <c r="U273" i="36"/>
  <c r="U272" i="36"/>
  <c r="U283" i="36"/>
  <c r="U270" i="36"/>
  <c r="U271" i="36"/>
  <c r="U282" i="36"/>
  <c r="U281" i="36"/>
  <c r="U280" i="36"/>
  <c r="U284" i="36"/>
  <c r="U268" i="36"/>
  <c r="U269" i="36"/>
  <c r="U285" i="36"/>
  <c r="U274" i="36" l="1"/>
  <c r="U276" i="36" s="1"/>
  <c r="U289" i="36"/>
  <c r="U290" i="36" s="1"/>
  <c r="U304" i="36" l="1"/>
  <c r="U298" i="36"/>
  <c r="U294" i="36"/>
  <c r="U307" i="36"/>
  <c r="U296" i="36"/>
  <c r="U292" i="36"/>
  <c r="U293" i="36"/>
  <c r="U297" i="36"/>
  <c r="U308" i="36"/>
  <c r="U305" i="36"/>
  <c r="U309" i="36"/>
  <c r="U310" i="36"/>
  <c r="U306" i="36"/>
  <c r="U295" i="36"/>
  <c r="U299" i="36" l="1"/>
  <c r="U301" i="36" s="1"/>
  <c r="U314" i="36"/>
  <c r="U315" i="36" s="1"/>
  <c r="U331" i="36" l="1"/>
  <c r="U334" i="36"/>
  <c r="U330" i="36"/>
  <c r="U320" i="36"/>
  <c r="U318" i="36"/>
  <c r="U332" i="36"/>
  <c r="U329" i="36"/>
  <c r="U317" i="36"/>
  <c r="U333" i="36"/>
  <c r="U322" i="36"/>
  <c r="U323" i="36"/>
  <c r="U321" i="36"/>
  <c r="U319" i="36"/>
  <c r="U335" i="36"/>
  <c r="U339" i="36" l="1"/>
  <c r="U340" i="36" s="1"/>
  <c r="U347" i="36" s="1"/>
  <c r="U324" i="36"/>
  <c r="U326" i="36" s="1"/>
  <c r="U345" i="36" l="1"/>
  <c r="U344" i="36"/>
  <c r="U342" i="36"/>
  <c r="U356" i="36"/>
  <c r="U357" i="36"/>
  <c r="U355" i="36"/>
  <c r="U360" i="36"/>
  <c r="U346" i="36"/>
  <c r="U358" i="36"/>
  <c r="U348" i="36"/>
  <c r="U343" i="36"/>
  <c r="U359" i="36"/>
  <c r="U354" i="36"/>
  <c r="U349" i="36" l="1"/>
  <c r="U351" i="36" s="1"/>
  <c r="U364" i="36"/>
  <c r="U365" i="36" s="1"/>
  <c r="U373" i="36" l="1"/>
  <c r="U396" i="36" s="1"/>
  <c r="U407" i="36" s="1"/>
  <c r="U385" i="36"/>
  <c r="U369" i="36"/>
  <c r="U392" i="36" s="1"/>
  <c r="U403" i="36" s="1"/>
  <c r="U370" i="36"/>
  <c r="U393" i="36" s="1"/>
  <c r="U420" i="36" s="1"/>
  <c r="U523" i="36" s="1"/>
  <c r="U530" i="36" s="1"/>
  <c r="U381" i="36"/>
  <c r="U367" i="36"/>
  <c r="U390" i="36" s="1"/>
  <c r="U380" i="36"/>
  <c r="U372" i="36"/>
  <c r="U395" i="36" s="1"/>
  <c r="U422" i="36" s="1"/>
  <c r="U585" i="36" s="1"/>
  <c r="U592" i="36" s="1"/>
  <c r="U382" i="36"/>
  <c r="U368" i="36"/>
  <c r="U391" i="36" s="1"/>
  <c r="U402" i="36" s="1"/>
  <c r="U384" i="36"/>
  <c r="U371" i="36"/>
  <c r="U394" i="36" s="1"/>
  <c r="U405" i="36" s="1"/>
  <c r="U383" i="36"/>
  <c r="U379" i="36"/>
  <c r="U423" i="36" l="1"/>
  <c r="U616" i="36" s="1"/>
  <c r="U623" i="36" s="1"/>
  <c r="U625" i="36" s="1"/>
  <c r="U419" i="36"/>
  <c r="U492" i="36" s="1"/>
  <c r="U499" i="36" s="1"/>
  <c r="U503" i="36" s="1"/>
  <c r="U509" i="36" s="1"/>
  <c r="U418" i="36"/>
  <c r="U461" i="36" s="1"/>
  <c r="U468" i="36" s="1"/>
  <c r="U472" i="36" s="1"/>
  <c r="U478" i="36" s="1"/>
  <c r="U404" i="36"/>
  <c r="U406" i="36"/>
  <c r="U421" i="36"/>
  <c r="U554" i="36" s="1"/>
  <c r="U561" i="36" s="1"/>
  <c r="U564" i="36" s="1"/>
  <c r="U570" i="36" s="1"/>
  <c r="U374" i="36"/>
  <c r="U376" i="36" s="1"/>
  <c r="U595" i="36"/>
  <c r="U594" i="36"/>
  <c r="U596" i="36"/>
  <c r="U602" i="36" s="1"/>
  <c r="U417" i="36"/>
  <c r="U429" i="36" s="1"/>
  <c r="U436" i="36" s="1"/>
  <c r="U401" i="36"/>
  <c r="U397" i="36"/>
  <c r="U534" i="36"/>
  <c r="U540" i="36" s="1"/>
  <c r="U533" i="36"/>
  <c r="U532" i="36"/>
  <c r="U626" i="36" l="1"/>
  <c r="U632" i="36" s="1"/>
  <c r="U627" i="36"/>
  <c r="U633" i="36" s="1"/>
  <c r="U502" i="36"/>
  <c r="U508" i="36" s="1"/>
  <c r="U501" i="36"/>
  <c r="U507" i="36" s="1"/>
  <c r="U470" i="36"/>
  <c r="U476" i="36" s="1"/>
  <c r="U471" i="36"/>
  <c r="U477" i="36" s="1"/>
  <c r="U565" i="36"/>
  <c r="U571" i="36" s="1"/>
  <c r="U563" i="36"/>
  <c r="U569" i="36" s="1"/>
  <c r="U439" i="36"/>
  <c r="U446" i="36" s="1"/>
  <c r="U438" i="36"/>
  <c r="U440" i="36"/>
  <c r="U447" i="36" s="1"/>
  <c r="U631" i="36"/>
  <c r="U600" i="36"/>
  <c r="U597" i="36"/>
  <c r="U604" i="36" s="1"/>
  <c r="U539" i="36"/>
  <c r="U538" i="36"/>
  <c r="U535" i="36"/>
  <c r="U542" i="36" s="1"/>
  <c r="U601" i="36"/>
  <c r="U628" i="36" l="1"/>
  <c r="U635" i="36" s="1"/>
  <c r="U636" i="36" s="1"/>
  <c r="U641" i="36" s="1"/>
  <c r="U672" i="36" s="1"/>
  <c r="U720" i="36" s="1"/>
  <c r="U506" i="36"/>
  <c r="U504" i="36"/>
  <c r="U511" i="36" s="1"/>
  <c r="U512" i="36" s="1"/>
  <c r="U473" i="36"/>
  <c r="U480" i="36" s="1"/>
  <c r="U481" i="36" s="1"/>
  <c r="U486" i="36" s="1"/>
  <c r="U667" i="36" s="1"/>
  <c r="U715" i="36" s="1"/>
  <c r="U568" i="36"/>
  <c r="U475" i="36"/>
  <c r="U566" i="36"/>
  <c r="U573" i="36" s="1"/>
  <c r="U574" i="36" s="1"/>
  <c r="U579" i="36" s="1"/>
  <c r="U670" i="36" s="1"/>
  <c r="U718" i="36" s="1"/>
  <c r="U630" i="36"/>
  <c r="U537" i="36"/>
  <c r="U605" i="36"/>
  <c r="U599" i="36"/>
  <c r="U445" i="36"/>
  <c r="U441" i="36"/>
  <c r="U449" i="36" s="1"/>
  <c r="U543" i="36"/>
  <c r="U548" i="36" s="1"/>
  <c r="U669" i="36" s="1"/>
  <c r="U717" i="36" s="1"/>
  <c r="U575" i="36" l="1"/>
  <c r="U580" i="36" s="1"/>
  <c r="U681" i="36" s="1"/>
  <c r="U730" i="36" s="1"/>
  <c r="U517" i="36"/>
  <c r="U668" i="36" s="1"/>
  <c r="U716" i="36" s="1"/>
  <c r="U606" i="36"/>
  <c r="U610" i="36"/>
  <c r="U671" i="36" s="1"/>
  <c r="U719" i="36" s="1"/>
  <c r="U482" i="36"/>
  <c r="U637" i="36"/>
  <c r="U544" i="36"/>
  <c r="U549" i="36" s="1"/>
  <c r="U680" i="36" s="1"/>
  <c r="U729" i="36" s="1"/>
  <c r="U444" i="36"/>
  <c r="U450" i="36"/>
  <c r="U455" i="36" s="1"/>
  <c r="U666" i="36" s="1"/>
  <c r="U513" i="36"/>
  <c r="U518" i="36" s="1"/>
  <c r="U679" i="36" s="1"/>
  <c r="U728" i="36" s="1"/>
  <c r="U576" i="36" l="1"/>
  <c r="U581" i="36" s="1"/>
  <c r="U692" i="36" s="1"/>
  <c r="U704" i="36" s="1"/>
  <c r="U487" i="36"/>
  <c r="U678" i="36" s="1"/>
  <c r="U727" i="36" s="1"/>
  <c r="U483" i="36"/>
  <c r="U488" i="36" s="1"/>
  <c r="U689" i="36" s="1"/>
  <c r="U611" i="36"/>
  <c r="U682" i="36" s="1"/>
  <c r="U731" i="36" s="1"/>
  <c r="U607" i="36"/>
  <c r="U612" i="36" s="1"/>
  <c r="U693" i="36" s="1"/>
  <c r="U451" i="36"/>
  <c r="U456" i="36" s="1"/>
  <c r="U677" i="36" s="1"/>
  <c r="U726" i="36" s="1"/>
  <c r="U514" i="36"/>
  <c r="U519" i="36" s="1"/>
  <c r="U690" i="36" s="1"/>
  <c r="U663" i="36"/>
  <c r="U642" i="36"/>
  <c r="U683" i="36" s="1"/>
  <c r="U732" i="36" s="1"/>
  <c r="U638" i="36"/>
  <c r="U643" i="36" s="1"/>
  <c r="U694" i="36" s="1"/>
  <c r="U545" i="36"/>
  <c r="U550" i="36" s="1"/>
  <c r="U691" i="36" s="1"/>
  <c r="U742" i="36" l="1"/>
  <c r="U706" i="36"/>
  <c r="U744" i="36"/>
  <c r="V8" i="40"/>
  <c r="X49" i="4"/>
  <c r="Y46" i="4" s="1"/>
  <c r="U756" i="36"/>
  <c r="U701" i="36"/>
  <c r="U739" i="36"/>
  <c r="U452" i="36"/>
  <c r="U457" i="36" s="1"/>
  <c r="U688" i="36" s="1"/>
  <c r="U741" i="36"/>
  <c r="U703" i="36"/>
  <c r="U702" i="36"/>
  <c r="U740" i="36"/>
  <c r="U705" i="36"/>
  <c r="U743" i="36"/>
  <c r="U700" i="36" l="1"/>
  <c r="U738" i="36"/>
  <c r="X28" i="4"/>
  <c r="Y24" i="4" s="1"/>
  <c r="U754" i="36"/>
  <c r="V6" i="40"/>
  <c r="X17" i="4"/>
  <c r="Y14" i="4" s="1"/>
  <c r="V5" i="40"/>
  <c r="U753" i="36"/>
  <c r="Y40" i="5"/>
  <c r="Y50" i="4"/>
  <c r="Y52" i="4"/>
  <c r="Y47" i="4"/>
  <c r="Y48" i="4"/>
  <c r="Y42" i="5" s="1"/>
  <c r="U755" i="36"/>
  <c r="V7" i="40"/>
  <c r="X39" i="4"/>
  <c r="Y35" i="4" s="1"/>
  <c r="V9" i="40"/>
  <c r="X61" i="4"/>
  <c r="Y58" i="4" s="1"/>
  <c r="U757" i="36"/>
  <c r="V10" i="40"/>
  <c r="U758" i="36"/>
  <c r="X72" i="4"/>
  <c r="Y69" i="4" s="1"/>
  <c r="Y37" i="4" l="1"/>
  <c r="Y42" i="4"/>
  <c r="Y40" i="4"/>
  <c r="Y38" i="4"/>
  <c r="Y33" i="5" s="1"/>
  <c r="Y31" i="5"/>
  <c r="Y29" i="4"/>
  <c r="Y26" i="4"/>
  <c r="Y31" i="4"/>
  <c r="Y27" i="4"/>
  <c r="Y24" i="5" s="1"/>
  <c r="Y22" i="5"/>
  <c r="Y15" i="4"/>
  <c r="Y20" i="4"/>
  <c r="Y18" i="4"/>
  <c r="Y16" i="4"/>
  <c r="Y15" i="5" s="1"/>
  <c r="Y13" i="5"/>
  <c r="Y70" i="4"/>
  <c r="Y73" i="4"/>
  <c r="Y71" i="4"/>
  <c r="Y62" i="5" s="1"/>
  <c r="Y75" i="4"/>
  <c r="Y60" i="5"/>
  <c r="Y59" i="4"/>
  <c r="Y60" i="4"/>
  <c r="Y52" i="5" s="1"/>
  <c r="Y50" i="5"/>
  <c r="Y62" i="4"/>
  <c r="Y64" i="4"/>
  <c r="Y44" i="5"/>
  <c r="Y51" i="4"/>
  <c r="Y45" i="5" s="1"/>
  <c r="V28" i="36"/>
  <c r="V556" i="36" s="1"/>
  <c r="Y43" i="5"/>
  <c r="Y41" i="5"/>
  <c r="V14" i="36" s="1"/>
  <c r="V557" i="36" s="1"/>
  <c r="V42" i="36"/>
  <c r="U752" i="36"/>
  <c r="V4" i="40"/>
  <c r="X9" i="4"/>
  <c r="Y7" i="4" s="1"/>
  <c r="Y54" i="5" l="1"/>
  <c r="Y63" i="4"/>
  <c r="Y55" i="5" s="1"/>
  <c r="Y61" i="5"/>
  <c r="V16" i="36" s="1"/>
  <c r="V619" i="36" s="1"/>
  <c r="V44" i="36"/>
  <c r="V27" i="36"/>
  <c r="V525" i="36" s="1"/>
  <c r="Y34" i="5"/>
  <c r="V73" i="36"/>
  <c r="W19" i="40"/>
  <c r="V53" i="36"/>
  <c r="V90" i="36" s="1"/>
  <c r="Y51" i="5"/>
  <c r="V15" i="36" s="1"/>
  <c r="V588" i="36" s="1"/>
  <c r="V43" i="36"/>
  <c r="Y14" i="5"/>
  <c r="V11" i="36" s="1"/>
  <c r="V464" i="36" s="1"/>
  <c r="V39" i="36"/>
  <c r="Y35" i="5"/>
  <c r="Y41" i="4"/>
  <c r="Y36" i="5" s="1"/>
  <c r="Y8" i="4"/>
  <c r="Y5" i="5"/>
  <c r="Y10" i="4"/>
  <c r="Y7" i="5" s="1"/>
  <c r="Y53" i="5"/>
  <c r="V29" i="36"/>
  <c r="V587" i="36" s="1"/>
  <c r="V30" i="36"/>
  <c r="V618" i="36" s="1"/>
  <c r="Y63" i="5"/>
  <c r="V25" i="36"/>
  <c r="V463" i="36" s="1"/>
  <c r="Y16" i="5"/>
  <c r="Y23" i="5"/>
  <c r="V12" i="36" s="1"/>
  <c r="V495" i="36" s="1"/>
  <c r="V40" i="36"/>
  <c r="Y30" i="4"/>
  <c r="Y27" i="5" s="1"/>
  <c r="Y26" i="5"/>
  <c r="Y74" i="4"/>
  <c r="Y65" i="5" s="1"/>
  <c r="Y64" i="5"/>
  <c r="Y19" i="4"/>
  <c r="Y18" i="5" s="1"/>
  <c r="Y17" i="5"/>
  <c r="Y25" i="5"/>
  <c r="V26" i="36"/>
  <c r="V494" i="36" s="1"/>
  <c r="Y32" i="5"/>
  <c r="V13" i="36" s="1"/>
  <c r="V526" i="36" s="1"/>
  <c r="V41" i="36"/>
  <c r="V52" i="36" l="1"/>
  <c r="V89" i="36" s="1"/>
  <c r="V72" i="36"/>
  <c r="W18" i="40"/>
  <c r="V54" i="36"/>
  <c r="V91" i="36" s="1"/>
  <c r="V74" i="36"/>
  <c r="W20" i="40"/>
  <c r="V158" i="36"/>
  <c r="V168" i="36" s="1"/>
  <c r="W31" i="40"/>
  <c r="V55" i="36"/>
  <c r="V92" i="36" s="1"/>
  <c r="W21" i="40"/>
  <c r="V75" i="36"/>
  <c r="W17" i="40"/>
  <c r="V71" i="36"/>
  <c r="V51" i="36"/>
  <c r="V88" i="36" s="1"/>
  <c r="Y8" i="5"/>
  <c r="G70" i="32" s="1"/>
  <c r="G69" i="32"/>
  <c r="Y6" i="5"/>
  <c r="V38" i="36"/>
  <c r="Y9" i="5"/>
  <c r="G67" i="32"/>
  <c r="J5" i="32" s="1"/>
  <c r="K5" i="32" s="1"/>
  <c r="W16" i="40"/>
  <c r="V50" i="36"/>
  <c r="V87" i="36" s="1"/>
  <c r="V70" i="36"/>
  <c r="Z46" i="41"/>
  <c r="V103" i="36"/>
  <c r="W28" i="40" l="1"/>
  <c r="V155" i="36"/>
  <c r="V165" i="36" s="1"/>
  <c r="G72" i="32"/>
  <c r="G71" i="32"/>
  <c r="V160" i="36"/>
  <c r="V170" i="36" s="1"/>
  <c r="W33" i="40"/>
  <c r="Z47" i="41"/>
  <c r="V104" i="36"/>
  <c r="Z43" i="41"/>
  <c r="V100" i="36"/>
  <c r="W15" i="40"/>
  <c r="V49" i="36"/>
  <c r="V81" i="36" s="1"/>
  <c r="V83" i="36" s="1"/>
  <c r="V99" i="36" s="1"/>
  <c r="V69" i="36"/>
  <c r="Z44" i="41"/>
  <c r="V101" i="36"/>
  <c r="V157" i="36"/>
  <c r="V167" i="36" s="1"/>
  <c r="W30" i="40"/>
  <c r="V558" i="36"/>
  <c r="V555" i="36" s="1"/>
  <c r="V115" i="36"/>
  <c r="V10" i="36"/>
  <c r="V432" i="36" s="1"/>
  <c r="G68" i="32"/>
  <c r="V156" i="36"/>
  <c r="V166" i="36" s="1"/>
  <c r="W29" i="40"/>
  <c r="Z48" i="41"/>
  <c r="V105" i="36"/>
  <c r="W32" i="40"/>
  <c r="V159" i="36"/>
  <c r="V169" i="36" s="1"/>
  <c r="V102" i="36"/>
  <c r="Z45" i="41"/>
  <c r="V112" i="36" l="1"/>
  <c r="V465" i="36"/>
  <c r="V462" i="36" s="1"/>
  <c r="V620" i="36"/>
  <c r="V617" i="36" s="1"/>
  <c r="V117" i="36"/>
  <c r="W27" i="40"/>
  <c r="V154" i="36"/>
  <c r="V164" i="36" s="1"/>
  <c r="V171" i="36" s="1"/>
  <c r="Z49" i="41"/>
  <c r="Z53" i="41" s="1"/>
  <c r="Z65" i="41" s="1"/>
  <c r="V114" i="36"/>
  <c r="V527" i="36"/>
  <c r="V524" i="36" s="1"/>
  <c r="V111" i="36"/>
  <c r="V433" i="36"/>
  <c r="V430" i="36" s="1"/>
  <c r="V116" i="36"/>
  <c r="V589" i="36"/>
  <c r="V586" i="36" s="1"/>
  <c r="V496" i="36"/>
  <c r="V493" i="36" s="1"/>
  <c r="V113" i="36"/>
  <c r="Z58" i="41" l="1"/>
  <c r="Z70" i="41" s="1"/>
  <c r="Z79" i="41" s="1"/>
  <c r="Z57" i="41"/>
  <c r="Z69" i="41" s="1"/>
  <c r="Z32" i="41" s="1"/>
  <c r="Z12" i="41" s="1"/>
  <c r="V175" i="36"/>
  <c r="V179" i="36"/>
  <c r="V177" i="36"/>
  <c r="V180" i="36"/>
  <c r="V176" i="36"/>
  <c r="V181" i="36"/>
  <c r="V178" i="36"/>
  <c r="V118" i="36"/>
  <c r="V123" i="36" s="1"/>
  <c r="Z28" i="41"/>
  <c r="Z8" i="41" s="1"/>
  <c r="Z74" i="41"/>
  <c r="Z54" i="41"/>
  <c r="Z66" i="41" s="1"/>
  <c r="Z56" i="41"/>
  <c r="Z68" i="41" s="1"/>
  <c r="Z55" i="41"/>
  <c r="Z67" i="41" s="1"/>
  <c r="Z33" i="41" l="1"/>
  <c r="Z13" i="41" s="1"/>
  <c r="Z78" i="41"/>
  <c r="Z109" i="41" s="1"/>
  <c r="V134" i="36"/>
  <c r="V147" i="36" s="1"/>
  <c r="V136" i="36"/>
  <c r="V149" i="36" s="1"/>
  <c r="Z82" i="41"/>
  <c r="Z105" i="41"/>
  <c r="V214" i="36"/>
  <c r="V215" i="36" s="1"/>
  <c r="V138" i="36"/>
  <c r="V151" i="36" s="1"/>
  <c r="Z75" i="41"/>
  <c r="Z29" i="41"/>
  <c r="Z9" i="41" s="1"/>
  <c r="V137" i="36"/>
  <c r="V150" i="36" s="1"/>
  <c r="Z77" i="41"/>
  <c r="Z31" i="41"/>
  <c r="Z11" i="41" s="1"/>
  <c r="Z110" i="41"/>
  <c r="Z87" i="41"/>
  <c r="Z30" i="41"/>
  <c r="Z10" i="41" s="1"/>
  <c r="Z76" i="41"/>
  <c r="V135" i="36"/>
  <c r="V148" i="36" s="1"/>
  <c r="V133" i="36"/>
  <c r="V146" i="36" s="1"/>
  <c r="V132" i="36"/>
  <c r="V182" i="36"/>
  <c r="Z86" i="41" l="1"/>
  <c r="Z108" i="41"/>
  <c r="Z85" i="41"/>
  <c r="V139" i="36"/>
  <c r="V141" i="36" s="1"/>
  <c r="V145" i="36"/>
  <c r="Z107" i="41"/>
  <c r="Z84" i="41"/>
  <c r="Z106" i="41"/>
  <c r="Z83" i="41"/>
  <c r="V218" i="36"/>
  <c r="V229" i="36"/>
  <c r="V221" i="36"/>
  <c r="V220" i="36"/>
  <c r="V234" i="36"/>
  <c r="V232" i="36"/>
  <c r="V233" i="36"/>
  <c r="V235" i="36"/>
  <c r="V219" i="36"/>
  <c r="V231" i="36"/>
  <c r="V217" i="36"/>
  <c r="V230" i="36"/>
  <c r="Z88" i="41" l="1"/>
  <c r="V239" i="36"/>
  <c r="V240" i="36" s="1"/>
  <c r="V195" i="36"/>
  <c r="V205" i="36" s="1"/>
  <c r="V193" i="36"/>
  <c r="V203" i="36" s="1"/>
  <c r="V194" i="36"/>
  <c r="V204" i="36" s="1"/>
  <c r="V192" i="36"/>
  <c r="V202" i="36" s="1"/>
  <c r="V190" i="36"/>
  <c r="V200" i="36" s="1"/>
  <c r="V191" i="36"/>
  <c r="V201" i="36" s="1"/>
  <c r="V196" i="36"/>
  <c r="V206" i="36" s="1"/>
  <c r="V152" i="36"/>
  <c r="V207" i="36" l="1"/>
  <c r="V197" i="36"/>
  <c r="V209" i="36" s="1"/>
  <c r="V223" i="36" s="1"/>
  <c r="V242" i="36"/>
  <c r="V255" i="36"/>
  <c r="V256" i="36"/>
  <c r="V259" i="36"/>
  <c r="V257" i="36"/>
  <c r="V258" i="36"/>
  <c r="V244" i="36"/>
  <c r="V260" i="36"/>
  <c r="V254" i="36"/>
  <c r="V246" i="36"/>
  <c r="V243" i="36"/>
  <c r="V248" i="36"/>
  <c r="V222" i="36" l="1"/>
  <c r="V224" i="36" s="1"/>
  <c r="V226" i="36" s="1"/>
  <c r="V264" i="36"/>
  <c r="V265" i="36" s="1"/>
  <c r="V247" i="36" l="1"/>
  <c r="V245" i="36"/>
  <c r="V272" i="36"/>
  <c r="V273" i="36"/>
  <c r="V285" i="36"/>
  <c r="V279" i="36"/>
  <c r="V284" i="36"/>
  <c r="V267" i="36"/>
  <c r="V283" i="36"/>
  <c r="V282" i="36"/>
  <c r="V280" i="36"/>
  <c r="V281" i="36"/>
  <c r="V271" i="36"/>
  <c r="V268" i="36"/>
  <c r="V269" i="36"/>
  <c r="V249" i="36" l="1"/>
  <c r="V251" i="36" s="1"/>
  <c r="V270" i="36" s="1"/>
  <c r="V274" i="36" s="1"/>
  <c r="V276" i="36" s="1"/>
  <c r="V289" i="36"/>
  <c r="V290" i="36" s="1"/>
  <c r="V292" i="36" s="1"/>
  <c r="V298" i="36" l="1"/>
  <c r="V296" i="36"/>
  <c r="V293" i="36"/>
  <c r="V306" i="36"/>
  <c r="V308" i="36"/>
  <c r="V297" i="36"/>
  <c r="V295" i="36"/>
  <c r="V307" i="36"/>
  <c r="V310" i="36"/>
  <c r="V309" i="36"/>
  <c r="V305" i="36"/>
  <c r="V294" i="36"/>
  <c r="V304" i="36"/>
  <c r="V299" i="36" l="1"/>
  <c r="V301" i="36" s="1"/>
  <c r="V314" i="36"/>
  <c r="V315" i="36" s="1"/>
  <c r="V322" i="36" s="1"/>
  <c r="V331" i="36" l="1"/>
  <c r="V335" i="36"/>
  <c r="V319" i="36"/>
  <c r="V323" i="36"/>
  <c r="V317" i="36"/>
  <c r="V318" i="36"/>
  <c r="V321" i="36"/>
  <c r="V320" i="36"/>
  <c r="V334" i="36"/>
  <c r="V332" i="36"/>
  <c r="V329" i="36"/>
  <c r="V333" i="36"/>
  <c r="V330" i="36"/>
  <c r="V324" i="36" l="1"/>
  <c r="V326" i="36" s="1"/>
  <c r="V339" i="36"/>
  <c r="V340" i="36" s="1"/>
  <c r="V348" i="36" s="1"/>
  <c r="V359" i="36" l="1"/>
  <c r="V345" i="36"/>
  <c r="V344" i="36"/>
  <c r="V346" i="36"/>
  <c r="V343" i="36"/>
  <c r="V356" i="36"/>
  <c r="V360" i="36"/>
  <c r="V347" i="36"/>
  <c r="V354" i="36"/>
  <c r="V357" i="36"/>
  <c r="V342" i="36"/>
  <c r="V355" i="36"/>
  <c r="V358" i="36"/>
  <c r="V349" i="36" l="1"/>
  <c r="V351" i="36" s="1"/>
  <c r="V364" i="36"/>
  <c r="V365" i="36" s="1"/>
  <c r="V381" i="36" s="1"/>
  <c r="V384" i="36" l="1"/>
  <c r="V373" i="36"/>
  <c r="V396" i="36" s="1"/>
  <c r="V407" i="36" s="1"/>
  <c r="V380" i="36"/>
  <c r="V382" i="36"/>
  <c r="V370" i="36"/>
  <c r="V393" i="36" s="1"/>
  <c r="V404" i="36" s="1"/>
  <c r="V379" i="36"/>
  <c r="V372" i="36"/>
  <c r="V395" i="36" s="1"/>
  <c r="V422" i="36" s="1"/>
  <c r="V585" i="36" s="1"/>
  <c r="V592" i="36" s="1"/>
  <c r="V367" i="36"/>
  <c r="V390" i="36" s="1"/>
  <c r="V385" i="36"/>
  <c r="V369" i="36"/>
  <c r="V392" i="36" s="1"/>
  <c r="V403" i="36" s="1"/>
  <c r="V383" i="36"/>
  <c r="V371" i="36"/>
  <c r="V394" i="36" s="1"/>
  <c r="V421" i="36" s="1"/>
  <c r="V554" i="36" s="1"/>
  <c r="V561" i="36" s="1"/>
  <c r="V368" i="36"/>
  <c r="V391" i="36" s="1"/>
  <c r="V402" i="36" s="1"/>
  <c r="V423" i="36" l="1"/>
  <c r="V616" i="36" s="1"/>
  <c r="V623" i="36" s="1"/>
  <c r="V626" i="36" s="1"/>
  <c r="V632" i="36" s="1"/>
  <c r="V406" i="36"/>
  <c r="V374" i="36"/>
  <c r="V376" i="36" s="1"/>
  <c r="V405" i="36"/>
  <c r="V420" i="36"/>
  <c r="V523" i="36" s="1"/>
  <c r="V530" i="36" s="1"/>
  <c r="V532" i="36" s="1"/>
  <c r="V418" i="36"/>
  <c r="V461" i="36" s="1"/>
  <c r="V468" i="36" s="1"/>
  <c r="V471" i="36" s="1"/>
  <c r="V477" i="36" s="1"/>
  <c r="V419" i="36"/>
  <c r="V492" i="36" s="1"/>
  <c r="V499" i="36" s="1"/>
  <c r="V501" i="36" s="1"/>
  <c r="V563" i="36"/>
  <c r="V565" i="36"/>
  <c r="V571" i="36" s="1"/>
  <c r="V564" i="36"/>
  <c r="V570" i="36" s="1"/>
  <c r="V417" i="36"/>
  <c r="V429" i="36" s="1"/>
  <c r="V436" i="36" s="1"/>
  <c r="V401" i="36"/>
  <c r="V397" i="36"/>
  <c r="V595" i="36"/>
  <c r="V601" i="36" s="1"/>
  <c r="V596" i="36"/>
  <c r="V602" i="36" s="1"/>
  <c r="V594" i="36"/>
  <c r="V625" i="36" l="1"/>
  <c r="V631" i="36" s="1"/>
  <c r="V627" i="36"/>
  <c r="V633" i="36" s="1"/>
  <c r="V470" i="36"/>
  <c r="V476" i="36" s="1"/>
  <c r="V502" i="36"/>
  <c r="V508" i="36" s="1"/>
  <c r="V472" i="36"/>
  <c r="V478" i="36" s="1"/>
  <c r="V503" i="36"/>
  <c r="V509" i="36" s="1"/>
  <c r="V534" i="36"/>
  <c r="V540" i="36" s="1"/>
  <c r="V533" i="36"/>
  <c r="V539" i="36" s="1"/>
  <c r="V569" i="36"/>
  <c r="V568" i="36" s="1"/>
  <c r="V566" i="36"/>
  <c r="V573" i="36" s="1"/>
  <c r="V440" i="36"/>
  <c r="V447" i="36" s="1"/>
  <c r="V438" i="36"/>
  <c r="V439" i="36"/>
  <c r="V446" i="36" s="1"/>
  <c r="V600" i="36"/>
  <c r="V599" i="36" s="1"/>
  <c r="V597" i="36"/>
  <c r="V604" i="36" s="1"/>
  <c r="V507" i="36"/>
  <c r="V538" i="36"/>
  <c r="V628" i="36" l="1"/>
  <c r="V635" i="36" s="1"/>
  <c r="V636" i="36" s="1"/>
  <c r="V630" i="36"/>
  <c r="V475" i="36"/>
  <c r="V473" i="36"/>
  <c r="V480" i="36" s="1"/>
  <c r="V481" i="36" s="1"/>
  <c r="V504" i="36"/>
  <c r="V511" i="36" s="1"/>
  <c r="V512" i="36" s="1"/>
  <c r="V517" i="36" s="1"/>
  <c r="V668" i="36" s="1"/>
  <c r="V716" i="36" s="1"/>
  <c r="V506" i="36"/>
  <c r="V537" i="36"/>
  <c r="V535" i="36"/>
  <c r="V542" i="36" s="1"/>
  <c r="V543" i="36" s="1"/>
  <c r="V605" i="36"/>
  <c r="V610" i="36" s="1"/>
  <c r="V671" i="36" s="1"/>
  <c r="V719" i="36" s="1"/>
  <c r="V445" i="36"/>
  <c r="V441" i="36"/>
  <c r="V449" i="36" s="1"/>
  <c r="V574" i="36"/>
  <c r="V575" i="36" s="1"/>
  <c r="V580" i="36" s="1"/>
  <c r="V681" i="36" s="1"/>
  <c r="V730" i="36" s="1"/>
  <c r="V606" i="36" l="1"/>
  <c r="V611" i="36" s="1"/>
  <c r="V682" i="36" s="1"/>
  <c r="V731" i="36" s="1"/>
  <c r="V513" i="36"/>
  <c r="V576" i="36"/>
  <c r="V581" i="36" s="1"/>
  <c r="V692" i="36" s="1"/>
  <c r="V579" i="36"/>
  <c r="V670" i="36" s="1"/>
  <c r="V718" i="36" s="1"/>
  <c r="V641" i="36"/>
  <c r="V672" i="36" s="1"/>
  <c r="V720" i="36" s="1"/>
  <c r="V544" i="36"/>
  <c r="V548" i="36"/>
  <c r="V669" i="36" s="1"/>
  <c r="V717" i="36" s="1"/>
  <c r="V444" i="36"/>
  <c r="V450" i="36"/>
  <c r="V637" i="36"/>
  <c r="V642" i="36" s="1"/>
  <c r="V683" i="36" s="1"/>
  <c r="V732" i="36" s="1"/>
  <c r="V486" i="36"/>
  <c r="V667" i="36" s="1"/>
  <c r="V715" i="36" s="1"/>
  <c r="V482" i="36"/>
  <c r="V607" i="36" l="1"/>
  <c r="V612" i="36" s="1"/>
  <c r="V693" i="36" s="1"/>
  <c r="V518" i="36"/>
  <c r="V679" i="36" s="1"/>
  <c r="V728" i="36" s="1"/>
  <c r="V514" i="36"/>
  <c r="V519" i="36" s="1"/>
  <c r="V690" i="36" s="1"/>
  <c r="V455" i="36"/>
  <c r="V666" i="36" s="1"/>
  <c r="V663" i="36" s="1"/>
  <c r="V451" i="36"/>
  <c r="V638" i="36"/>
  <c r="V643" i="36" s="1"/>
  <c r="V694" i="36" s="1"/>
  <c r="V487" i="36"/>
  <c r="V678" i="36" s="1"/>
  <c r="V727" i="36" s="1"/>
  <c r="V483" i="36"/>
  <c r="V488" i="36" s="1"/>
  <c r="V689" i="36" s="1"/>
  <c r="V549" i="36"/>
  <c r="V680" i="36" s="1"/>
  <c r="V729" i="36" s="1"/>
  <c r="V545" i="36"/>
  <c r="V550" i="36" s="1"/>
  <c r="V691" i="36" s="1"/>
  <c r="V704" i="36"/>
  <c r="V742" i="36"/>
  <c r="V705" i="36" l="1"/>
  <c r="V743" i="36"/>
  <c r="V740" i="36"/>
  <c r="V702" i="36"/>
  <c r="W8" i="40"/>
  <c r="V756" i="36"/>
  <c r="Y49" i="4"/>
  <c r="Z46" i="4" s="1"/>
  <c r="V703" i="36"/>
  <c r="V741" i="36"/>
  <c r="V706" i="36"/>
  <c r="V744" i="36"/>
  <c r="V456" i="36"/>
  <c r="V677" i="36" s="1"/>
  <c r="V726" i="36" s="1"/>
  <c r="V452" i="36"/>
  <c r="V457" i="36" s="1"/>
  <c r="V688" i="36" s="1"/>
  <c r="V701" i="36"/>
  <c r="V739" i="36"/>
  <c r="Y61" i="4" l="1"/>
  <c r="Z58" i="4" s="1"/>
  <c r="V757" i="36"/>
  <c r="W9" i="40"/>
  <c r="W6" i="40"/>
  <c r="V754" i="36"/>
  <c r="Y28" i="4"/>
  <c r="Z24" i="4" s="1"/>
  <c r="Y39" i="4"/>
  <c r="Z35" i="4" s="1"/>
  <c r="V755" i="36"/>
  <c r="W7" i="40"/>
  <c r="Z40" i="5"/>
  <c r="Z48" i="4"/>
  <c r="Z42" i="5" s="1"/>
  <c r="Z47" i="4"/>
  <c r="Z50" i="4"/>
  <c r="Z52" i="4"/>
  <c r="W5" i="40"/>
  <c r="V753" i="36"/>
  <c r="Y17" i="4"/>
  <c r="Z14" i="4" s="1"/>
  <c r="W10" i="40"/>
  <c r="V758" i="36"/>
  <c r="Y72" i="4"/>
  <c r="Z69" i="4" s="1"/>
  <c r="V738" i="36"/>
  <c r="V700" i="36"/>
  <c r="Z59" i="4" l="1"/>
  <c r="Z60" i="4"/>
  <c r="Z52" i="5" s="1"/>
  <c r="Z64" i="4"/>
  <c r="Z62" i="4"/>
  <c r="Z50" i="5"/>
  <c r="Z26" i="4"/>
  <c r="Z27" i="4"/>
  <c r="Z24" i="5" s="1"/>
  <c r="Z31" i="4"/>
  <c r="Z22" i="5"/>
  <c r="Z29" i="4"/>
  <c r="V752" i="36"/>
  <c r="W4" i="40"/>
  <c r="Y9" i="4"/>
  <c r="Z7" i="4" s="1"/>
  <c r="W42" i="36"/>
  <c r="Z41" i="5"/>
  <c r="W14" i="36" s="1"/>
  <c r="W557" i="36" s="1"/>
  <c r="Z15" i="4"/>
  <c r="Z16" i="4"/>
  <c r="Z15" i="5" s="1"/>
  <c r="Z13" i="5"/>
  <c r="Z18" i="4"/>
  <c r="Z20" i="4"/>
  <c r="Z44" i="5"/>
  <c r="Z51" i="4"/>
  <c r="Z45" i="5" s="1"/>
  <c r="Z71" i="4"/>
  <c r="Z62" i="5" s="1"/>
  <c r="Z60" i="5"/>
  <c r="Z75" i="4"/>
  <c r="Z73" i="4"/>
  <c r="Z70" i="4"/>
  <c r="W28" i="36"/>
  <c r="W556" i="36" s="1"/>
  <c r="Z43" i="5"/>
  <c r="Z37" i="4"/>
  <c r="Z40" i="4"/>
  <c r="Z42" i="4"/>
  <c r="Z38" i="4"/>
  <c r="Z33" i="5" s="1"/>
  <c r="Z31" i="5"/>
  <c r="Z53" i="5" l="1"/>
  <c r="W29" i="36"/>
  <c r="W587" i="36" s="1"/>
  <c r="Z63" i="4"/>
  <c r="Z55" i="5" s="1"/>
  <c r="Z54" i="5"/>
  <c r="W43" i="36"/>
  <c r="Z51" i="5"/>
  <c r="W15" i="36" s="1"/>
  <c r="W588" i="36" s="1"/>
  <c r="Z23" i="5"/>
  <c r="W12" i="36" s="1"/>
  <c r="W495" i="36" s="1"/>
  <c r="W40" i="36"/>
  <c r="W26" i="36"/>
  <c r="W494" i="36" s="1"/>
  <c r="Z25" i="5"/>
  <c r="Z26" i="5"/>
  <c r="Z30" i="4"/>
  <c r="Z27" i="5" s="1"/>
  <c r="W41" i="36"/>
  <c r="Z32" i="5"/>
  <c r="W13" i="36" s="1"/>
  <c r="W526" i="36" s="1"/>
  <c r="Z74" i="4"/>
  <c r="Z65" i="5" s="1"/>
  <c r="Z64" i="5"/>
  <c r="W39" i="36"/>
  <c r="Z14" i="5"/>
  <c r="W11" i="36" s="1"/>
  <c r="W464" i="36" s="1"/>
  <c r="W73" i="36"/>
  <c r="X19" i="40"/>
  <c r="W53" i="36"/>
  <c r="W90" i="36" s="1"/>
  <c r="Z16" i="5"/>
  <c r="W25" i="36"/>
  <c r="W463" i="36" s="1"/>
  <c r="Z5" i="5"/>
  <c r="Z8" i="4"/>
  <c r="Z10" i="4"/>
  <c r="Z7" i="5" s="1"/>
  <c r="Z8" i="5" s="1"/>
  <c r="W27" i="36"/>
  <c r="W525" i="36" s="1"/>
  <c r="Z34" i="5"/>
  <c r="W44" i="36"/>
  <c r="Z61" i="5"/>
  <c r="W16" i="36" s="1"/>
  <c r="W619" i="36" s="1"/>
  <c r="Z41" i="4"/>
  <c r="Z36" i="5" s="1"/>
  <c r="Z35" i="5"/>
  <c r="Z63" i="5"/>
  <c r="W30" i="36"/>
  <c r="W618" i="36" s="1"/>
  <c r="Z17" i="5"/>
  <c r="Z19" i="4"/>
  <c r="Z18" i="5" s="1"/>
  <c r="W74" i="36" l="1"/>
  <c r="X20" i="40"/>
  <c r="W54" i="36"/>
  <c r="W91" i="36" s="1"/>
  <c r="W51" i="36"/>
  <c r="W88" i="36" s="1"/>
  <c r="X17" i="40"/>
  <c r="W71" i="36"/>
  <c r="Z9" i="5"/>
  <c r="Z6" i="5"/>
  <c r="W10" i="36" s="1"/>
  <c r="W432" i="36" s="1"/>
  <c r="W38" i="36"/>
  <c r="W158" i="36"/>
  <c r="W168" i="36" s="1"/>
  <c r="X31" i="40"/>
  <c r="X21" i="40"/>
  <c r="W75" i="36"/>
  <c r="W55" i="36"/>
  <c r="W92" i="36" s="1"/>
  <c r="AA46" i="41"/>
  <c r="W103" i="36"/>
  <c r="X16" i="40"/>
  <c r="W70" i="36"/>
  <c r="W50" i="36"/>
  <c r="W87" i="36" s="1"/>
  <c r="X18" i="40"/>
  <c r="W52" i="36"/>
  <c r="W89" i="36" s="1"/>
  <c r="W72" i="36"/>
  <c r="W104" i="36" l="1"/>
  <c r="AA47" i="41"/>
  <c r="W159" i="36"/>
  <c r="W169" i="36" s="1"/>
  <c r="X32" i="40"/>
  <c r="X29" i="40"/>
  <c r="W156" i="36"/>
  <c r="W166" i="36" s="1"/>
  <c r="W101" i="36"/>
  <c r="AA44" i="41"/>
  <c r="W157" i="36"/>
  <c r="W167" i="36" s="1"/>
  <c r="X30" i="40"/>
  <c r="X28" i="40"/>
  <c r="W155" i="36"/>
  <c r="W165" i="36" s="1"/>
  <c r="W105" i="36"/>
  <c r="AA48" i="41"/>
  <c r="AA45" i="41"/>
  <c r="W102" i="36"/>
  <c r="W160" i="36"/>
  <c r="W170" i="36" s="1"/>
  <c r="X33" i="40"/>
  <c r="W49" i="36"/>
  <c r="W81" i="36" s="1"/>
  <c r="W83" i="36" s="1"/>
  <c r="W99" i="36" s="1"/>
  <c r="X15" i="40"/>
  <c r="W69" i="36"/>
  <c r="W558" i="36"/>
  <c r="W555" i="36" s="1"/>
  <c r="W115" i="36"/>
  <c r="AA43" i="41"/>
  <c r="W100" i="36"/>
  <c r="W589" i="36" l="1"/>
  <c r="W586" i="36" s="1"/>
  <c r="W116" i="36"/>
  <c r="W113" i="36"/>
  <c r="W496" i="36"/>
  <c r="W493" i="36" s="1"/>
  <c r="X27" i="40"/>
  <c r="W154" i="36"/>
  <c r="W164" i="36" s="1"/>
  <c r="AA49" i="41"/>
  <c r="AA55" i="41" s="1"/>
  <c r="AA67" i="41" s="1"/>
  <c r="W114" i="36"/>
  <c r="W527" i="36"/>
  <c r="W524" i="36" s="1"/>
  <c r="W111" i="36"/>
  <c r="W433" i="36"/>
  <c r="W430" i="36" s="1"/>
  <c r="W112" i="36"/>
  <c r="W465" i="36"/>
  <c r="W462" i="36" s="1"/>
  <c r="W620" i="36"/>
  <c r="W617" i="36" s="1"/>
  <c r="W117" i="36"/>
  <c r="AA58" i="41" l="1"/>
  <c r="AA70" i="41" s="1"/>
  <c r="AA33" i="41" s="1"/>
  <c r="AA13" i="41" s="1"/>
  <c r="W118" i="36"/>
  <c r="W123" i="36" s="1"/>
  <c r="W133" i="36" s="1"/>
  <c r="W146" i="36" s="1"/>
  <c r="AA56" i="41"/>
  <c r="AA68" i="41" s="1"/>
  <c r="AA54" i="41"/>
  <c r="AA66" i="41" s="1"/>
  <c r="AA57" i="41"/>
  <c r="AA69" i="41" s="1"/>
  <c r="W171" i="36"/>
  <c r="W175" i="36" s="1"/>
  <c r="AA76" i="41"/>
  <c r="AA30" i="41"/>
  <c r="AA10" i="41" s="1"/>
  <c r="AA53" i="41"/>
  <c r="AA65" i="41" s="1"/>
  <c r="AA79" i="41" l="1"/>
  <c r="AA110" i="41" s="1"/>
  <c r="AA29" i="41"/>
  <c r="AA9" i="41" s="1"/>
  <c r="AA75" i="41"/>
  <c r="AA31" i="41"/>
  <c r="AA11" i="41" s="1"/>
  <c r="AA77" i="41"/>
  <c r="W180" i="36"/>
  <c r="W177" i="36"/>
  <c r="W176" i="36"/>
  <c r="W179" i="36"/>
  <c r="W181" i="36"/>
  <c r="W178" i="36"/>
  <c r="W135" i="36"/>
  <c r="W148" i="36" s="1"/>
  <c r="W137" i="36"/>
  <c r="W150" i="36" s="1"/>
  <c r="W134" i="36"/>
  <c r="W147" i="36" s="1"/>
  <c r="W132" i="36"/>
  <c r="W136" i="36"/>
  <c r="W149" i="36" s="1"/>
  <c r="AA74" i="41"/>
  <c r="AA28" i="41"/>
  <c r="AA8" i="41" s="1"/>
  <c r="AA84" i="41"/>
  <c r="AA107" i="41"/>
  <c r="AA32" i="41"/>
  <c r="AA12" i="41" s="1"/>
  <c r="AA78" i="41"/>
  <c r="W138" i="36"/>
  <c r="W151" i="36" s="1"/>
  <c r="AA87" i="41" l="1"/>
  <c r="W182" i="36"/>
  <c r="AA86" i="41"/>
  <c r="AA109" i="41"/>
  <c r="AA82" i="41"/>
  <c r="AA105" i="41"/>
  <c r="AA85" i="41"/>
  <c r="AA108" i="41"/>
  <c r="W145" i="36"/>
  <c r="W152" i="36" s="1"/>
  <c r="W139" i="36"/>
  <c r="W141" i="36" s="1"/>
  <c r="W214" i="36"/>
  <c r="W215" i="36" s="1"/>
  <c r="AA106" i="41"/>
  <c r="AA83" i="41"/>
  <c r="W193" i="36" l="1"/>
  <c r="W203" i="36" s="1"/>
  <c r="W190" i="36"/>
  <c r="W195" i="36"/>
  <c r="W205" i="36" s="1"/>
  <c r="W194" i="36"/>
  <c r="W204" i="36" s="1"/>
  <c r="W191" i="36"/>
  <c r="W201" i="36" s="1"/>
  <c r="W192" i="36"/>
  <c r="W202" i="36" s="1"/>
  <c r="W196" i="36"/>
  <c r="W206" i="36" s="1"/>
  <c r="AA88" i="41"/>
  <c r="W235" i="36"/>
  <c r="W232" i="36"/>
  <c r="W223" i="36"/>
  <c r="W230" i="36"/>
  <c r="W231" i="36"/>
  <c r="W233" i="36"/>
  <c r="W219" i="36"/>
  <c r="W218" i="36"/>
  <c r="W217" i="36"/>
  <c r="W234" i="36"/>
  <c r="W229" i="36"/>
  <c r="W221" i="36"/>
  <c r="W239" i="36" l="1"/>
  <c r="W240" i="36" s="1"/>
  <c r="W256" i="36" s="1"/>
  <c r="W197" i="36"/>
  <c r="W209" i="36" s="1"/>
  <c r="W200" i="36"/>
  <c r="W207" i="36" s="1"/>
  <c r="W222" i="36" l="1"/>
  <c r="W220" i="36"/>
  <c r="W258" i="36"/>
  <c r="W259" i="36"/>
  <c r="W255" i="36"/>
  <c r="W244" i="36"/>
  <c r="W254" i="36"/>
  <c r="W257" i="36"/>
  <c r="W242" i="36"/>
  <c r="W246" i="36"/>
  <c r="W247" i="36"/>
  <c r="W260" i="36"/>
  <c r="W243" i="36"/>
  <c r="W245" i="36"/>
  <c r="W224" i="36" l="1"/>
  <c r="W226" i="36" s="1"/>
  <c r="W248" i="36" s="1"/>
  <c r="W249" i="36" s="1"/>
  <c r="W251" i="36" s="1"/>
  <c r="W264" i="36"/>
  <c r="W265" i="36" s="1"/>
  <c r="W272" i="36" s="1"/>
  <c r="W279" i="36" l="1"/>
  <c r="W273" i="36"/>
  <c r="W282" i="36"/>
  <c r="W285" i="36"/>
  <c r="W280" i="36"/>
  <c r="W271" i="36"/>
  <c r="W284" i="36"/>
  <c r="W283" i="36"/>
  <c r="W270" i="36"/>
  <c r="W267" i="36"/>
  <c r="W268" i="36"/>
  <c r="W281" i="36"/>
  <c r="W269" i="36"/>
  <c r="W289" i="36" l="1"/>
  <c r="W290" i="36" s="1"/>
  <c r="W295" i="36" s="1"/>
  <c r="W274" i="36"/>
  <c r="W276" i="36" s="1"/>
  <c r="W293" i="36" l="1"/>
  <c r="W305" i="36"/>
  <c r="W297" i="36"/>
  <c r="W304" i="36"/>
  <c r="W309" i="36"/>
  <c r="W306" i="36"/>
  <c r="W308" i="36"/>
  <c r="W307" i="36"/>
  <c r="W310" i="36"/>
  <c r="W296" i="36"/>
  <c r="W292" i="36"/>
  <c r="W294" i="36"/>
  <c r="W298" i="36"/>
  <c r="W314" i="36" l="1"/>
  <c r="W315" i="36" s="1"/>
  <c r="W323" i="36" s="1"/>
  <c r="W299" i="36"/>
  <c r="W301" i="36" s="1"/>
  <c r="W332" i="36" l="1"/>
  <c r="W322" i="36"/>
  <c r="W335" i="36"/>
  <c r="W317" i="36"/>
  <c r="W329" i="36"/>
  <c r="W318" i="36"/>
  <c r="W320" i="36"/>
  <c r="W319" i="36"/>
  <c r="W330" i="36"/>
  <c r="W331" i="36"/>
  <c r="W334" i="36"/>
  <c r="W333" i="36"/>
  <c r="W321" i="36"/>
  <c r="W324" i="36" l="1"/>
  <c r="W326" i="36" s="1"/>
  <c r="W339" i="36"/>
  <c r="W340" i="36" s="1"/>
  <c r="W359" i="36" s="1"/>
  <c r="W348" i="36" l="1"/>
  <c r="W344" i="36"/>
  <c r="W355" i="36"/>
  <c r="W347" i="36"/>
  <c r="W357" i="36"/>
  <c r="W342" i="36"/>
  <c r="W360" i="36"/>
  <c r="W343" i="36"/>
  <c r="W358" i="36"/>
  <c r="W356" i="36"/>
  <c r="W346" i="36"/>
  <c r="W354" i="36"/>
  <c r="W345" i="36"/>
  <c r="W349" i="36" l="1"/>
  <c r="W351" i="36" s="1"/>
  <c r="W364" i="36"/>
  <c r="W365" i="36" s="1"/>
  <c r="W369" i="36" l="1"/>
  <c r="W392" i="36" s="1"/>
  <c r="W403" i="36" s="1"/>
  <c r="W380" i="36"/>
  <c r="W381" i="36"/>
  <c r="W372" i="36"/>
  <c r="W395" i="36" s="1"/>
  <c r="W384" i="36"/>
  <c r="W379" i="36"/>
  <c r="W373" i="36"/>
  <c r="W396" i="36" s="1"/>
  <c r="W407" i="36" s="1"/>
  <c r="W383" i="36"/>
  <c r="W370" i="36"/>
  <c r="W393" i="36" s="1"/>
  <c r="W420" i="36" s="1"/>
  <c r="W523" i="36" s="1"/>
  <c r="W530" i="36" s="1"/>
  <c r="W532" i="36" s="1"/>
  <c r="W371" i="36"/>
  <c r="W394" i="36" s="1"/>
  <c r="W405" i="36" s="1"/>
  <c r="W368" i="36"/>
  <c r="W391" i="36" s="1"/>
  <c r="W367" i="36"/>
  <c r="W390" i="36" s="1"/>
  <c r="W385" i="36"/>
  <c r="W382" i="36"/>
  <c r="W419" i="36" l="1"/>
  <c r="W492" i="36" s="1"/>
  <c r="W499" i="36" s="1"/>
  <c r="W501" i="36" s="1"/>
  <c r="W507" i="36" s="1"/>
  <c r="W534" i="36"/>
  <c r="W540" i="36" s="1"/>
  <c r="W533" i="36"/>
  <c r="W539" i="36" s="1"/>
  <c r="W423" i="36"/>
  <c r="W616" i="36" s="1"/>
  <c r="W623" i="36" s="1"/>
  <c r="W625" i="36" s="1"/>
  <c r="W631" i="36" s="1"/>
  <c r="W404" i="36"/>
  <c r="W397" i="36"/>
  <c r="W417" i="36"/>
  <c r="W429" i="36" s="1"/>
  <c r="W436" i="36" s="1"/>
  <c r="W439" i="36" s="1"/>
  <c r="W446" i="36" s="1"/>
  <c r="W418" i="36"/>
  <c r="W461" i="36" s="1"/>
  <c r="W468" i="36" s="1"/>
  <c r="W402" i="36"/>
  <c r="W422" i="36"/>
  <c r="W585" i="36" s="1"/>
  <c r="W592" i="36" s="1"/>
  <c r="W406" i="36"/>
  <c r="W401" i="36"/>
  <c r="W374" i="36"/>
  <c r="W376" i="36" s="1"/>
  <c r="W421" i="36"/>
  <c r="W554" i="36" s="1"/>
  <c r="W561" i="36" s="1"/>
  <c r="W538" i="36"/>
  <c r="W502" i="36" l="1"/>
  <c r="W508" i="36" s="1"/>
  <c r="W503" i="36"/>
  <c r="W509" i="36" s="1"/>
  <c r="W537" i="36"/>
  <c r="W535" i="36"/>
  <c r="W542" i="36" s="1"/>
  <c r="W543" i="36" s="1"/>
  <c r="W544" i="36" s="1"/>
  <c r="W549" i="36" s="1"/>
  <c r="W680" i="36" s="1"/>
  <c r="W729" i="36" s="1"/>
  <c r="W438" i="36"/>
  <c r="W445" i="36" s="1"/>
  <c r="W627" i="36"/>
  <c r="W633" i="36" s="1"/>
  <c r="W626" i="36"/>
  <c r="W632" i="36" s="1"/>
  <c r="W440" i="36"/>
  <c r="W447" i="36" s="1"/>
  <c r="W594" i="36"/>
  <c r="W596" i="36"/>
  <c r="W602" i="36" s="1"/>
  <c r="W595" i="36"/>
  <c r="W601" i="36" s="1"/>
  <c r="W470" i="36"/>
  <c r="W471" i="36"/>
  <c r="W477" i="36" s="1"/>
  <c r="W472" i="36"/>
  <c r="W478" i="36" s="1"/>
  <c r="W563" i="36"/>
  <c r="W565" i="36"/>
  <c r="W571" i="36" s="1"/>
  <c r="W564" i="36"/>
  <c r="W570" i="36" s="1"/>
  <c r="W504" i="36" l="1"/>
  <c r="W511" i="36" s="1"/>
  <c r="W512" i="36" s="1"/>
  <c r="W513" i="36" s="1"/>
  <c r="W518" i="36" s="1"/>
  <c r="W679" i="36" s="1"/>
  <c r="W728" i="36" s="1"/>
  <c r="W506" i="36"/>
  <c r="W630" i="36"/>
  <c r="W441" i="36"/>
  <c r="W449" i="36" s="1"/>
  <c r="W450" i="36" s="1"/>
  <c r="W628" i="36"/>
  <c r="W635" i="36" s="1"/>
  <c r="W636" i="36" s="1"/>
  <c r="W641" i="36" s="1"/>
  <c r="W672" i="36" s="1"/>
  <c r="W720" i="36" s="1"/>
  <c r="W566" i="36"/>
  <c r="W573" i="36" s="1"/>
  <c r="W569" i="36"/>
  <c r="W568" i="36" s="1"/>
  <c r="W476" i="36"/>
  <c r="W475" i="36" s="1"/>
  <c r="W473" i="36"/>
  <c r="W480" i="36" s="1"/>
  <c r="W600" i="36"/>
  <c r="W599" i="36" s="1"/>
  <c r="W597" i="36"/>
  <c r="W604" i="36" s="1"/>
  <c r="W444" i="36"/>
  <c r="W548" i="36"/>
  <c r="W669" i="36" s="1"/>
  <c r="W717" i="36" s="1"/>
  <c r="W545" i="36"/>
  <c r="W550" i="36" s="1"/>
  <c r="W691" i="36" s="1"/>
  <c r="W517" i="36" l="1"/>
  <c r="W668" i="36" s="1"/>
  <c r="W716" i="36" s="1"/>
  <c r="W637" i="36"/>
  <c r="W642" i="36" s="1"/>
  <c r="W683" i="36" s="1"/>
  <c r="W732" i="36" s="1"/>
  <c r="W605" i="36"/>
  <c r="W606" i="36" s="1"/>
  <c r="W611" i="36" s="1"/>
  <c r="W682" i="36" s="1"/>
  <c r="W731" i="36" s="1"/>
  <c r="W481" i="36"/>
  <c r="W486" i="36" s="1"/>
  <c r="W667" i="36" s="1"/>
  <c r="W715" i="36" s="1"/>
  <c r="W574" i="36"/>
  <c r="W514" i="36"/>
  <c r="W519" i="36" s="1"/>
  <c r="W690" i="36" s="1"/>
  <c r="W741" i="36"/>
  <c r="W703" i="36"/>
  <c r="W455" i="36"/>
  <c r="W666" i="36" s="1"/>
  <c r="W451" i="36"/>
  <c r="W456" i="36" s="1"/>
  <c r="W677" i="36" s="1"/>
  <c r="W610" i="36" l="1"/>
  <c r="W671" i="36" s="1"/>
  <c r="W719" i="36" s="1"/>
  <c r="W607" i="36"/>
  <c r="W612" i="36" s="1"/>
  <c r="W693" i="36" s="1"/>
  <c r="W743" i="36" s="1"/>
  <c r="W638" i="36"/>
  <c r="W643" i="36" s="1"/>
  <c r="W694" i="36" s="1"/>
  <c r="W744" i="36" s="1"/>
  <c r="W482" i="36"/>
  <c r="W487" i="36" s="1"/>
  <c r="W678" i="36" s="1"/>
  <c r="W727" i="36" s="1"/>
  <c r="W579" i="36"/>
  <c r="W670" i="36" s="1"/>
  <c r="W718" i="36" s="1"/>
  <c r="W575" i="36"/>
  <c r="W452" i="36"/>
  <c r="W457" i="36" s="1"/>
  <c r="W688" i="36" s="1"/>
  <c r="W738" i="36" s="1"/>
  <c r="X7" i="40"/>
  <c r="Z39" i="4"/>
  <c r="AA35" i="4" s="1"/>
  <c r="W755" i="36"/>
  <c r="W726" i="36"/>
  <c r="AB2" i="4"/>
  <c r="W702" i="36"/>
  <c r="W740" i="36"/>
  <c r="W705" i="36" l="1"/>
  <c r="W757" i="36" s="1"/>
  <c r="W706" i="36"/>
  <c r="W758" i="36" s="1"/>
  <c r="W700" i="36"/>
  <c r="X4" i="40" s="1"/>
  <c r="W663" i="36"/>
  <c r="W483" i="36"/>
  <c r="W488" i="36" s="1"/>
  <c r="W689" i="36" s="1"/>
  <c r="W576" i="36"/>
  <c r="W581" i="36" s="1"/>
  <c r="W692" i="36" s="1"/>
  <c r="W580" i="36"/>
  <c r="W681" i="36" s="1"/>
  <c r="W730" i="36" s="1"/>
  <c r="AA31" i="5"/>
  <c r="AA38" i="4"/>
  <c r="AA33" i="5" s="1"/>
  <c r="AA37" i="4"/>
  <c r="AA40" i="4"/>
  <c r="AA42" i="4"/>
  <c r="W754" i="36"/>
  <c r="Z28" i="4"/>
  <c r="AA24" i="4" s="1"/>
  <c r="X6" i="40"/>
  <c r="X9" i="40" l="1"/>
  <c r="Z61" i="4"/>
  <c r="AA58" i="4" s="1"/>
  <c r="AA50" i="5" s="1"/>
  <c r="AA51" i="5" s="1"/>
  <c r="X15" i="36" s="1"/>
  <c r="X588" i="36" s="1"/>
  <c r="Z72" i="4"/>
  <c r="AA69" i="4" s="1"/>
  <c r="AA75" i="4" s="1"/>
  <c r="X10" i="40"/>
  <c r="Z9" i="4"/>
  <c r="AA7" i="4" s="1"/>
  <c r="AA10" i="4" s="1"/>
  <c r="AA7" i="5" s="1"/>
  <c r="AA8" i="5" s="1"/>
  <c r="W752" i="36"/>
  <c r="W701" i="36"/>
  <c r="W739" i="36"/>
  <c r="W704" i="36"/>
  <c r="W742" i="36"/>
  <c r="AA35" i="5"/>
  <c r="AA41" i="4"/>
  <c r="AA36" i="5" s="1"/>
  <c r="AA31" i="4"/>
  <c r="AA29" i="4"/>
  <c r="AA27" i="4"/>
  <c r="AA24" i="5" s="1"/>
  <c r="AA26" i="4"/>
  <c r="AA22" i="5"/>
  <c r="X27" i="36"/>
  <c r="X525" i="36" s="1"/>
  <c r="AA34" i="5"/>
  <c r="X41" i="36"/>
  <c r="AA32" i="5"/>
  <c r="X13" i="36" s="1"/>
  <c r="X526" i="36" s="1"/>
  <c r="X43" i="36" l="1"/>
  <c r="X74" i="36" s="1"/>
  <c r="AA64" i="4"/>
  <c r="AA62" i="4"/>
  <c r="AA63" i="4" s="1"/>
  <c r="AA55" i="5" s="1"/>
  <c r="AA59" i="4"/>
  <c r="AA60" i="4"/>
  <c r="AA52" i="5" s="1"/>
  <c r="AA70" i="4"/>
  <c r="AA60" i="5"/>
  <c r="X44" i="36" s="1"/>
  <c r="AA71" i="4"/>
  <c r="AA62" i="5" s="1"/>
  <c r="AA63" i="5" s="1"/>
  <c r="AA73" i="4"/>
  <c r="AA74" i="4" s="1"/>
  <c r="AA65" i="5" s="1"/>
  <c r="AA5" i="5"/>
  <c r="X38" i="36" s="1"/>
  <c r="AA8" i="4"/>
  <c r="W753" i="36"/>
  <c r="X5" i="40"/>
  <c r="Z17" i="4"/>
  <c r="AA14" i="4" s="1"/>
  <c r="W756" i="36"/>
  <c r="X8" i="40"/>
  <c r="Z49" i="4"/>
  <c r="AA46" i="4" s="1"/>
  <c r="X72" i="36"/>
  <c r="X52" i="36"/>
  <c r="X89" i="36" s="1"/>
  <c r="Y18" i="40"/>
  <c r="AA23" i="5"/>
  <c r="X12" i="36" s="1"/>
  <c r="X495" i="36" s="1"/>
  <c r="X40" i="36"/>
  <c r="X26" i="36"/>
  <c r="X494" i="36" s="1"/>
  <c r="AA25" i="5"/>
  <c r="AA30" i="4"/>
  <c r="AA27" i="5" s="1"/>
  <c r="AA26" i="5"/>
  <c r="Y20" i="40" l="1"/>
  <c r="AA6" i="5"/>
  <c r="X10" i="36" s="1"/>
  <c r="X432" i="36" s="1"/>
  <c r="X54" i="36"/>
  <c r="X91" i="36" s="1"/>
  <c r="AB47" i="41" s="1"/>
  <c r="AA61" i="5"/>
  <c r="X16" i="36" s="1"/>
  <c r="X619" i="36" s="1"/>
  <c r="AA64" i="5"/>
  <c r="X30" i="36"/>
  <c r="X618" i="36" s="1"/>
  <c r="AA54" i="5"/>
  <c r="AA9" i="5"/>
  <c r="AA53" i="5"/>
  <c r="X29" i="36"/>
  <c r="X587" i="36" s="1"/>
  <c r="AA18" i="4"/>
  <c r="AA16" i="4"/>
  <c r="AA15" i="5" s="1"/>
  <c r="AA20" i="4"/>
  <c r="AA15" i="4"/>
  <c r="AA13" i="5"/>
  <c r="AA47" i="4"/>
  <c r="AA52" i="4"/>
  <c r="AA48" i="4"/>
  <c r="AA42" i="5" s="1"/>
  <c r="AA50" i="4"/>
  <c r="AA40" i="5"/>
  <c r="X75" i="36"/>
  <c r="X55" i="36"/>
  <c r="X92" i="36" s="1"/>
  <c r="Y21" i="40"/>
  <c r="Y32" i="40"/>
  <c r="X159" i="36"/>
  <c r="X169" i="36" s="1"/>
  <c r="Y15" i="40"/>
  <c r="X49" i="36"/>
  <c r="X81" i="36" s="1"/>
  <c r="X83" i="36" s="1"/>
  <c r="X99" i="36" s="1"/>
  <c r="X69" i="36"/>
  <c r="X51" i="36"/>
  <c r="X88" i="36" s="1"/>
  <c r="X71" i="36"/>
  <c r="Y17" i="40"/>
  <c r="X102" i="36"/>
  <c r="AB45" i="41"/>
  <c r="Y30" i="40"/>
  <c r="X157" i="36"/>
  <c r="X167" i="36" s="1"/>
  <c r="X104" i="36" l="1"/>
  <c r="X589" i="36" s="1"/>
  <c r="X586" i="36" s="1"/>
  <c r="AA16" i="5"/>
  <c r="X25" i="36"/>
  <c r="X463" i="36" s="1"/>
  <c r="X39" i="36"/>
  <c r="AA14" i="5"/>
  <c r="X11" i="36" s="1"/>
  <c r="X464" i="36" s="1"/>
  <c r="AA17" i="5"/>
  <c r="AA19" i="4"/>
  <c r="AA18" i="5" s="1"/>
  <c r="AA51" i="4"/>
  <c r="AA45" i="5" s="1"/>
  <c r="AA44" i="5"/>
  <c r="AA43" i="5"/>
  <c r="X28" i="36"/>
  <c r="X556" i="36" s="1"/>
  <c r="AA41" i="5"/>
  <c r="X14" i="36" s="1"/>
  <c r="X557" i="36" s="1"/>
  <c r="X42" i="36"/>
  <c r="X105" i="36"/>
  <c r="AB48" i="41"/>
  <c r="Y33" i="40"/>
  <c r="X160" i="36"/>
  <c r="X170" i="36" s="1"/>
  <c r="X111" i="36"/>
  <c r="X433" i="36"/>
  <c r="X430" i="36" s="1"/>
  <c r="X156" i="36"/>
  <c r="X166" i="36" s="1"/>
  <c r="Y29" i="40"/>
  <c r="AB44" i="41"/>
  <c r="X101" i="36"/>
  <c r="X114" i="36"/>
  <c r="X527" i="36"/>
  <c r="X524" i="36" s="1"/>
  <c r="Y27" i="40"/>
  <c r="X154" i="36"/>
  <c r="X164" i="36" s="1"/>
  <c r="X116" i="36" l="1"/>
  <c r="X50" i="36"/>
  <c r="X87" i="36" s="1"/>
  <c r="Y16" i="40"/>
  <c r="X70" i="36"/>
  <c r="X73" i="36"/>
  <c r="Y19" i="40"/>
  <c r="X53" i="36"/>
  <c r="X90" i="36" s="1"/>
  <c r="X117" i="36"/>
  <c r="X620" i="36"/>
  <c r="X617" i="36" s="1"/>
  <c r="X113" i="36"/>
  <c r="X496" i="36"/>
  <c r="X493" i="36" s="1"/>
  <c r="X155" i="36" l="1"/>
  <c r="X165" i="36" s="1"/>
  <c r="Y28" i="40"/>
  <c r="AB43" i="41"/>
  <c r="X100" i="36"/>
  <c r="AB46" i="41"/>
  <c r="X103" i="36"/>
  <c r="Y31" i="40"/>
  <c r="X158" i="36"/>
  <c r="X168" i="36" s="1"/>
  <c r="X171" i="36" l="1"/>
  <c r="X175" i="36" s="1"/>
  <c r="X112" i="36"/>
  <c r="X465" i="36"/>
  <c r="X462" i="36" s="1"/>
  <c r="AB49" i="41"/>
  <c r="X558" i="36"/>
  <c r="X555" i="36" s="1"/>
  <c r="X115" i="36"/>
  <c r="X180" i="36" l="1"/>
  <c r="X177" i="36"/>
  <c r="X176" i="36"/>
  <c r="X179" i="36"/>
  <c r="X181" i="36"/>
  <c r="X178" i="36"/>
  <c r="AB54" i="41"/>
  <c r="AB66" i="41" s="1"/>
  <c r="AB56" i="41"/>
  <c r="AB68" i="41" s="1"/>
  <c r="AB58" i="41"/>
  <c r="AB70" i="41" s="1"/>
  <c r="AB55" i="41"/>
  <c r="AB67" i="41" s="1"/>
  <c r="AB57" i="41"/>
  <c r="AB69" i="41" s="1"/>
  <c r="AB53" i="41"/>
  <c r="AB65" i="41" s="1"/>
  <c r="X118" i="36"/>
  <c r="X123" i="36" s="1"/>
  <c r="X136" i="36" s="1"/>
  <c r="X149" i="36" s="1"/>
  <c r="X182" i="36" l="1"/>
  <c r="X214" i="36"/>
  <c r="X215" i="36" s="1"/>
  <c r="X233" i="36" s="1"/>
  <c r="AB30" i="41"/>
  <c r="AB10" i="41" s="1"/>
  <c r="AB76" i="41"/>
  <c r="AB33" i="41"/>
  <c r="AB13" i="41" s="1"/>
  <c r="AB79" i="41"/>
  <c r="AB28" i="41"/>
  <c r="AB8" i="41" s="1"/>
  <c r="AB74" i="41"/>
  <c r="AB31" i="41"/>
  <c r="AB11" i="41" s="1"/>
  <c r="AB77" i="41"/>
  <c r="AB32" i="41"/>
  <c r="AB12" i="41" s="1"/>
  <c r="AB78" i="41"/>
  <c r="AB29" i="41"/>
  <c r="AB9" i="41" s="1"/>
  <c r="AB75" i="41"/>
  <c r="X133" i="36"/>
  <c r="X146" i="36" s="1"/>
  <c r="X132" i="36"/>
  <c r="X138" i="36"/>
  <c r="X151" i="36" s="1"/>
  <c r="X134" i="36"/>
  <c r="X147" i="36" s="1"/>
  <c r="X137" i="36"/>
  <c r="X150" i="36" s="1"/>
  <c r="X135" i="36"/>
  <c r="X148" i="36" s="1"/>
  <c r="X234" i="36" l="1"/>
  <c r="X217" i="36"/>
  <c r="X218" i="36"/>
  <c r="X229" i="36"/>
  <c r="X219" i="36"/>
  <c r="X221" i="36"/>
  <c r="X231" i="36"/>
  <c r="X232" i="36"/>
  <c r="X220" i="36"/>
  <c r="X235" i="36"/>
  <c r="X223" i="36"/>
  <c r="X230" i="36"/>
  <c r="AB85" i="41"/>
  <c r="AB108" i="41"/>
  <c r="AB87" i="41"/>
  <c r="AB110" i="41"/>
  <c r="AB83" i="41"/>
  <c r="AB106" i="41"/>
  <c r="AB109" i="41"/>
  <c r="AB86" i="41"/>
  <c r="AB105" i="41"/>
  <c r="AB82" i="41"/>
  <c r="AB107" i="41"/>
  <c r="AB84" i="41"/>
  <c r="X145" i="36"/>
  <c r="X152" i="36" s="1"/>
  <c r="X139" i="36"/>
  <c r="X141" i="36" s="1"/>
  <c r="X239" i="36" l="1"/>
  <c r="X240" i="36" s="1"/>
  <c r="X259" i="36" s="1"/>
  <c r="AB88" i="41"/>
  <c r="X196" i="36"/>
  <c r="X206" i="36" s="1"/>
  <c r="X191" i="36"/>
  <c r="X201" i="36" s="1"/>
  <c r="X193" i="36"/>
  <c r="X203" i="36" s="1"/>
  <c r="X192" i="36"/>
  <c r="X202" i="36" s="1"/>
  <c r="X195" i="36"/>
  <c r="X205" i="36" s="1"/>
  <c r="X190" i="36"/>
  <c r="X194" i="36"/>
  <c r="X204" i="36" s="1"/>
  <c r="X260" i="36" l="1"/>
  <c r="X255" i="36"/>
  <c r="X243" i="36"/>
  <c r="X244" i="36"/>
  <c r="X254" i="36"/>
  <c r="X242" i="36"/>
  <c r="X257" i="36"/>
  <c r="X256" i="36"/>
  <c r="X246" i="36"/>
  <c r="X245" i="36"/>
  <c r="X247" i="36"/>
  <c r="X258" i="36"/>
  <c r="X200" i="36"/>
  <c r="X207" i="36" s="1"/>
  <c r="X197" i="36"/>
  <c r="X209" i="36" s="1"/>
  <c r="X222" i="36" s="1"/>
  <c r="X224" i="36" s="1"/>
  <c r="X226" i="36" s="1"/>
  <c r="X248" i="36" s="1"/>
  <c r="X264" i="36" l="1"/>
  <c r="X265" i="36" s="1"/>
  <c r="X285" i="36" s="1"/>
  <c r="X249" i="36"/>
  <c r="X251" i="36" s="1"/>
  <c r="X268" i="36" l="1"/>
  <c r="X281" i="36"/>
  <c r="X271" i="36"/>
  <c r="X269" i="36"/>
  <c r="X282" i="36"/>
  <c r="X267" i="36"/>
  <c r="X284" i="36"/>
  <c r="X283" i="36"/>
  <c r="X279" i="36"/>
  <c r="X270" i="36"/>
  <c r="X280" i="36"/>
  <c r="X272" i="36"/>
  <c r="X273" i="36"/>
  <c r="X289" i="36" l="1"/>
  <c r="X290" i="36" s="1"/>
  <c r="X306" i="36" s="1"/>
  <c r="X274" i="36"/>
  <c r="X276" i="36" s="1"/>
  <c r="X294" i="36" l="1"/>
  <c r="X298" i="36"/>
  <c r="X308" i="36"/>
  <c r="X296" i="36"/>
  <c r="X310" i="36"/>
  <c r="X307" i="36"/>
  <c r="X293" i="36"/>
  <c r="X309" i="36"/>
  <c r="X292" i="36"/>
  <c r="X304" i="36"/>
  <c r="X297" i="36"/>
  <c r="X305" i="36"/>
  <c r="X295" i="36"/>
  <c r="X314" i="36" l="1"/>
  <c r="X315" i="36" s="1"/>
  <c r="X319" i="36" s="1"/>
  <c r="X299" i="36"/>
  <c r="X301" i="36" s="1"/>
  <c r="X318" i="36" l="1"/>
  <c r="X323" i="36"/>
  <c r="X320" i="36"/>
  <c r="X332" i="36"/>
  <c r="X331" i="36"/>
  <c r="X334" i="36"/>
  <c r="X330" i="36"/>
  <c r="X321" i="36"/>
  <c r="X329" i="36"/>
  <c r="X335" i="36"/>
  <c r="X333" i="36"/>
  <c r="X322" i="36"/>
  <c r="X317" i="36"/>
  <c r="X324" i="36" l="1"/>
  <c r="X326" i="36" s="1"/>
  <c r="X339" i="36"/>
  <c r="X340" i="36" s="1"/>
  <c r="X348" i="36" s="1"/>
  <c r="X347" i="36" l="1"/>
  <c r="X354" i="36"/>
  <c r="X343" i="36"/>
  <c r="X355" i="36"/>
  <c r="X345" i="36"/>
  <c r="X342" i="36"/>
  <c r="X359" i="36"/>
  <c r="X358" i="36"/>
  <c r="X344" i="36"/>
  <c r="X356" i="36"/>
  <c r="X360" i="36"/>
  <c r="X346" i="36"/>
  <c r="X357" i="36"/>
  <c r="X349" i="36" l="1"/>
  <c r="X351" i="36" s="1"/>
  <c r="X364" i="36"/>
  <c r="X365" i="36" s="1"/>
  <c r="X382" i="36" s="1"/>
  <c r="X371" i="36" l="1"/>
  <c r="X394" i="36" s="1"/>
  <c r="X405" i="36" s="1"/>
  <c r="X384" i="36"/>
  <c r="X369" i="36"/>
  <c r="X392" i="36" s="1"/>
  <c r="X368" i="36"/>
  <c r="X391" i="36" s="1"/>
  <c r="X418" i="36" s="1"/>
  <c r="X461" i="36" s="1"/>
  <c r="X468" i="36" s="1"/>
  <c r="X471" i="36" s="1"/>
  <c r="X477" i="36" s="1"/>
  <c r="X383" i="36"/>
  <c r="X379" i="36"/>
  <c r="X367" i="36"/>
  <c r="X390" i="36" s="1"/>
  <c r="X381" i="36"/>
  <c r="X380" i="36"/>
  <c r="X372" i="36"/>
  <c r="X395" i="36" s="1"/>
  <c r="X422" i="36" s="1"/>
  <c r="X585" i="36" s="1"/>
  <c r="X592" i="36" s="1"/>
  <c r="X595" i="36" s="1"/>
  <c r="X601" i="36" s="1"/>
  <c r="X385" i="36"/>
  <c r="X370" i="36"/>
  <c r="X393" i="36" s="1"/>
  <c r="X404" i="36" s="1"/>
  <c r="X373" i="36"/>
  <c r="X396" i="36" s="1"/>
  <c r="X407" i="36" s="1"/>
  <c r="X421" i="36" l="1"/>
  <c r="X554" i="36" s="1"/>
  <c r="X561" i="36" s="1"/>
  <c r="X564" i="36" s="1"/>
  <c r="X570" i="36" s="1"/>
  <c r="X406" i="36"/>
  <c r="X596" i="36"/>
  <c r="X602" i="36" s="1"/>
  <c r="X420" i="36"/>
  <c r="X523" i="36" s="1"/>
  <c r="X530" i="36" s="1"/>
  <c r="X532" i="36" s="1"/>
  <c r="X470" i="36"/>
  <c r="X476" i="36" s="1"/>
  <c r="X472" i="36"/>
  <c r="X478" i="36" s="1"/>
  <c r="X423" i="36"/>
  <c r="X616" i="36" s="1"/>
  <c r="X623" i="36" s="1"/>
  <c r="X625" i="36" s="1"/>
  <c r="X631" i="36" s="1"/>
  <c r="X374" i="36"/>
  <c r="X376" i="36" s="1"/>
  <c r="X402" i="36"/>
  <c r="X417" i="36"/>
  <c r="X429" i="36" s="1"/>
  <c r="X436" i="36" s="1"/>
  <c r="X401" i="36"/>
  <c r="X403" i="36"/>
  <c r="X419" i="36"/>
  <c r="X492" i="36" s="1"/>
  <c r="X499" i="36" s="1"/>
  <c r="X594" i="36"/>
  <c r="X600" i="36" s="1"/>
  <c r="X397" i="36"/>
  <c r="X565" i="36" l="1"/>
  <c r="X571" i="36" s="1"/>
  <c r="X563" i="36"/>
  <c r="X599" i="36"/>
  <c r="X533" i="36"/>
  <c r="X539" i="36" s="1"/>
  <c r="X534" i="36"/>
  <c r="X540" i="36" s="1"/>
  <c r="X475" i="36"/>
  <c r="X473" i="36"/>
  <c r="X480" i="36" s="1"/>
  <c r="X481" i="36" s="1"/>
  <c r="X486" i="36" s="1"/>
  <c r="X667" i="36" s="1"/>
  <c r="X715" i="36" s="1"/>
  <c r="X626" i="36"/>
  <c r="X597" i="36"/>
  <c r="X604" i="36" s="1"/>
  <c r="X605" i="36" s="1"/>
  <c r="X606" i="36" s="1"/>
  <c r="X611" i="36" s="1"/>
  <c r="X682" i="36" s="1"/>
  <c r="X731" i="36" s="1"/>
  <c r="X627" i="36"/>
  <c r="X633" i="36" s="1"/>
  <c r="X502" i="36"/>
  <c r="X508" i="36" s="1"/>
  <c r="X501" i="36"/>
  <c r="X503" i="36"/>
  <c r="X509" i="36" s="1"/>
  <c r="X440" i="36"/>
  <c r="X447" i="36" s="1"/>
  <c r="X438" i="36"/>
  <c r="X439" i="36"/>
  <c r="X446" i="36" s="1"/>
  <c r="X538" i="36"/>
  <c r="X566" i="36" l="1"/>
  <c r="X573" i="36" s="1"/>
  <c r="X569" i="36"/>
  <c r="X568" i="36" s="1"/>
  <c r="X535" i="36"/>
  <c r="X542" i="36" s="1"/>
  <c r="X543" i="36" s="1"/>
  <c r="X537" i="36"/>
  <c r="X628" i="36"/>
  <c r="X635" i="36" s="1"/>
  <c r="X636" i="36" s="1"/>
  <c r="X641" i="36" s="1"/>
  <c r="X672" i="36" s="1"/>
  <c r="X720" i="36" s="1"/>
  <c r="X482" i="36"/>
  <c r="X487" i="36" s="1"/>
  <c r="X678" i="36" s="1"/>
  <c r="X727" i="36" s="1"/>
  <c r="X632" i="36"/>
  <c r="X630" i="36" s="1"/>
  <c r="X507" i="36"/>
  <c r="X506" i="36" s="1"/>
  <c r="X504" i="36"/>
  <c r="X511" i="36" s="1"/>
  <c r="X445" i="36"/>
  <c r="X444" i="36" s="1"/>
  <c r="X441" i="36"/>
  <c r="X449" i="36" s="1"/>
  <c r="X610" i="36"/>
  <c r="X671" i="36" s="1"/>
  <c r="X719" i="36" s="1"/>
  <c r="X607" i="36"/>
  <c r="X612" i="36" s="1"/>
  <c r="X693" i="36" s="1"/>
  <c r="X574" i="36" l="1"/>
  <c r="X579" i="36" s="1"/>
  <c r="X670" i="36" s="1"/>
  <c r="X718" i="36" s="1"/>
  <c r="X483" i="36"/>
  <c r="X488" i="36" s="1"/>
  <c r="X689" i="36" s="1"/>
  <c r="X739" i="36" s="1"/>
  <c r="X637" i="36"/>
  <c r="X642" i="36" s="1"/>
  <c r="X683" i="36" s="1"/>
  <c r="X732" i="36" s="1"/>
  <c r="X512" i="36"/>
  <c r="X450" i="36"/>
  <c r="X743" i="36"/>
  <c r="X705" i="36"/>
  <c r="X544" i="36"/>
  <c r="X548" i="36"/>
  <c r="X669" i="36" s="1"/>
  <c r="X575" i="36" l="1"/>
  <c r="X580" i="36" s="1"/>
  <c r="X681" i="36" s="1"/>
  <c r="X730" i="36" s="1"/>
  <c r="X701" i="36"/>
  <c r="Y5" i="40" s="1"/>
  <c r="X638" i="36"/>
  <c r="X643" i="36" s="1"/>
  <c r="X694" i="36" s="1"/>
  <c r="X451" i="36"/>
  <c r="X456" i="36" s="1"/>
  <c r="X677" i="36" s="1"/>
  <c r="X726" i="36" s="1"/>
  <c r="X455" i="36"/>
  <c r="X666" i="36" s="1"/>
  <c r="X513" i="36"/>
  <c r="X517" i="36"/>
  <c r="X668" i="36" s="1"/>
  <c r="X716" i="36" s="1"/>
  <c r="Y9" i="40"/>
  <c r="X757" i="36"/>
  <c r="AA61" i="4"/>
  <c r="AB58" i="4" s="1"/>
  <c r="X717" i="36"/>
  <c r="X549" i="36"/>
  <c r="X680" i="36" s="1"/>
  <c r="X729" i="36" s="1"/>
  <c r="X545" i="36"/>
  <c r="X550" i="36" s="1"/>
  <c r="X691" i="36" s="1"/>
  <c r="X576" i="36" l="1"/>
  <c r="X581" i="36" s="1"/>
  <c r="X692" i="36" s="1"/>
  <c r="X704" i="36" s="1"/>
  <c r="X756" i="36" s="1"/>
  <c r="AA17" i="4"/>
  <c r="AB14" i="4" s="1"/>
  <c r="AB18" i="4" s="1"/>
  <c r="AB17" i="5" s="1"/>
  <c r="X753" i="36"/>
  <c r="X744" i="36"/>
  <c r="X706" i="36"/>
  <c r="X663" i="36"/>
  <c r="X518" i="36"/>
  <c r="X679" i="36" s="1"/>
  <c r="X728" i="36" s="1"/>
  <c r="X514" i="36"/>
  <c r="X519" i="36" s="1"/>
  <c r="X690" i="36" s="1"/>
  <c r="X452" i="36"/>
  <c r="X457" i="36" s="1"/>
  <c r="X688" i="36" s="1"/>
  <c r="AB50" i="5"/>
  <c r="AB62" i="4"/>
  <c r="AB64" i="4"/>
  <c r="AB60" i="4"/>
  <c r="AB52" i="5" s="1"/>
  <c r="AB59" i="4"/>
  <c r="X741" i="36"/>
  <c r="X703" i="36"/>
  <c r="Y8" i="40" l="1"/>
  <c r="AA49" i="4"/>
  <c r="AB46" i="4" s="1"/>
  <c r="AB52" i="4" s="1"/>
  <c r="X742" i="36"/>
  <c r="AB20" i="4"/>
  <c r="AB16" i="4"/>
  <c r="AB15" i="5" s="1"/>
  <c r="AB16" i="5" s="1"/>
  <c r="AB13" i="5"/>
  <c r="Y39" i="36" s="1"/>
  <c r="Y50" i="36" s="1"/>
  <c r="Y87" i="36" s="1"/>
  <c r="Y100" i="36" s="1"/>
  <c r="AB15" i="4"/>
  <c r="AB19" i="4"/>
  <c r="AB18" i="5" s="1"/>
  <c r="Y10" i="40"/>
  <c r="AA72" i="4"/>
  <c r="AB69" i="4" s="1"/>
  <c r="X758" i="36"/>
  <c r="X700" i="36"/>
  <c r="X738" i="36"/>
  <c r="X740" i="36"/>
  <c r="X702" i="36"/>
  <c r="AB63" i="4"/>
  <c r="AB55" i="5" s="1"/>
  <c r="AB54" i="5"/>
  <c r="Y29" i="36"/>
  <c r="Y587" i="36" s="1"/>
  <c r="AB53" i="5"/>
  <c r="Y43" i="36"/>
  <c r="AB51" i="5"/>
  <c r="Y15" i="36" s="1"/>
  <c r="Y588" i="36" s="1"/>
  <c r="AA39" i="4"/>
  <c r="AB35" i="4" s="1"/>
  <c r="Y7" i="40"/>
  <c r="X755" i="36"/>
  <c r="AB40" i="5" l="1"/>
  <c r="AB50" i="4"/>
  <c r="AB47" i="4"/>
  <c r="AB48" i="4"/>
  <c r="AB42" i="5" s="1"/>
  <c r="Y28" i="36" s="1"/>
  <c r="Y556" i="36" s="1"/>
  <c r="AB14" i="5"/>
  <c r="Y11" i="36" s="1"/>
  <c r="Y464" i="36" s="1"/>
  <c r="Y25" i="36"/>
  <c r="Y463" i="36" s="1"/>
  <c r="Z16" i="40"/>
  <c r="Y70" i="36"/>
  <c r="AC43" i="41"/>
  <c r="AB71" i="4"/>
  <c r="AB62" i="5" s="1"/>
  <c r="AB73" i="4"/>
  <c r="AB60" i="5"/>
  <c r="AB70" i="4"/>
  <c r="AB75" i="4"/>
  <c r="Y6" i="40"/>
  <c r="X754" i="36"/>
  <c r="AA28" i="4"/>
  <c r="AB24" i="4" s="1"/>
  <c r="X752" i="36"/>
  <c r="AA9" i="4"/>
  <c r="AB7" i="4" s="1"/>
  <c r="Y4" i="40"/>
  <c r="Y74" i="36"/>
  <c r="Z20" i="40"/>
  <c r="Y54" i="36"/>
  <c r="Y91" i="36" s="1"/>
  <c r="AB37" i="4"/>
  <c r="AB42" i="4"/>
  <c r="AB31" i="5"/>
  <c r="AB40" i="4"/>
  <c r="AB38" i="4"/>
  <c r="AB33" i="5" s="1"/>
  <c r="Y42" i="36"/>
  <c r="AB41" i="5"/>
  <c r="Y14" i="36" s="1"/>
  <c r="Y557" i="36" s="1"/>
  <c r="AB51" i="4"/>
  <c r="AB45" i="5" s="1"/>
  <c r="AB44" i="5"/>
  <c r="Y465" i="36"/>
  <c r="AB43" i="5" l="1"/>
  <c r="Y462" i="36"/>
  <c r="Y112" i="36"/>
  <c r="Z28" i="40"/>
  <c r="Y155" i="36"/>
  <c r="Y165" i="36" s="1"/>
  <c r="AB61" i="5"/>
  <c r="Y16" i="36" s="1"/>
  <c r="Y619" i="36" s="1"/>
  <c r="Y44" i="36"/>
  <c r="AB74" i="4"/>
  <c r="AB65" i="5" s="1"/>
  <c r="AB64" i="5"/>
  <c r="AB63" i="5"/>
  <c r="Y30" i="36"/>
  <c r="Y618" i="36" s="1"/>
  <c r="AB26" i="4"/>
  <c r="AB27" i="4"/>
  <c r="AB24" i="5" s="1"/>
  <c r="AB31" i="4"/>
  <c r="AB22" i="5"/>
  <c r="AB29" i="4"/>
  <c r="AB10" i="4"/>
  <c r="AB7" i="5" s="1"/>
  <c r="AB8" i="5" s="1"/>
  <c r="AB8" i="4"/>
  <c r="AB5" i="5"/>
  <c r="Y104" i="36"/>
  <c r="AC47" i="41"/>
  <c r="Y159" i="36"/>
  <c r="Y169" i="36" s="1"/>
  <c r="Z32" i="40"/>
  <c r="AB35" i="5"/>
  <c r="AB41" i="4"/>
  <c r="AB36" i="5" s="1"/>
  <c r="Y41" i="36"/>
  <c r="AB32" i="5"/>
  <c r="Y13" i="36" s="1"/>
  <c r="Y526" i="36" s="1"/>
  <c r="Y27" i="36"/>
  <c r="Y525" i="36" s="1"/>
  <c r="AB34" i="5"/>
  <c r="Z19" i="40"/>
  <c r="Y73" i="36"/>
  <c r="Y53" i="36"/>
  <c r="Y90" i="36" s="1"/>
  <c r="Y55" i="36" l="1"/>
  <c r="Y92" i="36" s="1"/>
  <c r="Z21" i="40"/>
  <c r="Y75" i="36"/>
  <c r="AB6" i="5"/>
  <c r="Y10" i="36" s="1"/>
  <c r="Y432" i="36" s="1"/>
  <c r="Y38" i="36"/>
  <c r="AB9" i="5"/>
  <c r="AB23" i="5"/>
  <c r="Y12" i="36" s="1"/>
  <c r="Y495" i="36" s="1"/>
  <c r="Y40" i="36"/>
  <c r="AB25" i="5"/>
  <c r="Y26" i="36"/>
  <c r="Y494" i="36" s="1"/>
  <c r="AB30" i="4"/>
  <c r="AB27" i="5" s="1"/>
  <c r="AB26" i="5"/>
  <c r="Y116" i="36"/>
  <c r="Y589" i="36"/>
  <c r="Y586" i="36" s="1"/>
  <c r="Y52" i="36"/>
  <c r="Y89" i="36" s="1"/>
  <c r="Y72" i="36"/>
  <c r="Z18" i="40"/>
  <c r="Y103" i="36"/>
  <c r="AC46" i="41"/>
  <c r="Z31" i="40"/>
  <c r="Y158" i="36"/>
  <c r="Y168" i="36" s="1"/>
  <c r="Z33" i="40" l="1"/>
  <c r="Y160" i="36"/>
  <c r="Y170" i="36" s="1"/>
  <c r="AC48" i="41"/>
  <c r="Y105" i="36"/>
  <c r="Y49" i="36"/>
  <c r="Y81" i="36" s="1"/>
  <c r="Y83" i="36" s="1"/>
  <c r="Y99" i="36" s="1"/>
  <c r="Y69" i="36"/>
  <c r="Z15" i="40"/>
  <c r="Y71" i="36"/>
  <c r="Y51" i="36"/>
  <c r="Y88" i="36" s="1"/>
  <c r="Z17" i="40"/>
  <c r="Z30" i="40"/>
  <c r="Y157" i="36"/>
  <c r="Y167" i="36" s="1"/>
  <c r="AC45" i="41"/>
  <c r="Y102" i="36"/>
  <c r="Y558" i="36"/>
  <c r="Y555" i="36" s="1"/>
  <c r="Y115" i="36"/>
  <c r="Y117" i="36" l="1"/>
  <c r="Y620" i="36"/>
  <c r="Y617" i="36" s="1"/>
  <c r="Y156" i="36"/>
  <c r="Y166" i="36" s="1"/>
  <c r="Z29" i="40"/>
  <c r="Y154" i="36"/>
  <c r="Y164" i="36" s="1"/>
  <c r="Z27" i="40"/>
  <c r="Y101" i="36"/>
  <c r="AC44" i="41"/>
  <c r="AC49" i="41" s="1"/>
  <c r="Y433" i="36"/>
  <c r="Y430" i="36" s="1"/>
  <c r="Y111" i="36"/>
  <c r="Y527" i="36"/>
  <c r="Y524" i="36" s="1"/>
  <c r="Y114" i="36"/>
  <c r="Y171" i="36" l="1"/>
  <c r="Y179" i="36" s="1"/>
  <c r="AC56" i="41"/>
  <c r="AC68" i="41" s="1"/>
  <c r="AC54" i="41"/>
  <c r="AC66" i="41" s="1"/>
  <c r="AC75" i="41" s="1"/>
  <c r="AC55" i="41"/>
  <c r="AC67" i="41" s="1"/>
  <c r="AC76" i="41" s="1"/>
  <c r="AC58" i="41"/>
  <c r="AC70" i="41" s="1"/>
  <c r="AC79" i="41" s="1"/>
  <c r="AC57" i="41"/>
  <c r="AC69" i="41" s="1"/>
  <c r="AC78" i="41" s="1"/>
  <c r="AC53" i="41"/>
  <c r="AC65" i="41" s="1"/>
  <c r="AC74" i="41" s="1"/>
  <c r="Y113" i="36"/>
  <c r="Y118" i="36" s="1"/>
  <c r="Y123" i="36" s="1"/>
  <c r="Y496" i="36"/>
  <c r="Y493" i="36" s="1"/>
  <c r="Y177" i="36" l="1"/>
  <c r="Y178" i="36"/>
  <c r="AC28" i="41"/>
  <c r="AC8" i="41" s="1"/>
  <c r="Y176" i="36"/>
  <c r="Y180" i="36"/>
  <c r="Y175" i="36"/>
  <c r="Y181" i="36"/>
  <c r="AC33" i="41"/>
  <c r="AC13" i="41" s="1"/>
  <c r="AC30" i="41"/>
  <c r="AC10" i="41" s="1"/>
  <c r="AC32" i="41"/>
  <c r="AC12" i="41" s="1"/>
  <c r="AC29" i="41"/>
  <c r="AC9" i="41" s="1"/>
  <c r="Y137" i="36"/>
  <c r="Y150" i="36" s="1"/>
  <c r="Y135" i="36"/>
  <c r="Y148" i="36" s="1"/>
  <c r="Y136" i="36"/>
  <c r="Y149" i="36" s="1"/>
  <c r="Y132" i="36"/>
  <c r="Y145" i="36" s="1"/>
  <c r="Y133" i="36"/>
  <c r="Y146" i="36" s="1"/>
  <c r="Y138" i="36"/>
  <c r="Y151" i="36" s="1"/>
  <c r="Y134" i="36"/>
  <c r="Y147" i="36" s="1"/>
  <c r="AC77" i="41"/>
  <c r="AC31" i="41"/>
  <c r="AC11" i="41" s="1"/>
  <c r="AC105" i="41"/>
  <c r="AC82" i="41"/>
  <c r="AC87" i="41"/>
  <c r="AC110" i="41"/>
  <c r="AC109" i="41"/>
  <c r="AC86" i="41"/>
  <c r="AC83" i="41"/>
  <c r="AC106" i="41"/>
  <c r="AC107" i="41"/>
  <c r="AC84" i="41"/>
  <c r="Y182" i="36" l="1"/>
  <c r="Y214" i="36"/>
  <c r="Y215" i="36" s="1"/>
  <c r="Y218" i="36" s="1"/>
  <c r="Y139" i="36"/>
  <c r="Y141" i="36" s="1"/>
  <c r="Y196" i="36" s="1"/>
  <c r="Y206" i="36" s="1"/>
  <c r="AC108" i="41"/>
  <c r="AC85" i="41"/>
  <c r="AC88" i="41" s="1"/>
  <c r="Y152" i="36"/>
  <c r="Y233" i="36" l="1"/>
  <c r="Y230" i="36"/>
  <c r="Y235" i="36"/>
  <c r="Y232" i="36"/>
  <c r="Y231" i="36"/>
  <c r="Y221" i="36"/>
  <c r="Y217" i="36"/>
  <c r="Y229" i="36"/>
  <c r="Y222" i="36"/>
  <c r="Y219" i="36"/>
  <c r="Y234" i="36"/>
  <c r="Y195" i="36"/>
  <c r="Y205" i="36" s="1"/>
  <c r="Y193" i="36"/>
  <c r="Y203" i="36" s="1"/>
  <c r="Y194" i="36"/>
  <c r="Y204" i="36" s="1"/>
  <c r="Y192" i="36"/>
  <c r="Y202" i="36" s="1"/>
  <c r="Y191" i="36"/>
  <c r="Y201" i="36" s="1"/>
  <c r="Y190" i="36"/>
  <c r="Y239" i="36" l="1"/>
  <c r="Y240" i="36" s="1"/>
  <c r="Y255" i="36" s="1"/>
  <c r="Y197" i="36"/>
  <c r="Y209" i="36" s="1"/>
  <c r="Y223" i="36" s="1"/>
  <c r="Y200" i="36"/>
  <c r="Y207" i="36" s="1"/>
  <c r="Y220" i="36" l="1"/>
  <c r="Y224" i="36" s="1"/>
  <c r="Y226" i="36" s="1"/>
  <c r="Y246" i="36" s="1"/>
  <c r="Y256" i="36"/>
  <c r="Y244" i="36"/>
  <c r="Y248" i="36"/>
  <c r="Y243" i="36"/>
  <c r="Y245" i="36"/>
  <c r="Y254" i="36"/>
  <c r="Y242" i="36"/>
  <c r="Y258" i="36"/>
  <c r="Y259" i="36"/>
  <c r="Y257" i="36"/>
  <c r="Y260" i="36"/>
  <c r="Y247" i="36"/>
  <c r="Y264" i="36" l="1"/>
  <c r="Y265" i="36" s="1"/>
  <c r="Y272" i="36" s="1"/>
  <c r="Y249" i="36"/>
  <c r="Y251" i="36" s="1"/>
  <c r="Y285" i="36" l="1"/>
  <c r="Y273" i="36"/>
  <c r="Y267" i="36"/>
  <c r="Y280" i="36"/>
  <c r="Y283" i="36"/>
  <c r="Y282" i="36"/>
  <c r="Y279" i="36"/>
  <c r="Y268" i="36"/>
  <c r="Y269" i="36"/>
  <c r="Y271" i="36"/>
  <c r="Y270" i="36"/>
  <c r="Y284" i="36"/>
  <c r="Y281" i="36"/>
  <c r="Y289" i="36" l="1"/>
  <c r="Y290" i="36" s="1"/>
  <c r="Y293" i="36" s="1"/>
  <c r="Y274" i="36"/>
  <c r="Y276" i="36" s="1"/>
  <c r="Y306" i="36" l="1"/>
  <c r="Y307" i="36"/>
  <c r="Y305" i="36"/>
  <c r="Y310" i="36"/>
  <c r="Y295" i="36"/>
  <c r="Y292" i="36"/>
  <c r="Y308" i="36"/>
  <c r="Y304" i="36"/>
  <c r="Y309" i="36"/>
  <c r="Y298" i="36"/>
  <c r="Y294" i="36"/>
  <c r="Y297" i="36"/>
  <c r="Y296" i="36"/>
  <c r="Y314" i="36" l="1"/>
  <c r="Y315" i="36" s="1"/>
  <c r="Y332" i="36" s="1"/>
  <c r="Y299" i="36"/>
  <c r="Y301" i="36" s="1"/>
  <c r="Y320" i="36" l="1"/>
  <c r="Y319" i="36"/>
  <c r="Y330" i="36"/>
  <c r="Y322" i="36"/>
  <c r="Y318" i="36"/>
  <c r="Y317" i="36"/>
  <c r="Y331" i="36"/>
  <c r="Y323" i="36"/>
  <c r="Y333" i="36"/>
  <c r="Y334" i="36"/>
  <c r="Y321" i="36"/>
  <c r="Y329" i="36"/>
  <c r="Y335" i="36"/>
  <c r="Y339" i="36" l="1"/>
  <c r="Y340" i="36" s="1"/>
  <c r="Y324" i="36"/>
  <c r="Y326" i="36" s="1"/>
  <c r="Y342" i="36" l="1"/>
  <c r="Y346" i="36"/>
  <c r="Y359" i="36"/>
  <c r="Y357" i="36"/>
  <c r="Y360" i="36"/>
  <c r="Y358" i="36"/>
  <c r="Y345" i="36"/>
  <c r="Y354" i="36"/>
  <c r="Y343" i="36"/>
  <c r="Y347" i="36"/>
  <c r="Y348" i="36"/>
  <c r="Y344" i="36"/>
  <c r="Y355" i="36"/>
  <c r="Y356" i="36"/>
  <c r="Y364" i="36" l="1"/>
  <c r="Y365" i="36" s="1"/>
  <c r="Y379" i="36" s="1"/>
  <c r="Y349" i="36"/>
  <c r="Y351" i="36" s="1"/>
  <c r="Y368" i="36" l="1"/>
  <c r="Y391" i="36" s="1"/>
  <c r="Y402" i="36" s="1"/>
  <c r="Y369" i="36"/>
  <c r="Y392" i="36" s="1"/>
  <c r="Y403" i="36" s="1"/>
  <c r="Y373" i="36"/>
  <c r="Y396" i="36" s="1"/>
  <c r="Y407" i="36" s="1"/>
  <c r="Y381" i="36"/>
  <c r="Y382" i="36"/>
  <c r="Y383" i="36"/>
  <c r="Y371" i="36"/>
  <c r="Y394" i="36" s="1"/>
  <c r="Y421" i="36" s="1"/>
  <c r="Y554" i="36" s="1"/>
  <c r="Y561" i="36" s="1"/>
  <c r="Y565" i="36" s="1"/>
  <c r="Y571" i="36" s="1"/>
  <c r="Y380" i="36"/>
  <c r="Y370" i="36"/>
  <c r="Y393" i="36" s="1"/>
  <c r="Y404" i="36" s="1"/>
  <c r="Y384" i="36"/>
  <c r="Y367" i="36"/>
  <c r="Y390" i="36" s="1"/>
  <c r="Y385" i="36"/>
  <c r="Y372" i="36"/>
  <c r="Y395" i="36" s="1"/>
  <c r="Y422" i="36" s="1"/>
  <c r="Y585" i="36" s="1"/>
  <c r="Y592" i="36" s="1"/>
  <c r="Y595" i="36" s="1"/>
  <c r="Y601" i="36" s="1"/>
  <c r="Y423" i="36" l="1"/>
  <c r="Y616" i="36" s="1"/>
  <c r="Y623" i="36" s="1"/>
  <c r="Y627" i="36" s="1"/>
  <c r="Y633" i="36" s="1"/>
  <c r="Y418" i="36"/>
  <c r="Y461" i="36" s="1"/>
  <c r="Y468" i="36" s="1"/>
  <c r="Y472" i="36" s="1"/>
  <c r="Y478" i="36" s="1"/>
  <c r="Y419" i="36"/>
  <c r="Y492" i="36" s="1"/>
  <c r="Y499" i="36" s="1"/>
  <c r="Y501" i="36" s="1"/>
  <c r="Y507" i="36" s="1"/>
  <c r="Y594" i="36"/>
  <c r="Y600" i="36" s="1"/>
  <c r="Y397" i="36"/>
  <c r="Y564" i="36"/>
  <c r="Y570" i="36" s="1"/>
  <c r="Y563" i="36"/>
  <c r="Y569" i="36" s="1"/>
  <c r="Y417" i="36"/>
  <c r="Y429" i="36" s="1"/>
  <c r="Y436" i="36" s="1"/>
  <c r="Y440" i="36" s="1"/>
  <c r="Y447" i="36" s="1"/>
  <c r="Y405" i="36"/>
  <c r="Y596" i="36"/>
  <c r="Y602" i="36" s="1"/>
  <c r="Y406" i="36"/>
  <c r="Y401" i="36"/>
  <c r="Y374" i="36"/>
  <c r="Y376" i="36" s="1"/>
  <c r="Y420" i="36"/>
  <c r="Y523" i="36" s="1"/>
  <c r="Y530" i="36" s="1"/>
  <c r="Y470" i="36" l="1"/>
  <c r="Y476" i="36" s="1"/>
  <c r="Y625" i="36"/>
  <c r="Y631" i="36" s="1"/>
  <c r="Y471" i="36"/>
  <c r="Y477" i="36" s="1"/>
  <c r="Y503" i="36"/>
  <c r="Y509" i="36" s="1"/>
  <c r="Y626" i="36"/>
  <c r="Y632" i="36" s="1"/>
  <c r="Y502" i="36"/>
  <c r="Y508" i="36" s="1"/>
  <c r="Y597" i="36"/>
  <c r="Y604" i="36" s="1"/>
  <c r="Y605" i="36" s="1"/>
  <c r="Y438" i="36"/>
  <c r="Y445" i="36" s="1"/>
  <c r="Y566" i="36"/>
  <c r="Y573" i="36" s="1"/>
  <c r="Y574" i="36" s="1"/>
  <c r="Y575" i="36" s="1"/>
  <c r="Y580" i="36" s="1"/>
  <c r="Y681" i="36" s="1"/>
  <c r="Y730" i="36" s="1"/>
  <c r="Y568" i="36"/>
  <c r="Y439" i="36"/>
  <c r="Y446" i="36" s="1"/>
  <c r="Y599" i="36"/>
  <c r="Y532" i="36"/>
  <c r="Y533" i="36"/>
  <c r="Y539" i="36" s="1"/>
  <c r="Y534" i="36"/>
  <c r="Y540" i="36" s="1"/>
  <c r="Y475" i="36" l="1"/>
  <c r="Y630" i="36"/>
  <c r="Y628" i="36"/>
  <c r="Y635" i="36" s="1"/>
  <c r="Y636" i="36" s="1"/>
  <c r="Y641" i="36" s="1"/>
  <c r="Y672" i="36" s="1"/>
  <c r="Y720" i="36" s="1"/>
  <c r="Y504" i="36"/>
  <c r="Y511" i="36" s="1"/>
  <c r="Y512" i="36" s="1"/>
  <c r="Y513" i="36" s="1"/>
  <c r="Y518" i="36" s="1"/>
  <c r="Y679" i="36" s="1"/>
  <c r="Y728" i="36" s="1"/>
  <c r="Y473" i="36"/>
  <c r="Y480" i="36" s="1"/>
  <c r="Y481" i="36" s="1"/>
  <c r="Y486" i="36" s="1"/>
  <c r="Y667" i="36" s="1"/>
  <c r="Y715" i="36" s="1"/>
  <c r="Y506" i="36"/>
  <c r="Y441" i="36"/>
  <c r="Y449" i="36" s="1"/>
  <c r="Y450" i="36" s="1"/>
  <c r="Y455" i="36" s="1"/>
  <c r="Y666" i="36" s="1"/>
  <c r="Y535" i="36"/>
  <c r="Y542" i="36" s="1"/>
  <c r="Y538" i="36"/>
  <c r="Y537" i="36" s="1"/>
  <c r="Y444" i="36"/>
  <c r="Y606" i="36"/>
  <c r="Y610" i="36"/>
  <c r="Y671" i="36" s="1"/>
  <c r="Y719" i="36" s="1"/>
  <c r="Y579" i="36"/>
  <c r="Y670" i="36" s="1"/>
  <c r="Y718" i="36" s="1"/>
  <c r="Y576" i="36"/>
  <c r="Y581" i="36" s="1"/>
  <c r="Y692" i="36" s="1"/>
  <c r="Y637" i="36" l="1"/>
  <c r="Y642" i="36" s="1"/>
  <c r="Y683" i="36" s="1"/>
  <c r="Y732" i="36" s="1"/>
  <c r="Y482" i="36"/>
  <c r="Y483" i="36" s="1"/>
  <c r="Y488" i="36" s="1"/>
  <c r="Y689" i="36" s="1"/>
  <c r="Y514" i="36"/>
  <c r="Y519" i="36" s="1"/>
  <c r="Y690" i="36" s="1"/>
  <c r="Y740" i="36" s="1"/>
  <c r="Y517" i="36"/>
  <c r="Y668" i="36" s="1"/>
  <c r="Y716" i="36" s="1"/>
  <c r="Y543" i="36"/>
  <c r="Y544" i="36" s="1"/>
  <c r="Y549" i="36" s="1"/>
  <c r="Y680" i="36" s="1"/>
  <c r="Y729" i="36" s="1"/>
  <c r="Y611" i="36"/>
  <c r="Y682" i="36" s="1"/>
  <c r="Y731" i="36" s="1"/>
  <c r="Y607" i="36"/>
  <c r="Y612" i="36" s="1"/>
  <c r="Y693" i="36" s="1"/>
  <c r="Y742" i="36"/>
  <c r="Y704" i="36"/>
  <c r="Y451" i="36"/>
  <c r="Y456" i="36" s="1"/>
  <c r="Y677" i="36" s="1"/>
  <c r="Y726" i="36" s="1"/>
  <c r="Y638" i="36" l="1"/>
  <c r="Y643" i="36" s="1"/>
  <c r="Y694" i="36" s="1"/>
  <c r="Y706" i="36" s="1"/>
  <c r="Y487" i="36"/>
  <c r="Y678" i="36" s="1"/>
  <c r="Y727" i="36" s="1"/>
  <c r="Y702" i="36"/>
  <c r="Z6" i="40" s="1"/>
  <c r="Y548" i="36"/>
  <c r="Y669" i="36" s="1"/>
  <c r="Y545" i="36"/>
  <c r="Y550" i="36" s="1"/>
  <c r="Y691" i="36" s="1"/>
  <c r="Y452" i="36"/>
  <c r="Y457" i="36" s="1"/>
  <c r="Y688" i="36" s="1"/>
  <c r="Y738" i="36" s="1"/>
  <c r="AB49" i="4"/>
  <c r="AC46" i="4" s="1"/>
  <c r="Z8" i="40"/>
  <c r="Y756" i="36"/>
  <c r="Y705" i="36"/>
  <c r="Y743" i="36"/>
  <c r="Y701" i="36"/>
  <c r="Y739" i="36"/>
  <c r="Y744" i="36" l="1"/>
  <c r="Y754" i="36"/>
  <c r="AB28" i="4"/>
  <c r="AC24" i="4" s="1"/>
  <c r="AC29" i="4" s="1"/>
  <c r="Y717" i="36"/>
  <c r="Y663" i="36"/>
  <c r="Y703" i="36"/>
  <c r="Y741" i="36"/>
  <c r="Y700" i="36"/>
  <c r="AB9" i="4" s="1"/>
  <c r="AC7" i="4" s="1"/>
  <c r="Y757" i="36"/>
  <c r="AB61" i="4"/>
  <c r="AC58" i="4" s="1"/>
  <c r="Z9" i="40"/>
  <c r="Z5" i="40"/>
  <c r="AB17" i="4"/>
  <c r="AC14" i="4" s="1"/>
  <c r="Y753" i="36"/>
  <c r="Z10" i="40"/>
  <c r="AB72" i="4"/>
  <c r="AC69" i="4" s="1"/>
  <c r="Y758" i="36"/>
  <c r="AC52" i="4"/>
  <c r="AC48" i="4"/>
  <c r="AC42" i="5" s="1"/>
  <c r="AC47" i="4"/>
  <c r="AC40" i="5"/>
  <c r="AC50" i="4"/>
  <c r="AC27" i="4" l="1"/>
  <c r="AC24" i="5" s="1"/>
  <c r="AC25" i="5" s="1"/>
  <c r="AC26" i="4"/>
  <c r="AC22" i="5"/>
  <c r="AC23" i="5" s="1"/>
  <c r="Z12" i="36" s="1"/>
  <c r="Z495" i="36" s="1"/>
  <c r="AC31" i="4"/>
  <c r="Y752" i="36"/>
  <c r="Z4" i="40"/>
  <c r="Z7" i="40"/>
  <c r="Y755" i="36"/>
  <c r="AB39" i="4"/>
  <c r="AC35" i="4" s="1"/>
  <c r="AC43" i="5"/>
  <c r="Z28" i="36"/>
  <c r="Z556" i="36" s="1"/>
  <c r="AC64" i="4"/>
  <c r="AC60" i="4"/>
  <c r="AC52" i="5" s="1"/>
  <c r="AC50" i="5"/>
  <c r="AC62" i="4"/>
  <c r="AC59" i="4"/>
  <c r="AC41" i="5"/>
  <c r="Z14" i="36" s="1"/>
  <c r="Z557" i="36" s="1"/>
  <c r="Z42" i="36"/>
  <c r="AC26" i="5"/>
  <c r="AC30" i="4"/>
  <c r="AC27" i="5" s="1"/>
  <c r="AC8" i="4"/>
  <c r="AC10" i="4"/>
  <c r="AC7" i="5" s="1"/>
  <c r="AC8" i="5" s="1"/>
  <c r="AC5" i="5"/>
  <c r="AC18" i="4"/>
  <c r="AC16" i="4"/>
  <c r="AC15" i="5" s="1"/>
  <c r="AC20" i="4"/>
  <c r="AC15" i="4"/>
  <c r="AC13" i="5"/>
  <c r="AC70" i="4"/>
  <c r="AC75" i="4"/>
  <c r="AC60" i="5"/>
  <c r="AC71" i="4"/>
  <c r="AC62" i="5" s="1"/>
  <c r="AC73" i="4"/>
  <c r="AC44" i="5"/>
  <c r="AC51" i="4"/>
  <c r="AC45" i="5" s="1"/>
  <c r="Z40" i="36" l="1"/>
  <c r="AA17" i="40" s="1"/>
  <c r="Z26" i="36"/>
  <c r="Z494" i="36" s="1"/>
  <c r="AC40" i="4"/>
  <c r="AC37" i="4"/>
  <c r="AC42" i="4"/>
  <c r="AC38" i="4"/>
  <c r="AC33" i="5" s="1"/>
  <c r="AC31" i="5"/>
  <c r="AC61" i="5"/>
  <c r="Z16" i="36" s="1"/>
  <c r="Z619" i="36" s="1"/>
  <c r="Z44" i="36"/>
  <c r="AC17" i="5"/>
  <c r="AC19" i="4"/>
  <c r="AC18" i="5" s="1"/>
  <c r="AC64" i="5"/>
  <c r="AC74" i="4"/>
  <c r="AC65" i="5" s="1"/>
  <c r="Z38" i="36"/>
  <c r="AC9" i="5"/>
  <c r="AC6" i="5"/>
  <c r="Z10" i="36" s="1"/>
  <c r="Z432" i="36" s="1"/>
  <c r="AC63" i="4"/>
  <c r="AC55" i="5" s="1"/>
  <c r="AC54" i="5"/>
  <c r="Z25" i="36"/>
  <c r="Z463" i="36" s="1"/>
  <c r="AC16" i="5"/>
  <c r="Z29" i="36"/>
  <c r="Z587" i="36" s="1"/>
  <c r="AC53" i="5"/>
  <c r="Z39" i="36"/>
  <c r="AC14" i="5"/>
  <c r="Z11" i="36" s="1"/>
  <c r="Z464" i="36" s="1"/>
  <c r="Z51" i="36"/>
  <c r="Z88" i="36" s="1"/>
  <c r="Z30" i="36"/>
  <c r="Z618" i="36" s="1"/>
  <c r="AC63" i="5"/>
  <c r="AA19" i="40"/>
  <c r="Z53" i="36"/>
  <c r="Z90" i="36" s="1"/>
  <c r="Z73" i="36"/>
  <c r="AC51" i="5"/>
  <c r="Z15" i="36" s="1"/>
  <c r="Z588" i="36" s="1"/>
  <c r="Z43" i="36"/>
  <c r="Z71" i="36" l="1"/>
  <c r="AA29" i="40" s="1"/>
  <c r="AC34" i="5"/>
  <c r="Z27" i="36"/>
  <c r="Z525" i="36" s="1"/>
  <c r="Z41" i="36"/>
  <c r="AC32" i="5"/>
  <c r="Z13" i="36" s="1"/>
  <c r="Z526" i="36" s="1"/>
  <c r="AC35" i="5"/>
  <c r="AC41" i="4"/>
  <c r="AC36" i="5" s="1"/>
  <c r="AA31" i="40"/>
  <c r="Z158" i="36"/>
  <c r="Z168" i="36" s="1"/>
  <c r="AA16" i="40"/>
  <c r="Z70" i="36"/>
  <c r="Z50" i="36"/>
  <c r="Z87" i="36" s="1"/>
  <c r="AD46" i="41"/>
  <c r="Z103" i="36"/>
  <c r="AA20" i="40"/>
  <c r="Z74" i="36"/>
  <c r="Z54" i="36"/>
  <c r="Z91" i="36" s="1"/>
  <c r="AA15" i="40"/>
  <c r="Z49" i="36"/>
  <c r="Z81" i="36" s="1"/>
  <c r="Z83" i="36" s="1"/>
  <c r="Z99" i="36" s="1"/>
  <c r="Z69" i="36"/>
  <c r="AD44" i="41"/>
  <c r="Z101" i="36"/>
  <c r="Z55" i="36"/>
  <c r="Z92" i="36" s="1"/>
  <c r="AA21" i="40"/>
  <c r="Z75" i="36"/>
  <c r="Z156" i="36" l="1"/>
  <c r="Z166" i="36" s="1"/>
  <c r="Z52" i="36"/>
  <c r="Z89" i="36" s="1"/>
  <c r="Z72" i="36"/>
  <c r="AA18" i="40"/>
  <c r="AA28" i="40"/>
  <c r="Z155" i="36"/>
  <c r="Z165" i="36" s="1"/>
  <c r="Z496" i="36"/>
  <c r="Z493" i="36" s="1"/>
  <c r="Z113" i="36"/>
  <c r="Z154" i="36"/>
  <c r="Z164" i="36" s="1"/>
  <c r="AA27" i="40"/>
  <c r="Z115" i="36"/>
  <c r="Z558" i="36"/>
  <c r="Z555" i="36" s="1"/>
  <c r="AD48" i="41"/>
  <c r="Z105" i="36"/>
  <c r="Z433" i="36"/>
  <c r="Z430" i="36" s="1"/>
  <c r="Z111" i="36"/>
  <c r="AD47" i="41"/>
  <c r="Z104" i="36"/>
  <c r="Z160" i="36"/>
  <c r="Z170" i="36" s="1"/>
  <c r="AA33" i="40"/>
  <c r="Z159" i="36"/>
  <c r="Z169" i="36" s="1"/>
  <c r="AA32" i="40"/>
  <c r="AD43" i="41"/>
  <c r="Z100" i="36"/>
  <c r="Z157" i="36" l="1"/>
  <c r="Z167" i="36" s="1"/>
  <c r="Z171" i="36" s="1"/>
  <c r="Z180" i="36" s="1"/>
  <c r="AA30" i="40"/>
  <c r="AD45" i="41"/>
  <c r="AD49" i="41" s="1"/>
  <c r="AD53" i="41" s="1"/>
  <c r="AD65" i="41" s="1"/>
  <c r="Z102" i="36"/>
  <c r="Z112" i="36"/>
  <c r="Z465" i="36"/>
  <c r="Z462" i="36" s="1"/>
  <c r="Z116" i="36"/>
  <c r="Z589" i="36"/>
  <c r="Z586" i="36" s="1"/>
  <c r="Z620" i="36"/>
  <c r="Z617" i="36" s="1"/>
  <c r="Z117" i="36"/>
  <c r="Z114" i="36" l="1"/>
  <c r="Z118" i="36" s="1"/>
  <c r="Z123" i="36" s="1"/>
  <c r="Z137" i="36" s="1"/>
  <c r="Z150" i="36" s="1"/>
  <c r="Z527" i="36"/>
  <c r="Z524" i="36" s="1"/>
  <c r="AD55" i="41"/>
  <c r="AD67" i="41" s="1"/>
  <c r="AD56" i="41"/>
  <c r="AD68" i="41" s="1"/>
  <c r="AD54" i="41"/>
  <c r="AD66" i="41" s="1"/>
  <c r="AD74" i="41"/>
  <c r="AD28" i="41"/>
  <c r="AD8" i="41" s="1"/>
  <c r="AD57" i="41"/>
  <c r="AD69" i="41" s="1"/>
  <c r="Z175" i="36"/>
  <c r="Z178" i="36"/>
  <c r="Z177" i="36"/>
  <c r="Z176" i="36"/>
  <c r="Z181" i="36"/>
  <c r="Z179" i="36"/>
  <c r="AD58" i="41"/>
  <c r="AD70" i="41" s="1"/>
  <c r="Z133" i="36" l="1"/>
  <c r="Z146" i="36" s="1"/>
  <c r="Z138" i="36"/>
  <c r="Z151" i="36" s="1"/>
  <c r="AD29" i="41"/>
  <c r="AD9" i="41" s="1"/>
  <c r="AD75" i="41"/>
  <c r="AD33" i="41"/>
  <c r="AD13" i="41" s="1"/>
  <c r="AD79" i="41"/>
  <c r="AD77" i="41"/>
  <c r="AD31" i="41"/>
  <c r="AD11" i="41" s="1"/>
  <c r="AD32" i="41"/>
  <c r="AD12" i="41" s="1"/>
  <c r="AD78" i="41"/>
  <c r="Z135" i="36"/>
  <c r="Z148" i="36" s="1"/>
  <c r="Z134" i="36"/>
  <c r="Z147" i="36" s="1"/>
  <c r="Z136" i="36"/>
  <c r="Z149" i="36" s="1"/>
  <c r="Z132" i="36"/>
  <c r="Z182" i="36"/>
  <c r="Z214" i="36"/>
  <c r="Z215" i="36" s="1"/>
  <c r="AD105" i="41"/>
  <c r="AD82" i="41"/>
  <c r="AD76" i="41"/>
  <c r="AD30" i="41"/>
  <c r="AD10" i="41" s="1"/>
  <c r="AD106" i="41" l="1"/>
  <c r="AD83" i="41"/>
  <c r="AD107" i="41"/>
  <c r="AD84" i="41"/>
  <c r="AD108" i="41"/>
  <c r="AD85" i="41"/>
  <c r="Z235" i="36"/>
  <c r="Z218" i="36"/>
  <c r="Z231" i="36"/>
  <c r="Z233" i="36"/>
  <c r="Z219" i="36"/>
  <c r="Z223" i="36"/>
  <c r="Z232" i="36"/>
  <c r="Z229" i="36"/>
  <c r="Z217" i="36"/>
  <c r="Z230" i="36"/>
  <c r="Z234" i="36"/>
  <c r="Z221" i="36"/>
  <c r="Z145" i="36"/>
  <c r="Z152" i="36" s="1"/>
  <c r="Z139" i="36"/>
  <c r="Z141" i="36" s="1"/>
  <c r="AD109" i="41"/>
  <c r="AD86" i="41"/>
  <c r="AD87" i="41"/>
  <c r="AD110" i="41"/>
  <c r="Z222" i="36"/>
  <c r="AD88" i="41" l="1"/>
  <c r="Z239" i="36"/>
  <c r="Z240" i="36" s="1"/>
  <c r="Z191" i="36"/>
  <c r="Z201" i="36" s="1"/>
  <c r="Z190" i="36"/>
  <c r="Z193" i="36"/>
  <c r="Z203" i="36" s="1"/>
  <c r="Z195" i="36"/>
  <c r="Z205" i="36" s="1"/>
  <c r="Z196" i="36"/>
  <c r="Z206" i="36" s="1"/>
  <c r="Z194" i="36"/>
  <c r="Z204" i="36" s="1"/>
  <c r="Z192" i="36"/>
  <c r="Z202" i="36" s="1"/>
  <c r="Z200" i="36" l="1"/>
  <c r="Z207" i="36" s="1"/>
  <c r="Z197" i="36"/>
  <c r="Z209" i="36" s="1"/>
  <c r="Z220" i="36" s="1"/>
  <c r="Z224" i="36" s="1"/>
  <c r="Z226" i="36" s="1"/>
  <c r="Z246" i="36" s="1"/>
  <c r="Z254" i="36"/>
  <c r="Z248" i="36"/>
  <c r="Z242" i="36"/>
  <c r="Z256" i="36"/>
  <c r="Z247" i="36"/>
  <c r="Z245" i="36"/>
  <c r="Z257" i="36"/>
  <c r="Z255" i="36"/>
  <c r="Z259" i="36"/>
  <c r="Z244" i="36"/>
  <c r="Z258" i="36"/>
  <c r="Z260" i="36"/>
  <c r="Z243" i="36"/>
  <c r="Z264" i="36" l="1"/>
  <c r="Z265" i="36" s="1"/>
  <c r="Z283" i="36" s="1"/>
  <c r="Z249" i="36"/>
  <c r="Z251" i="36" s="1"/>
  <c r="Z268" i="36" l="1"/>
  <c r="Z279" i="36"/>
  <c r="Z284" i="36"/>
  <c r="Z282" i="36"/>
  <c r="Z269" i="36"/>
  <c r="Z280" i="36"/>
  <c r="Z272" i="36"/>
  <c r="Z270" i="36"/>
  <c r="Z267" i="36"/>
  <c r="Z271" i="36"/>
  <c r="Z285" i="36"/>
  <c r="Z281" i="36"/>
  <c r="Z273" i="36"/>
  <c r="Z289" i="36" l="1"/>
  <c r="Z290" i="36" s="1"/>
  <c r="Z304" i="36" s="1"/>
  <c r="Z274" i="36"/>
  <c r="Z276" i="36" s="1"/>
  <c r="Z298" i="36" l="1"/>
  <c r="Z309" i="36"/>
  <c r="Z308" i="36"/>
  <c r="Z305" i="36"/>
  <c r="Z292" i="36"/>
  <c r="Z294" i="36"/>
  <c r="Z310" i="36"/>
  <c r="Z307" i="36"/>
  <c r="Z297" i="36"/>
  <c r="Z306" i="36"/>
  <c r="Z293" i="36"/>
  <c r="Z296" i="36"/>
  <c r="Z295" i="36"/>
  <c r="Z314" i="36" l="1"/>
  <c r="Z315" i="36" s="1"/>
  <c r="Z320" i="36" s="1"/>
  <c r="Z299" i="36"/>
  <c r="Z301" i="36" s="1"/>
  <c r="Z321" i="36" l="1"/>
  <c r="Z334" i="36"/>
  <c r="Z333" i="36"/>
  <c r="Z331" i="36"/>
  <c r="Z323" i="36"/>
  <c r="Z317" i="36"/>
  <c r="Z319" i="36"/>
  <c r="Z335" i="36"/>
  <c r="Z318" i="36"/>
  <c r="Z329" i="36"/>
  <c r="Z332" i="36"/>
  <c r="Z330" i="36"/>
  <c r="Z322" i="36"/>
  <c r="Z339" i="36" l="1"/>
  <c r="Z340" i="36" s="1"/>
  <c r="Z348" i="36" s="1"/>
  <c r="Z324" i="36"/>
  <c r="Z326" i="36" s="1"/>
  <c r="Z345" i="36" l="1"/>
  <c r="Z354" i="36"/>
  <c r="Z360" i="36"/>
  <c r="Z342" i="36"/>
  <c r="Z356" i="36"/>
  <c r="Z343" i="36"/>
  <c r="Z359" i="36"/>
  <c r="Z355" i="36"/>
  <c r="Z347" i="36"/>
  <c r="Z346" i="36"/>
  <c r="Z357" i="36"/>
  <c r="Z358" i="36"/>
  <c r="Z344" i="36"/>
  <c r="Z364" i="36" l="1"/>
  <c r="Z365" i="36" s="1"/>
  <c r="Z384" i="36" s="1"/>
  <c r="Z349" i="36"/>
  <c r="Z351" i="36" s="1"/>
  <c r="Z383" i="36" l="1"/>
  <c r="Z372" i="36"/>
  <c r="Z395" i="36" s="1"/>
  <c r="Z422" i="36" s="1"/>
  <c r="Z585" i="36" s="1"/>
  <c r="Z592" i="36" s="1"/>
  <c r="Z368" i="36"/>
  <c r="Z391" i="36" s="1"/>
  <c r="Z402" i="36" s="1"/>
  <c r="Z373" i="36"/>
  <c r="Z396" i="36" s="1"/>
  <c r="Z407" i="36" s="1"/>
  <c r="Z382" i="36"/>
  <c r="Z381" i="36"/>
  <c r="Z379" i="36"/>
  <c r="Z371" i="36"/>
  <c r="Z394" i="36" s="1"/>
  <c r="Z421" i="36" s="1"/>
  <c r="Z554" i="36" s="1"/>
  <c r="Z561" i="36" s="1"/>
  <c r="Z367" i="36"/>
  <c r="Z390" i="36" s="1"/>
  <c r="Z385" i="36"/>
  <c r="Z380" i="36"/>
  <c r="Z369" i="36"/>
  <c r="Z392" i="36" s="1"/>
  <c r="Z403" i="36" s="1"/>
  <c r="Z370" i="36"/>
  <c r="Z393" i="36" s="1"/>
  <c r="Z420" i="36" s="1"/>
  <c r="Z523" i="36" s="1"/>
  <c r="Z530" i="36" s="1"/>
  <c r="Z418" i="36" l="1"/>
  <c r="Z461" i="36" s="1"/>
  <c r="Z468" i="36" s="1"/>
  <c r="Z471" i="36" s="1"/>
  <c r="Z477" i="36" s="1"/>
  <c r="Z406" i="36"/>
  <c r="Z404" i="36"/>
  <c r="Z423" i="36"/>
  <c r="Z616" i="36" s="1"/>
  <c r="Z623" i="36" s="1"/>
  <c r="Z626" i="36" s="1"/>
  <c r="Z632" i="36" s="1"/>
  <c r="Z419" i="36"/>
  <c r="Z492" i="36" s="1"/>
  <c r="Z499" i="36" s="1"/>
  <c r="Z503" i="36" s="1"/>
  <c r="Z509" i="36" s="1"/>
  <c r="Z405" i="36"/>
  <c r="Z374" i="36"/>
  <c r="Z376" i="36" s="1"/>
  <c r="Z596" i="36"/>
  <c r="Z602" i="36" s="1"/>
  <c r="Z594" i="36"/>
  <c r="Z595" i="36"/>
  <c r="Z601" i="36" s="1"/>
  <c r="Z401" i="36"/>
  <c r="Z397" i="36"/>
  <c r="Z417" i="36"/>
  <c r="Z429" i="36" s="1"/>
  <c r="Z436" i="36" s="1"/>
  <c r="Z533" i="36"/>
  <c r="Z539" i="36" s="1"/>
  <c r="Z532" i="36"/>
  <c r="Z534" i="36"/>
  <c r="Z540" i="36" s="1"/>
  <c r="Z564" i="36"/>
  <c r="Z570" i="36" s="1"/>
  <c r="Z563" i="36"/>
  <c r="Z565" i="36"/>
  <c r="Z571" i="36" s="1"/>
  <c r="Z470" i="36" l="1"/>
  <c r="Z476" i="36" s="1"/>
  <c r="Z472" i="36"/>
  <c r="Z478" i="36" s="1"/>
  <c r="Z627" i="36"/>
  <c r="Z633" i="36" s="1"/>
  <c r="Z625" i="36"/>
  <c r="Z631" i="36" s="1"/>
  <c r="Z502" i="36"/>
  <c r="Z508" i="36" s="1"/>
  <c r="Z501" i="36"/>
  <c r="Z507" i="36" s="1"/>
  <c r="Z569" i="36"/>
  <c r="Z568" i="36" s="1"/>
  <c r="Z566" i="36"/>
  <c r="Z573" i="36" s="1"/>
  <c r="Z438" i="36"/>
  <c r="Z439" i="36"/>
  <c r="Z446" i="36" s="1"/>
  <c r="Z440" i="36"/>
  <c r="Z447" i="36" s="1"/>
  <c r="Z600" i="36"/>
  <c r="Z599" i="36" s="1"/>
  <c r="Z597" i="36"/>
  <c r="Z604" i="36" s="1"/>
  <c r="Z535" i="36"/>
  <c r="Z542" i="36" s="1"/>
  <c r="Z538" i="36"/>
  <c r="Z537" i="36" s="1"/>
  <c r="Z473" i="36" l="1"/>
  <c r="Z480" i="36" s="1"/>
  <c r="Z481" i="36" s="1"/>
  <c r="Z486" i="36" s="1"/>
  <c r="Z667" i="36" s="1"/>
  <c r="Z715" i="36" s="1"/>
  <c r="Z475" i="36"/>
  <c r="Z628" i="36"/>
  <c r="Z635" i="36" s="1"/>
  <c r="Z636" i="36" s="1"/>
  <c r="Z637" i="36" s="1"/>
  <c r="Z642" i="36" s="1"/>
  <c r="Z683" i="36" s="1"/>
  <c r="Z732" i="36" s="1"/>
  <c r="Z630" i="36"/>
  <c r="Z504" i="36"/>
  <c r="Z511" i="36" s="1"/>
  <c r="Z512" i="36" s="1"/>
  <c r="Z506" i="36"/>
  <c r="Z543" i="36"/>
  <c r="Z548" i="36" s="1"/>
  <c r="Z669" i="36" s="1"/>
  <c r="Z717" i="36" s="1"/>
  <c r="Z441" i="36"/>
  <c r="Z449" i="36" s="1"/>
  <c r="Z445" i="36"/>
  <c r="Z574" i="36"/>
  <c r="Z575" i="36" s="1"/>
  <c r="Z580" i="36" s="1"/>
  <c r="Z681" i="36" s="1"/>
  <c r="Z730" i="36" s="1"/>
  <c r="Z605" i="36"/>
  <c r="Z641" i="36" l="1"/>
  <c r="Z672" i="36" s="1"/>
  <c r="Z720" i="36" s="1"/>
  <c r="Z638" i="36"/>
  <c r="Z643" i="36" s="1"/>
  <c r="Z694" i="36" s="1"/>
  <c r="Z744" i="36" s="1"/>
  <c r="Z544" i="36"/>
  <c r="Z549" i="36" s="1"/>
  <c r="Z680" i="36" s="1"/>
  <c r="Z729" i="36" s="1"/>
  <c r="Z482" i="36"/>
  <c r="Z487" i="36" s="1"/>
  <c r="Z678" i="36" s="1"/>
  <c r="Z727" i="36" s="1"/>
  <c r="Z606" i="36"/>
  <c r="Z611" i="36" s="1"/>
  <c r="Z682" i="36" s="1"/>
  <c r="Z731" i="36" s="1"/>
  <c r="Z610" i="36"/>
  <c r="Z671" i="36" s="1"/>
  <c r="Z719" i="36" s="1"/>
  <c r="Z450" i="36"/>
  <c r="Z444" i="36"/>
  <c r="Z513" i="36"/>
  <c r="Z517" i="36"/>
  <c r="Z668" i="36" s="1"/>
  <c r="Z716" i="36" s="1"/>
  <c r="Z579" i="36"/>
  <c r="Z670" i="36" s="1"/>
  <c r="Z718" i="36" s="1"/>
  <c r="Z576" i="36"/>
  <c r="Z581" i="36" s="1"/>
  <c r="Z692" i="36" s="1"/>
  <c r="Z706" i="36" l="1"/>
  <c r="AA10" i="40" s="1"/>
  <c r="Z545" i="36"/>
  <c r="Z550" i="36" s="1"/>
  <c r="Z691" i="36" s="1"/>
  <c r="Z483" i="36"/>
  <c r="Z488" i="36" s="1"/>
  <c r="Z689" i="36" s="1"/>
  <c r="Z701" i="36" s="1"/>
  <c r="Z607" i="36"/>
  <c r="Z612" i="36" s="1"/>
  <c r="Z693" i="36" s="1"/>
  <c r="Z705" i="36" s="1"/>
  <c r="Z455" i="36"/>
  <c r="Z666" i="36" s="1"/>
  <c r="Z663" i="36" s="1"/>
  <c r="Z704" i="36"/>
  <c r="Z742" i="36"/>
  <c r="Z518" i="36"/>
  <c r="Z679" i="36" s="1"/>
  <c r="Z728" i="36" s="1"/>
  <c r="Z514" i="36"/>
  <c r="Z519" i="36" s="1"/>
  <c r="Z690" i="36" s="1"/>
  <c r="Z451" i="36"/>
  <c r="Z456" i="36" s="1"/>
  <c r="Z677" i="36" s="1"/>
  <c r="Z726" i="36" s="1"/>
  <c r="Z758" i="36" l="1"/>
  <c r="AC72" i="4"/>
  <c r="AD69" i="4" s="1"/>
  <c r="AD60" i="5" s="1"/>
  <c r="AD61" i="5" s="1"/>
  <c r="AA16" i="36" s="1"/>
  <c r="AA619" i="36" s="1"/>
  <c r="Z743" i="36"/>
  <c r="Z703" i="36"/>
  <c r="Z741" i="36"/>
  <c r="Z739" i="36"/>
  <c r="Z740" i="36"/>
  <c r="Z702" i="36"/>
  <c r="Z452" i="36"/>
  <c r="Z457" i="36" s="1"/>
  <c r="Z688" i="36" s="1"/>
  <c r="Z757" i="36"/>
  <c r="AA9" i="40"/>
  <c r="AC61" i="4"/>
  <c r="AD58" i="4" s="1"/>
  <c r="AC49" i="4"/>
  <c r="AD46" i="4" s="1"/>
  <c r="AA8" i="40"/>
  <c r="Z756" i="36"/>
  <c r="AA5" i="40"/>
  <c r="AC17" i="4"/>
  <c r="AD14" i="4" s="1"/>
  <c r="Z753" i="36"/>
  <c r="AA44" i="36" l="1"/>
  <c r="AA55" i="36" s="1"/>
  <c r="AA92" i="36" s="1"/>
  <c r="AD75" i="4"/>
  <c r="AD73" i="4"/>
  <c r="AD70" i="4"/>
  <c r="AD71" i="4"/>
  <c r="AD62" i="5" s="1"/>
  <c r="Z755" i="36"/>
  <c r="AC39" i="4"/>
  <c r="AD35" i="4" s="1"/>
  <c r="AA7" i="40"/>
  <c r="AD40" i="5"/>
  <c r="AD52" i="4"/>
  <c r="AD50" i="4"/>
  <c r="AD48" i="4"/>
  <c r="AD42" i="5" s="1"/>
  <c r="AD47" i="4"/>
  <c r="AD60" i="4"/>
  <c r="AD52" i="5" s="1"/>
  <c r="AD50" i="5"/>
  <c r="AD59" i="4"/>
  <c r="AD64" i="4"/>
  <c r="AD62" i="4"/>
  <c r="AC28" i="4"/>
  <c r="AD24" i="4" s="1"/>
  <c r="AA6" i="40"/>
  <c r="Z754" i="36"/>
  <c r="AD20" i="4"/>
  <c r="AD13" i="5"/>
  <c r="AD15" i="4"/>
  <c r="AD18" i="4"/>
  <c r="AD16" i="4"/>
  <c r="AD15" i="5" s="1"/>
  <c r="Z738" i="36"/>
  <c r="Z700" i="36"/>
  <c r="AA75" i="36"/>
  <c r="AB21" i="40" l="1"/>
  <c r="AA30" i="36"/>
  <c r="AA618" i="36" s="1"/>
  <c r="AD63" i="5"/>
  <c r="AD64" i="5"/>
  <c r="AD74" i="4"/>
  <c r="AD65" i="5" s="1"/>
  <c r="AD38" i="4"/>
  <c r="AD33" i="5" s="1"/>
  <c r="AD31" i="5"/>
  <c r="AD37" i="4"/>
  <c r="AD40" i="4"/>
  <c r="AD42" i="4"/>
  <c r="Z752" i="36"/>
  <c r="AC9" i="4"/>
  <c r="AD7" i="4" s="1"/>
  <c r="AA4" i="40"/>
  <c r="AD29" i="4"/>
  <c r="AD31" i="4"/>
  <c r="AD26" i="4"/>
  <c r="AD27" i="4"/>
  <c r="AD24" i="5" s="1"/>
  <c r="AD22" i="5"/>
  <c r="AD51" i="5"/>
  <c r="AA15" i="36" s="1"/>
  <c r="AA588" i="36" s="1"/>
  <c r="AA43" i="36"/>
  <c r="AA25" i="36"/>
  <c r="AA463" i="36" s="1"/>
  <c r="AD16" i="5"/>
  <c r="AD54" i="5"/>
  <c r="AD63" i="4"/>
  <c r="AD55" i="5" s="1"/>
  <c r="AA29" i="36"/>
  <c r="AA587" i="36" s="1"/>
  <c r="AD53" i="5"/>
  <c r="AD43" i="5"/>
  <c r="AA28" i="36"/>
  <c r="AA556" i="36" s="1"/>
  <c r="AD14" i="5"/>
  <c r="AA11" i="36" s="1"/>
  <c r="AA464" i="36" s="1"/>
  <c r="AA39" i="36"/>
  <c r="AD44" i="5"/>
  <c r="AD51" i="4"/>
  <c r="AD45" i="5" s="1"/>
  <c r="AD19" i="4"/>
  <c r="AD18" i="5" s="1"/>
  <c r="AD17" i="5"/>
  <c r="AD41" i="5"/>
  <c r="AA14" i="36" s="1"/>
  <c r="AA557" i="36" s="1"/>
  <c r="AA42" i="36"/>
  <c r="AA105" i="36"/>
  <c r="AE48" i="41"/>
  <c r="AB33" i="40"/>
  <c r="AA160" i="36"/>
  <c r="AA170" i="36" s="1"/>
  <c r="AD35" i="5" l="1"/>
  <c r="AD41" i="4"/>
  <c r="AD36" i="5" s="1"/>
  <c r="AA41" i="36"/>
  <c r="AD32" i="5"/>
  <c r="AA13" i="36" s="1"/>
  <c r="AA526" i="36" s="1"/>
  <c r="AD34" i="5"/>
  <c r="AA27" i="36"/>
  <c r="AA525" i="36" s="1"/>
  <c r="AA26" i="36"/>
  <c r="AA494" i="36" s="1"/>
  <c r="AD25" i="5"/>
  <c r="AD30" i="4"/>
  <c r="AD27" i="5" s="1"/>
  <c r="AD26" i="5"/>
  <c r="AA53" i="36"/>
  <c r="AA90" i="36" s="1"/>
  <c r="AA73" i="36"/>
  <c r="AB19" i="40"/>
  <c r="AA54" i="36"/>
  <c r="AA91" i="36" s="1"/>
  <c r="AA74" i="36"/>
  <c r="AB20" i="40"/>
  <c r="AD8" i="4"/>
  <c r="AD5" i="5"/>
  <c r="AD10" i="4"/>
  <c r="AD7" i="5" s="1"/>
  <c r="AD8" i="5" s="1"/>
  <c r="AA50" i="36"/>
  <c r="AA87" i="36" s="1"/>
  <c r="AA70" i="36"/>
  <c r="AB16" i="40"/>
  <c r="AD23" i="5"/>
  <c r="AA12" i="36" s="1"/>
  <c r="AA495" i="36" s="1"/>
  <c r="AA40" i="36"/>
  <c r="AA620" i="36"/>
  <c r="AA617" i="36" s="1"/>
  <c r="AA117" i="36"/>
  <c r="AB18" i="40" l="1"/>
  <c r="AA52" i="36"/>
  <c r="AA89" i="36" s="1"/>
  <c r="AA72" i="36"/>
  <c r="AA104" i="36"/>
  <c r="AE47" i="41"/>
  <c r="AB28" i="40"/>
  <c r="AA155" i="36"/>
  <c r="AA165" i="36" s="1"/>
  <c r="AD6" i="5"/>
  <c r="AA10" i="36" s="1"/>
  <c r="AA432" i="36" s="1"/>
  <c r="AA38" i="36"/>
  <c r="AD9" i="5"/>
  <c r="AB17" i="40"/>
  <c r="AA51" i="36"/>
  <c r="AA88" i="36" s="1"/>
  <c r="AA71" i="36"/>
  <c r="AE43" i="41"/>
  <c r="AA100" i="36"/>
  <c r="AA158" i="36"/>
  <c r="AA168" i="36" s="1"/>
  <c r="AB31" i="40"/>
  <c r="AA159" i="36"/>
  <c r="AA169" i="36" s="1"/>
  <c r="AB32" i="40"/>
  <c r="AA103" i="36"/>
  <c r="AE46" i="41"/>
  <c r="AB30" i="40" l="1"/>
  <c r="AA157" i="36"/>
  <c r="AA167" i="36" s="1"/>
  <c r="AA102" i="36"/>
  <c r="AE45" i="41"/>
  <c r="AA115" i="36"/>
  <c r="AA558" i="36"/>
  <c r="AA555" i="36" s="1"/>
  <c r="AA465" i="36"/>
  <c r="AA462" i="36" s="1"/>
  <c r="AA112" i="36"/>
  <c r="AB29" i="40"/>
  <c r="AA156" i="36"/>
  <c r="AA166" i="36" s="1"/>
  <c r="AA69" i="36"/>
  <c r="AA49" i="36"/>
  <c r="AA81" i="36" s="1"/>
  <c r="AA83" i="36" s="1"/>
  <c r="AA99" i="36" s="1"/>
  <c r="AB15" i="40"/>
  <c r="AE44" i="41"/>
  <c r="AA101" i="36"/>
  <c r="AA589" i="36"/>
  <c r="AA586" i="36" s="1"/>
  <c r="AA116" i="36"/>
  <c r="AA114" i="36" l="1"/>
  <c r="AA527" i="36"/>
  <c r="AA524" i="36" s="1"/>
  <c r="AE49" i="41"/>
  <c r="AE55" i="41" s="1"/>
  <c r="AE67" i="41" s="1"/>
  <c r="AA433" i="36"/>
  <c r="AA430" i="36" s="1"/>
  <c r="AA111" i="36"/>
  <c r="AA113" i="36"/>
  <c r="AA496" i="36"/>
  <c r="AA493" i="36" s="1"/>
  <c r="AB27" i="40"/>
  <c r="AA154" i="36"/>
  <c r="AA164" i="36" s="1"/>
  <c r="AE54" i="41" l="1"/>
  <c r="AE66" i="41" s="1"/>
  <c r="AE75" i="41" s="1"/>
  <c r="AE57" i="41"/>
  <c r="AE69" i="41" s="1"/>
  <c r="AE32" i="41" s="1"/>
  <c r="AE12" i="41" s="1"/>
  <c r="AE58" i="41"/>
  <c r="AE70" i="41" s="1"/>
  <c r="AE33" i="41" s="1"/>
  <c r="AE13" i="41" s="1"/>
  <c r="AE53" i="41"/>
  <c r="AE65" i="41" s="1"/>
  <c r="AE74" i="41" s="1"/>
  <c r="AE56" i="41"/>
  <c r="AE68" i="41" s="1"/>
  <c r="AE77" i="41" s="1"/>
  <c r="AA171" i="36"/>
  <c r="AA175" i="36" s="1"/>
  <c r="AE30" i="41"/>
  <c r="AE10" i="41" s="1"/>
  <c r="AE76" i="41"/>
  <c r="AA118" i="36"/>
  <c r="AA123" i="36" s="1"/>
  <c r="AA132" i="36" s="1"/>
  <c r="AE29" i="41" l="1"/>
  <c r="AE9" i="41" s="1"/>
  <c r="AE78" i="41"/>
  <c r="AE86" i="41" s="1"/>
  <c r="AE31" i="41"/>
  <c r="AE11" i="41" s="1"/>
  <c r="AE79" i="41"/>
  <c r="AE110" i="41" s="1"/>
  <c r="AE28" i="41"/>
  <c r="AE8" i="41" s="1"/>
  <c r="AA134" i="36"/>
  <c r="AA147" i="36" s="1"/>
  <c r="AE107" i="41"/>
  <c r="AE84" i="41"/>
  <c r="AE83" i="41"/>
  <c r="AE106" i="41"/>
  <c r="AE85" i="41"/>
  <c r="AE108" i="41"/>
  <c r="AA145" i="36"/>
  <c r="AA133" i="36"/>
  <c r="AA146" i="36" s="1"/>
  <c r="AA138" i="36"/>
  <c r="AA151" i="36" s="1"/>
  <c r="AA135" i="36"/>
  <c r="AA148" i="36" s="1"/>
  <c r="AA136" i="36"/>
  <c r="AA149" i="36" s="1"/>
  <c r="AA137" i="36"/>
  <c r="AA150" i="36" s="1"/>
  <c r="AA178" i="36"/>
  <c r="AA181" i="36"/>
  <c r="AA176" i="36"/>
  <c r="AA180" i="36"/>
  <c r="AA179" i="36"/>
  <c r="AA177" i="36"/>
  <c r="AE105" i="41"/>
  <c r="AE82" i="41"/>
  <c r="AE109" i="41" l="1"/>
  <c r="AE87" i="41"/>
  <c r="AE88" i="41" s="1"/>
  <c r="AA214" i="36"/>
  <c r="AA215" i="36" s="1"/>
  <c r="AA231" i="36" s="1"/>
  <c r="AA182" i="36"/>
  <c r="AA152" i="36"/>
  <c r="AA139" i="36"/>
  <c r="AA141" i="36" s="1"/>
  <c r="AA230" i="36" l="1"/>
  <c r="AA221" i="36"/>
  <c r="AA217" i="36"/>
  <c r="AA218" i="36"/>
  <c r="AA219" i="36"/>
  <c r="AA223" i="36"/>
  <c r="AA234" i="36"/>
  <c r="AA232" i="36"/>
  <c r="AA235" i="36"/>
  <c r="AA222" i="36"/>
  <c r="AA233" i="36"/>
  <c r="AA229" i="36"/>
  <c r="AA193" i="36"/>
  <c r="AA203" i="36" s="1"/>
  <c r="AA190" i="36"/>
  <c r="AA194" i="36"/>
  <c r="AA204" i="36" s="1"/>
  <c r="AA196" i="36"/>
  <c r="AA206" i="36" s="1"/>
  <c r="AA192" i="36"/>
  <c r="AA202" i="36" s="1"/>
  <c r="AA191" i="36"/>
  <c r="AA201" i="36" s="1"/>
  <c r="AA195" i="36"/>
  <c r="AA205" i="36" s="1"/>
  <c r="AA239" i="36" l="1"/>
  <c r="AA240" i="36" s="1"/>
  <c r="AA258" i="36" s="1"/>
  <c r="AA200" i="36"/>
  <c r="AA207" i="36" s="1"/>
  <c r="AA197" i="36"/>
  <c r="AA209" i="36" s="1"/>
  <c r="AA220" i="36" s="1"/>
  <c r="AA224" i="36" s="1"/>
  <c r="AA226" i="36" s="1"/>
  <c r="AA246" i="36" l="1"/>
  <c r="AA244" i="36"/>
  <c r="AA242" i="36"/>
  <c r="AA260" i="36"/>
  <c r="AA248" i="36"/>
  <c r="AA259" i="36"/>
  <c r="AA245" i="36"/>
  <c r="AA257" i="36"/>
  <c r="AA255" i="36"/>
  <c r="AA247" i="36"/>
  <c r="AA256" i="36"/>
  <c r="AA243" i="36"/>
  <c r="AA254" i="36"/>
  <c r="AA249" i="36" l="1"/>
  <c r="AA251" i="36" s="1"/>
  <c r="AA264" i="36"/>
  <c r="AA265" i="36" s="1"/>
  <c r="AA268" i="36" s="1"/>
  <c r="AA271" i="36" l="1"/>
  <c r="AA279" i="36"/>
  <c r="AA269" i="36"/>
  <c r="AA281" i="36"/>
  <c r="AA272" i="36"/>
  <c r="AA284" i="36"/>
  <c r="AA285" i="36"/>
  <c r="AA282" i="36"/>
  <c r="AA283" i="36"/>
  <c r="AA270" i="36"/>
  <c r="AA273" i="36"/>
  <c r="AA280" i="36"/>
  <c r="AA267" i="36"/>
  <c r="AA289" i="36" l="1"/>
  <c r="AA290" i="36" s="1"/>
  <c r="AA274" i="36"/>
  <c r="AA276" i="36" s="1"/>
  <c r="AA297" i="36" l="1"/>
  <c r="AA293" i="36"/>
  <c r="AA295" i="36"/>
  <c r="AA307" i="36"/>
  <c r="AA309" i="36"/>
  <c r="AA306" i="36"/>
  <c r="AA296" i="36"/>
  <c r="AA305" i="36"/>
  <c r="AA304" i="36"/>
  <c r="AA294" i="36"/>
  <c r="AA292" i="36"/>
  <c r="AA310" i="36"/>
  <c r="AA308" i="36"/>
  <c r="AA298" i="36"/>
  <c r="AA314" i="36" l="1"/>
  <c r="AA315" i="36" s="1"/>
  <c r="AA330" i="36" s="1"/>
  <c r="AA299" i="36"/>
  <c r="AA301" i="36" s="1"/>
  <c r="AA322" i="36" l="1"/>
  <c r="AA321" i="36"/>
  <c r="AA329" i="36"/>
  <c r="AA333" i="36"/>
  <c r="AA318" i="36"/>
  <c r="AA331" i="36"/>
  <c r="AA332" i="36"/>
  <c r="AA334" i="36"/>
  <c r="AA319" i="36"/>
  <c r="AA320" i="36"/>
  <c r="AA317" i="36"/>
  <c r="AA323" i="36"/>
  <c r="AA335" i="36"/>
  <c r="AA324" i="36" l="1"/>
  <c r="AA326" i="36" s="1"/>
  <c r="AA339" i="36"/>
  <c r="AA340" i="36" s="1"/>
  <c r="AA345" i="36" s="1"/>
  <c r="AA342" i="36" l="1"/>
  <c r="AA347" i="36"/>
  <c r="AA360" i="36"/>
  <c r="AA343" i="36"/>
  <c r="AA359" i="36"/>
  <c r="AA357" i="36"/>
  <c r="AA348" i="36"/>
  <c r="AA344" i="36"/>
  <c r="AA356" i="36"/>
  <c r="AA358" i="36"/>
  <c r="AA354" i="36"/>
  <c r="AA355" i="36"/>
  <c r="AA346" i="36"/>
  <c r="AA349" i="36" l="1"/>
  <c r="AA351" i="36" s="1"/>
  <c r="AA364" i="36"/>
  <c r="AA365" i="36" s="1"/>
  <c r="AA372" i="36" s="1"/>
  <c r="AA395" i="36" s="1"/>
  <c r="AA369" i="36" l="1"/>
  <c r="AA392" i="36" s="1"/>
  <c r="AA403" i="36" s="1"/>
  <c r="AA370" i="36"/>
  <c r="AA393" i="36" s="1"/>
  <c r="AA420" i="36" s="1"/>
  <c r="AA523" i="36" s="1"/>
  <c r="AA530" i="36" s="1"/>
  <c r="AA532" i="36" s="1"/>
  <c r="AA380" i="36"/>
  <c r="AA371" i="36"/>
  <c r="AA394" i="36" s="1"/>
  <c r="AA421" i="36" s="1"/>
  <c r="AA554" i="36" s="1"/>
  <c r="AA561" i="36" s="1"/>
  <c r="AA563" i="36" s="1"/>
  <c r="AA385" i="36"/>
  <c r="AA381" i="36"/>
  <c r="AA406" i="36"/>
  <c r="AA422" i="36"/>
  <c r="AA585" i="36" s="1"/>
  <c r="AA592" i="36" s="1"/>
  <c r="AA594" i="36" s="1"/>
  <c r="AA367" i="36"/>
  <c r="AA379" i="36"/>
  <c r="AA368" i="36"/>
  <c r="AA391" i="36" s="1"/>
  <c r="AA384" i="36"/>
  <c r="AA382" i="36"/>
  <c r="AA373" i="36"/>
  <c r="AA396" i="36" s="1"/>
  <c r="AA383" i="36"/>
  <c r="AA419" i="36" l="1"/>
  <c r="AA492" i="36" s="1"/>
  <c r="AA499" i="36" s="1"/>
  <c r="AA503" i="36" s="1"/>
  <c r="AA509" i="36" s="1"/>
  <c r="AA404" i="36"/>
  <c r="AA534" i="36"/>
  <c r="AA540" i="36" s="1"/>
  <c r="AA533" i="36"/>
  <c r="AA539" i="36" s="1"/>
  <c r="AA595" i="36"/>
  <c r="AA601" i="36" s="1"/>
  <c r="AA564" i="36"/>
  <c r="AA570" i="36" s="1"/>
  <c r="AA565" i="36"/>
  <c r="AA571" i="36" s="1"/>
  <c r="AA405" i="36"/>
  <c r="AA596" i="36"/>
  <c r="AA602" i="36" s="1"/>
  <c r="AA374" i="36"/>
  <c r="AA376" i="36" s="1"/>
  <c r="AA390" i="36"/>
  <c r="AA407" i="36"/>
  <c r="AA423" i="36"/>
  <c r="AA616" i="36" s="1"/>
  <c r="AA623" i="36" s="1"/>
  <c r="AA402" i="36"/>
  <c r="AA418" i="36"/>
  <c r="AA461" i="36" s="1"/>
  <c r="AA468" i="36" s="1"/>
  <c r="AA569" i="36"/>
  <c r="AA600" i="36"/>
  <c r="AA538" i="36"/>
  <c r="AA502" i="36" l="1"/>
  <c r="AA508" i="36" s="1"/>
  <c r="AA501" i="36"/>
  <c r="AA507" i="36" s="1"/>
  <c r="AA537" i="36"/>
  <c r="AA535" i="36"/>
  <c r="AA542" i="36" s="1"/>
  <c r="AA543" i="36" s="1"/>
  <c r="AA548" i="36" s="1"/>
  <c r="AA669" i="36" s="1"/>
  <c r="AA717" i="36" s="1"/>
  <c r="AA597" i="36"/>
  <c r="AA604" i="36" s="1"/>
  <c r="AA605" i="36" s="1"/>
  <c r="AA610" i="36" s="1"/>
  <c r="AA671" i="36" s="1"/>
  <c r="AA719" i="36" s="1"/>
  <c r="AA566" i="36"/>
  <c r="AA573" i="36" s="1"/>
  <c r="AA574" i="36" s="1"/>
  <c r="AA579" i="36" s="1"/>
  <c r="AA670" i="36" s="1"/>
  <c r="AA718" i="36" s="1"/>
  <c r="AA568" i="36"/>
  <c r="AA599" i="36"/>
  <c r="AA470" i="36"/>
  <c r="AA472" i="36"/>
  <c r="AA478" i="36" s="1"/>
  <c r="AA471" i="36"/>
  <c r="AA477" i="36" s="1"/>
  <c r="AA417" i="36"/>
  <c r="AA429" i="36" s="1"/>
  <c r="AA436" i="36" s="1"/>
  <c r="AA401" i="36"/>
  <c r="AA397" i="36"/>
  <c r="AA625" i="36"/>
  <c r="AA626" i="36"/>
  <c r="AA632" i="36" s="1"/>
  <c r="AA627" i="36"/>
  <c r="AA633" i="36" s="1"/>
  <c r="AA506" i="36" l="1"/>
  <c r="AA504" i="36"/>
  <c r="AA511" i="36" s="1"/>
  <c r="AA512" i="36" s="1"/>
  <c r="AA517" i="36" s="1"/>
  <c r="AA668" i="36" s="1"/>
  <c r="AA716" i="36" s="1"/>
  <c r="AA628" i="36"/>
  <c r="AA635" i="36" s="1"/>
  <c r="AA631" i="36"/>
  <c r="AA630" i="36" s="1"/>
  <c r="AA440" i="36"/>
  <c r="AA447" i="36" s="1"/>
  <c r="AA438" i="36"/>
  <c r="AA439" i="36"/>
  <c r="AA446" i="36" s="1"/>
  <c r="AA473" i="36"/>
  <c r="AA480" i="36" s="1"/>
  <c r="AA476" i="36"/>
  <c r="AA475" i="36" s="1"/>
  <c r="AA606" i="36"/>
  <c r="AA611" i="36" s="1"/>
  <c r="AA682" i="36" s="1"/>
  <c r="AA731" i="36" s="1"/>
  <c r="AA575" i="36"/>
  <c r="AA544" i="36"/>
  <c r="AA513" i="36" l="1"/>
  <c r="AA518" i="36" s="1"/>
  <c r="AA679" i="36" s="1"/>
  <c r="AA728" i="36" s="1"/>
  <c r="AA481" i="36"/>
  <c r="AA486" i="36" s="1"/>
  <c r="AA667" i="36" s="1"/>
  <c r="AA715" i="36" s="1"/>
  <c r="AA636" i="36"/>
  <c r="AA441" i="36"/>
  <c r="AA449" i="36" s="1"/>
  <c r="AA445" i="36"/>
  <c r="AA607" i="36"/>
  <c r="AA612" i="36" s="1"/>
  <c r="AA693" i="36" s="1"/>
  <c r="AA743" i="36" s="1"/>
  <c r="AA580" i="36"/>
  <c r="AA681" i="36" s="1"/>
  <c r="AA730" i="36" s="1"/>
  <c r="AA576" i="36"/>
  <c r="AA581" i="36" s="1"/>
  <c r="AA692" i="36" s="1"/>
  <c r="AA549" i="36"/>
  <c r="AA680" i="36" s="1"/>
  <c r="AA729" i="36" s="1"/>
  <c r="AA545" i="36"/>
  <c r="AA550" i="36" s="1"/>
  <c r="AA691" i="36" s="1"/>
  <c r="AA514" i="36" l="1"/>
  <c r="AA519" i="36" s="1"/>
  <c r="AA690" i="36" s="1"/>
  <c r="AA740" i="36" s="1"/>
  <c r="AA482" i="36"/>
  <c r="AA487" i="36" s="1"/>
  <c r="AA678" i="36" s="1"/>
  <c r="AA727" i="36" s="1"/>
  <c r="AA641" i="36"/>
  <c r="AA672" i="36" s="1"/>
  <c r="AA720" i="36" s="1"/>
  <c r="AA637" i="36"/>
  <c r="AA444" i="36"/>
  <c r="AA450" i="36"/>
  <c r="AA705" i="36"/>
  <c r="AB9" i="40" s="1"/>
  <c r="AA704" i="36"/>
  <c r="AA742" i="36"/>
  <c r="AA703" i="36"/>
  <c r="AA741" i="36"/>
  <c r="AA702" i="36" l="1"/>
  <c r="AB6" i="40" s="1"/>
  <c r="AA483" i="36"/>
  <c r="AA488" i="36" s="1"/>
  <c r="AA689" i="36" s="1"/>
  <c r="AA701" i="36" s="1"/>
  <c r="AB5" i="40" s="1"/>
  <c r="AA642" i="36"/>
  <c r="AA683" i="36" s="1"/>
  <c r="AA732" i="36" s="1"/>
  <c r="AA638" i="36"/>
  <c r="AA643" i="36" s="1"/>
  <c r="AA694" i="36" s="1"/>
  <c r="AA455" i="36"/>
  <c r="AA666" i="36" s="1"/>
  <c r="AA663" i="36" s="1"/>
  <c r="AA451" i="36"/>
  <c r="AA456" i="36" s="1"/>
  <c r="AA677" i="36" s="1"/>
  <c r="AA726" i="36" s="1"/>
  <c r="AA757" i="36"/>
  <c r="AD61" i="4"/>
  <c r="AE58" i="4" s="1"/>
  <c r="AE59" i="4" s="1"/>
  <c r="AA755" i="36"/>
  <c r="AD39" i="4"/>
  <c r="AE35" i="4" s="1"/>
  <c r="AB7" i="40"/>
  <c r="AA756" i="36"/>
  <c r="AB8" i="40"/>
  <c r="AD49" i="4"/>
  <c r="AE46" i="4" s="1"/>
  <c r="AD28" i="4" l="1"/>
  <c r="AE24" i="4" s="1"/>
  <c r="AE31" i="4" s="1"/>
  <c r="AA754" i="36"/>
  <c r="AA739" i="36"/>
  <c r="AD17" i="4"/>
  <c r="AE14" i="4" s="1"/>
  <c r="AE18" i="4" s="1"/>
  <c r="AE17" i="5" s="1"/>
  <c r="AA753" i="36"/>
  <c r="AA452" i="36"/>
  <c r="AA457" i="36" s="1"/>
  <c r="AA688" i="36" s="1"/>
  <c r="AA700" i="36" s="1"/>
  <c r="AA706" i="36"/>
  <c r="AA744" i="36"/>
  <c r="AE64" i="4"/>
  <c r="AE60" i="4"/>
  <c r="AE52" i="5" s="1"/>
  <c r="AE53" i="5" s="1"/>
  <c r="AE50" i="5"/>
  <c r="AB43" i="36" s="1"/>
  <c r="AE62" i="4"/>
  <c r="AE54" i="5" s="1"/>
  <c r="AE47" i="4"/>
  <c r="AE52" i="4"/>
  <c r="AE40" i="5"/>
  <c r="AE48" i="4"/>
  <c r="AE42" i="5" s="1"/>
  <c r="AE50" i="4"/>
  <c r="AE31" i="5"/>
  <c r="AE37" i="4"/>
  <c r="AE40" i="4"/>
  <c r="AE42" i="4"/>
  <c r="AE38" i="4"/>
  <c r="AE33" i="5" s="1"/>
  <c r="AE26" i="4" l="1"/>
  <c r="AE22" i="5"/>
  <c r="AE23" i="5" s="1"/>
  <c r="AB12" i="36" s="1"/>
  <c r="AB495" i="36" s="1"/>
  <c r="AE27" i="4"/>
  <c r="AE24" i="5" s="1"/>
  <c r="AB26" i="36" s="1"/>
  <c r="AB494" i="36" s="1"/>
  <c r="AE29" i="4"/>
  <c r="AE30" i="4" s="1"/>
  <c r="AE27" i="5" s="1"/>
  <c r="AE19" i="4"/>
  <c r="AE18" i="5" s="1"/>
  <c r="AE15" i="4"/>
  <c r="AE16" i="4"/>
  <c r="AE15" i="5" s="1"/>
  <c r="AB25" i="36" s="1"/>
  <c r="AB463" i="36" s="1"/>
  <c r="AE13" i="5"/>
  <c r="AE14" i="5" s="1"/>
  <c r="AB11" i="36" s="1"/>
  <c r="AB464" i="36" s="1"/>
  <c r="AE20" i="4"/>
  <c r="AA738" i="36"/>
  <c r="AB40" i="36"/>
  <c r="AB51" i="36" s="1"/>
  <c r="AB88" i="36" s="1"/>
  <c r="AB10" i="40"/>
  <c r="AD72" i="4"/>
  <c r="AE69" i="4" s="1"/>
  <c r="AA758" i="36"/>
  <c r="AB4" i="40"/>
  <c r="AA752" i="36"/>
  <c r="AD9" i="4"/>
  <c r="AE7" i="4" s="1"/>
  <c r="AE63" i="4"/>
  <c r="AE55" i="5" s="1"/>
  <c r="AB29" i="36"/>
  <c r="AB587" i="36" s="1"/>
  <c r="AE51" i="5"/>
  <c r="AB15" i="36" s="1"/>
  <c r="AB588" i="36" s="1"/>
  <c r="AE34" i="5"/>
  <c r="AB27" i="36"/>
  <c r="AB525" i="36" s="1"/>
  <c r="AB41" i="36"/>
  <c r="AE32" i="5"/>
  <c r="AB13" i="36" s="1"/>
  <c r="AB526" i="36" s="1"/>
  <c r="AE51" i="4"/>
  <c r="AE45" i="5" s="1"/>
  <c r="AE44" i="5"/>
  <c r="AB28" i="36"/>
  <c r="AB556" i="36" s="1"/>
  <c r="AE43" i="5"/>
  <c r="AB74" i="36"/>
  <c r="AB159" i="36" s="1"/>
  <c r="AB169" i="36" s="1"/>
  <c r="AB54" i="36"/>
  <c r="AB91" i="36" s="1"/>
  <c r="AE41" i="4"/>
  <c r="AE36" i="5" s="1"/>
  <c r="AE35" i="5"/>
  <c r="AB42" i="36"/>
  <c r="AE41" i="5"/>
  <c r="AB14" i="36" s="1"/>
  <c r="AB557" i="36" s="1"/>
  <c r="AE26" i="5" l="1"/>
  <c r="AE25" i="5"/>
  <c r="AB39" i="36"/>
  <c r="AB50" i="36" s="1"/>
  <c r="AB87" i="36" s="1"/>
  <c r="AB100" i="36" s="1"/>
  <c r="AE16" i="5"/>
  <c r="AB71" i="36"/>
  <c r="AB156" i="36" s="1"/>
  <c r="AB166" i="36" s="1"/>
  <c r="AE60" i="5"/>
  <c r="AE73" i="4"/>
  <c r="AE75" i="4"/>
  <c r="AE71" i="4"/>
  <c r="AE62" i="5" s="1"/>
  <c r="AE70" i="4"/>
  <c r="AE8" i="4"/>
  <c r="AE5" i="5"/>
  <c r="AE10" i="4"/>
  <c r="AE7" i="5" s="1"/>
  <c r="AE8" i="5" s="1"/>
  <c r="AB104" i="36"/>
  <c r="AF47" i="41"/>
  <c r="AB53" i="36"/>
  <c r="AB90" i="36" s="1"/>
  <c r="AB73" i="36"/>
  <c r="AB158" i="36" s="1"/>
  <c r="AB168" i="36" s="1"/>
  <c r="AB52" i="36"/>
  <c r="AB89" i="36" s="1"/>
  <c r="AB72" i="36"/>
  <c r="AB157" i="36" s="1"/>
  <c r="AB167" i="36" s="1"/>
  <c r="AF44" i="41"/>
  <c r="AB101" i="36"/>
  <c r="AF43" i="41" l="1"/>
  <c r="AB70" i="36"/>
  <c r="AB155" i="36" s="1"/>
  <c r="AB165" i="36" s="1"/>
  <c r="AE63" i="5"/>
  <c r="AB30" i="36"/>
  <c r="AB618" i="36" s="1"/>
  <c r="AE74" i="4"/>
  <c r="AE65" i="5" s="1"/>
  <c r="AE64" i="5"/>
  <c r="AB44" i="36"/>
  <c r="AE61" i="5"/>
  <c r="AB16" i="36" s="1"/>
  <c r="AB619" i="36" s="1"/>
  <c r="AE6" i="5"/>
  <c r="AB10" i="36" s="1"/>
  <c r="AB432" i="36" s="1"/>
  <c r="AE9" i="5"/>
  <c r="AB38" i="36"/>
  <c r="AB113" i="36"/>
  <c r="AB496" i="36"/>
  <c r="AB493" i="36" s="1"/>
  <c r="AB589" i="36"/>
  <c r="AB586" i="36" s="1"/>
  <c r="AB116" i="36"/>
  <c r="AB102" i="36"/>
  <c r="AF45" i="41"/>
  <c r="AB103" i="36"/>
  <c r="AF46" i="41"/>
  <c r="AB465" i="36"/>
  <c r="AB462" i="36" s="1"/>
  <c r="AB112" i="36"/>
  <c r="AB75" i="36" l="1"/>
  <c r="AB160" i="36" s="1"/>
  <c r="AB170" i="36" s="1"/>
  <c r="AB55" i="36"/>
  <c r="AB92" i="36" s="1"/>
  <c r="AB49" i="36"/>
  <c r="AB81" i="36" s="1"/>
  <c r="AB83" i="36" s="1"/>
  <c r="AB99" i="36" s="1"/>
  <c r="AB69" i="36"/>
  <c r="AB154" i="36" s="1"/>
  <c r="AB164" i="36" s="1"/>
  <c r="AB527" i="36"/>
  <c r="AB524" i="36" s="1"/>
  <c r="AB114" i="36"/>
  <c r="AB558" i="36"/>
  <c r="AB555" i="36" s="1"/>
  <c r="AB115" i="36"/>
  <c r="AF48" i="41" l="1"/>
  <c r="AF49" i="41" s="1"/>
  <c r="AF55" i="41" s="1"/>
  <c r="AF67" i="41" s="1"/>
  <c r="AF30" i="41" s="1"/>
  <c r="AF10" i="41" s="1"/>
  <c r="AB105" i="36"/>
  <c r="AB171" i="36"/>
  <c r="AB433" i="36"/>
  <c r="AB430" i="36" s="1"/>
  <c r="AB111" i="36"/>
  <c r="AF76" i="41" l="1"/>
  <c r="AF84" i="41" s="1"/>
  <c r="AF54" i="41"/>
  <c r="AF66" i="41" s="1"/>
  <c r="AF29" i="41" s="1"/>
  <c r="AF9" i="41" s="1"/>
  <c r="AF57" i="41"/>
  <c r="AF69" i="41" s="1"/>
  <c r="AF32" i="41" s="1"/>
  <c r="AF12" i="41" s="1"/>
  <c r="AF56" i="41"/>
  <c r="AF68" i="41" s="1"/>
  <c r="AF31" i="41" s="1"/>
  <c r="AF11" i="41" s="1"/>
  <c r="AF53" i="41"/>
  <c r="AF65" i="41" s="1"/>
  <c r="AF74" i="41" s="1"/>
  <c r="AF58" i="41"/>
  <c r="AF70" i="41" s="1"/>
  <c r="AF79" i="41" s="1"/>
  <c r="AF110" i="41" s="1"/>
  <c r="AB620" i="36"/>
  <c r="AB617" i="36" s="1"/>
  <c r="AB117" i="36"/>
  <c r="AB118" i="36" s="1"/>
  <c r="AB123" i="36" s="1"/>
  <c r="AB178" i="36"/>
  <c r="AB181" i="36"/>
  <c r="AB180" i="36"/>
  <c r="AB179" i="36"/>
  <c r="AB176" i="36"/>
  <c r="AB177" i="36"/>
  <c r="AB175" i="36"/>
  <c r="AF107" i="41" l="1"/>
  <c r="AF28" i="41"/>
  <c r="AF8" i="41" s="1"/>
  <c r="AF33" i="41"/>
  <c r="AF13" i="41" s="1"/>
  <c r="AF87" i="41"/>
  <c r="AF75" i="41"/>
  <c r="AF83" i="41" s="1"/>
  <c r="AF78" i="41"/>
  <c r="AF109" i="41" s="1"/>
  <c r="AF77" i="41"/>
  <c r="AB133" i="36"/>
  <c r="AB146" i="36" s="1"/>
  <c r="AB132" i="36"/>
  <c r="AB145" i="36" s="1"/>
  <c r="AB136" i="36"/>
  <c r="AB149" i="36" s="1"/>
  <c r="AB135" i="36"/>
  <c r="AB148" i="36" s="1"/>
  <c r="AB138" i="36"/>
  <c r="AB151" i="36" s="1"/>
  <c r="AB137" i="36"/>
  <c r="AB150" i="36" s="1"/>
  <c r="AB134" i="36"/>
  <c r="AB147" i="36" s="1"/>
  <c r="AB182" i="36"/>
  <c r="AB214" i="36"/>
  <c r="AB215" i="36" s="1"/>
  <c r="AF105" i="41"/>
  <c r="AF82" i="41"/>
  <c r="AF106" i="41" l="1"/>
  <c r="AF86" i="41"/>
  <c r="AF108" i="41"/>
  <c r="AF85" i="41"/>
  <c r="AB152" i="36"/>
  <c r="AB139" i="36"/>
  <c r="AB141" i="36" s="1"/>
  <c r="AB195" i="36" s="1"/>
  <c r="AB205" i="36" s="1"/>
  <c r="AB232" i="36"/>
  <c r="AB218" i="36"/>
  <c r="AB235" i="36"/>
  <c r="AB220" i="36"/>
  <c r="AB230" i="36"/>
  <c r="AB231" i="36"/>
  <c r="AB233" i="36"/>
  <c r="AB234" i="36"/>
  <c r="AB222" i="36"/>
  <c r="AB217" i="36"/>
  <c r="AB229" i="36"/>
  <c r="AB219" i="36"/>
  <c r="AF88" i="41" l="1"/>
  <c r="AB194" i="36"/>
  <c r="AB204" i="36" s="1"/>
  <c r="AB193" i="36"/>
  <c r="AB203" i="36" s="1"/>
  <c r="AB196" i="36"/>
  <c r="AB206" i="36" s="1"/>
  <c r="AB190" i="36"/>
  <c r="AB200" i="36" s="1"/>
  <c r="AB191" i="36"/>
  <c r="AB201" i="36" s="1"/>
  <c r="AB192" i="36"/>
  <c r="AB202" i="36" s="1"/>
  <c r="AB239" i="36"/>
  <c r="AB240" i="36" s="1"/>
  <c r="AB207" i="36" l="1"/>
  <c r="AB197" i="36"/>
  <c r="AB209" i="36" s="1"/>
  <c r="AB259" i="36"/>
  <c r="AB243" i="36"/>
  <c r="AB246" i="36"/>
  <c r="AB247" i="36"/>
  <c r="AB245" i="36"/>
  <c r="AB242" i="36"/>
  <c r="AB254" i="36"/>
  <c r="AB257" i="36"/>
  <c r="AB255" i="36"/>
  <c r="AB260" i="36"/>
  <c r="AB258" i="36"/>
  <c r="AB256" i="36"/>
  <c r="AB248" i="36"/>
  <c r="AB223" i="36" l="1"/>
  <c r="AB221" i="36"/>
  <c r="AB264" i="36"/>
  <c r="AB265" i="36" s="1"/>
  <c r="AB224" i="36" l="1"/>
  <c r="AB226" i="36" s="1"/>
  <c r="AB244" i="36" s="1"/>
  <c r="AB249" i="36" s="1"/>
  <c r="AB251" i="36" s="1"/>
  <c r="AB269" i="36" s="1"/>
  <c r="AB285" i="36"/>
  <c r="AB279" i="36"/>
  <c r="AB281" i="36"/>
  <c r="AB273" i="36"/>
  <c r="AB267" i="36"/>
  <c r="AB282" i="36"/>
  <c r="AB280" i="36"/>
  <c r="AB272" i="36"/>
  <c r="AB268" i="36"/>
  <c r="AB284" i="36"/>
  <c r="AB271" i="36"/>
  <c r="AB270" i="36"/>
  <c r="AB283" i="36"/>
  <c r="AB289" i="36" l="1"/>
  <c r="AB290" i="36" s="1"/>
  <c r="AB274" i="36"/>
  <c r="AB276" i="36" s="1"/>
  <c r="AB296" i="36" l="1"/>
  <c r="AB304" i="36"/>
  <c r="AB308" i="36"/>
  <c r="AB309" i="36"/>
  <c r="AB306" i="36"/>
  <c r="AB305" i="36"/>
  <c r="AB293" i="36"/>
  <c r="AB292" i="36"/>
  <c r="AB294" i="36"/>
  <c r="AB295" i="36"/>
  <c r="AB298" i="36"/>
  <c r="AB310" i="36"/>
  <c r="AB297" i="36"/>
  <c r="AB307" i="36"/>
  <c r="AB299" i="36" l="1"/>
  <c r="AB301" i="36" s="1"/>
  <c r="AB314" i="36"/>
  <c r="AB315" i="36" s="1"/>
  <c r="AB331" i="36" l="1"/>
  <c r="AB333" i="36"/>
  <c r="AB330" i="36"/>
  <c r="AB320" i="36"/>
  <c r="AB319" i="36"/>
  <c r="AB323" i="36"/>
  <c r="AB321" i="36"/>
  <c r="AB335" i="36"/>
  <c r="AB334" i="36"/>
  <c r="AB318" i="36"/>
  <c r="AB317" i="36"/>
  <c r="AB329" i="36"/>
  <c r="AB322" i="36"/>
  <c r="AB332" i="36"/>
  <c r="AB339" i="36" l="1"/>
  <c r="AB340" i="36" s="1"/>
  <c r="AB344" i="36" s="1"/>
  <c r="AB324" i="36"/>
  <c r="AB326" i="36" s="1"/>
  <c r="AB357" i="36" l="1"/>
  <c r="AB346" i="36"/>
  <c r="AB348" i="36"/>
  <c r="AB342" i="36"/>
  <c r="AB359" i="36"/>
  <c r="AB347" i="36"/>
  <c r="AB356" i="36"/>
  <c r="AB360" i="36"/>
  <c r="AB358" i="36"/>
  <c r="AB343" i="36"/>
  <c r="AB355" i="36"/>
  <c r="AB354" i="36"/>
  <c r="AB345" i="36"/>
  <c r="AB364" i="36" l="1"/>
  <c r="AB365" i="36" s="1"/>
  <c r="AB383" i="36" s="1"/>
  <c r="AB349" i="36"/>
  <c r="AB351" i="36" s="1"/>
  <c r="AB367" i="36" l="1"/>
  <c r="AB390" i="36" s="1"/>
  <c r="AB401" i="36" s="1"/>
  <c r="AB373" i="36"/>
  <c r="AB396" i="36" s="1"/>
  <c r="AB423" i="36" s="1"/>
  <c r="AB616" i="36" s="1"/>
  <c r="AB623" i="36" s="1"/>
  <c r="AB372" i="36"/>
  <c r="AB395" i="36" s="1"/>
  <c r="AB406" i="36" s="1"/>
  <c r="AB369" i="36"/>
  <c r="AB392" i="36" s="1"/>
  <c r="AB419" i="36" s="1"/>
  <c r="AB492" i="36" s="1"/>
  <c r="AB499" i="36" s="1"/>
  <c r="AB502" i="36" s="1"/>
  <c r="AB508" i="36" s="1"/>
  <c r="AB380" i="36"/>
  <c r="AB371" i="36"/>
  <c r="AB394" i="36" s="1"/>
  <c r="AB405" i="36" s="1"/>
  <c r="AB370" i="36"/>
  <c r="AB393" i="36" s="1"/>
  <c r="AB420" i="36" s="1"/>
  <c r="AB523" i="36" s="1"/>
  <c r="AB530" i="36" s="1"/>
  <c r="AB533" i="36" s="1"/>
  <c r="AB539" i="36" s="1"/>
  <c r="AB384" i="36"/>
  <c r="AB368" i="36"/>
  <c r="AB391" i="36" s="1"/>
  <c r="AB418" i="36" s="1"/>
  <c r="AB461" i="36" s="1"/>
  <c r="AB468" i="36" s="1"/>
  <c r="AB381" i="36"/>
  <c r="AB385" i="36"/>
  <c r="AB379" i="36"/>
  <c r="AB382" i="36"/>
  <c r="AB417" i="36" l="1"/>
  <c r="AB429" i="36" s="1"/>
  <c r="AB436" i="36" s="1"/>
  <c r="AB440" i="36" s="1"/>
  <c r="AB447" i="36" s="1"/>
  <c r="AB402" i="36"/>
  <c r="AB407" i="36"/>
  <c r="AB421" i="36"/>
  <c r="AB554" i="36" s="1"/>
  <c r="AB561" i="36" s="1"/>
  <c r="AB564" i="36" s="1"/>
  <c r="AB570" i="36" s="1"/>
  <c r="AB422" i="36"/>
  <c r="AB585" i="36" s="1"/>
  <c r="AB592" i="36" s="1"/>
  <c r="AB594" i="36" s="1"/>
  <c r="AB600" i="36" s="1"/>
  <c r="AB532" i="36"/>
  <c r="AB538" i="36" s="1"/>
  <c r="AB404" i="36"/>
  <c r="AB534" i="36"/>
  <c r="AB540" i="36" s="1"/>
  <c r="AB397" i="36"/>
  <c r="AB403" i="36"/>
  <c r="AB501" i="36"/>
  <c r="AB507" i="36" s="1"/>
  <c r="AB503" i="36"/>
  <c r="AB509" i="36" s="1"/>
  <c r="AB374" i="36"/>
  <c r="AB376" i="36" s="1"/>
  <c r="AB627" i="36"/>
  <c r="AB633" i="36" s="1"/>
  <c r="AB625" i="36"/>
  <c r="AB626" i="36"/>
  <c r="AB632" i="36" s="1"/>
  <c r="AB472" i="36"/>
  <c r="AB478" i="36" s="1"/>
  <c r="AB470" i="36"/>
  <c r="AB471" i="36"/>
  <c r="AB477" i="36" s="1"/>
  <c r="AB439" i="36" l="1"/>
  <c r="AB446" i="36" s="1"/>
  <c r="AB438" i="36"/>
  <c r="AB445" i="36" s="1"/>
  <c r="AB565" i="36"/>
  <c r="AB571" i="36" s="1"/>
  <c r="AB563" i="36"/>
  <c r="AB569" i="36" s="1"/>
  <c r="AB596" i="36"/>
  <c r="AB602" i="36" s="1"/>
  <c r="AB506" i="36"/>
  <c r="AB595" i="36"/>
  <c r="AB601" i="36" s="1"/>
  <c r="AB537" i="36"/>
  <c r="AB535" i="36"/>
  <c r="AB542" i="36" s="1"/>
  <c r="AB543" i="36" s="1"/>
  <c r="AB544" i="36" s="1"/>
  <c r="AB549" i="36" s="1"/>
  <c r="AB680" i="36" s="1"/>
  <c r="AB729" i="36" s="1"/>
  <c r="AB504" i="36"/>
  <c r="AB511" i="36" s="1"/>
  <c r="AB512" i="36" s="1"/>
  <c r="AB513" i="36" s="1"/>
  <c r="AB518" i="36" s="1"/>
  <c r="AB679" i="36" s="1"/>
  <c r="AB728" i="36" s="1"/>
  <c r="AB628" i="36"/>
  <c r="AB635" i="36" s="1"/>
  <c r="AB631" i="36"/>
  <c r="AB630" i="36" s="1"/>
  <c r="AB473" i="36"/>
  <c r="AB480" i="36" s="1"/>
  <c r="AB476" i="36"/>
  <c r="AB475" i="36" s="1"/>
  <c r="AB441" i="36" l="1"/>
  <c r="AB449" i="36" s="1"/>
  <c r="AB450" i="36" s="1"/>
  <c r="AB451" i="36" s="1"/>
  <c r="AB456" i="36" s="1"/>
  <c r="AB677" i="36" s="1"/>
  <c r="AB726" i="36" s="1"/>
  <c r="AB444" i="36"/>
  <c r="AB568" i="36"/>
  <c r="AB566" i="36"/>
  <c r="AB573" i="36" s="1"/>
  <c r="AB574" i="36" s="1"/>
  <c r="AB599" i="36"/>
  <c r="AB597" i="36"/>
  <c r="AB604" i="36" s="1"/>
  <c r="AB605" i="36" s="1"/>
  <c r="AB606" i="36" s="1"/>
  <c r="AB611" i="36" s="1"/>
  <c r="AB682" i="36" s="1"/>
  <c r="AB731" i="36" s="1"/>
  <c r="AB514" i="36"/>
  <c r="AB519" i="36" s="1"/>
  <c r="AB690" i="36" s="1"/>
  <c r="AB702" i="36" s="1"/>
  <c r="AB545" i="36"/>
  <c r="AB550" i="36" s="1"/>
  <c r="AB691" i="36" s="1"/>
  <c r="AB703" i="36" s="1"/>
  <c r="AB517" i="36"/>
  <c r="AB668" i="36" s="1"/>
  <c r="AB716" i="36" s="1"/>
  <c r="AB548" i="36"/>
  <c r="AB669" i="36" s="1"/>
  <c r="AB717" i="36" s="1"/>
  <c r="AB636" i="36"/>
  <c r="AB481" i="36"/>
  <c r="AB455" i="36" l="1"/>
  <c r="AB666" i="36" s="1"/>
  <c r="AB452" i="36"/>
  <c r="AB457" i="36" s="1"/>
  <c r="AB688" i="36" s="1"/>
  <c r="AB700" i="36" s="1"/>
  <c r="AB610" i="36"/>
  <c r="AB671" i="36" s="1"/>
  <c r="AB719" i="36" s="1"/>
  <c r="AB740" i="36"/>
  <c r="AB741" i="36"/>
  <c r="AB607" i="36"/>
  <c r="AB612" i="36" s="1"/>
  <c r="AB693" i="36" s="1"/>
  <c r="AB705" i="36" s="1"/>
  <c r="AE61" i="4" s="1"/>
  <c r="AB575" i="36"/>
  <c r="AB580" i="36" s="1"/>
  <c r="AB681" i="36" s="1"/>
  <c r="AB730" i="36" s="1"/>
  <c r="AB579" i="36"/>
  <c r="AB670" i="36" s="1"/>
  <c r="AB718" i="36" s="1"/>
  <c r="AB641" i="36"/>
  <c r="AB672" i="36" s="1"/>
  <c r="AB720" i="36" s="1"/>
  <c r="AB637" i="36"/>
  <c r="AB482" i="36"/>
  <c r="AB487" i="36" s="1"/>
  <c r="AB678" i="36" s="1"/>
  <c r="AB727" i="36" s="1"/>
  <c r="AB486" i="36"/>
  <c r="AB667" i="36" s="1"/>
  <c r="AB715" i="36" s="1"/>
  <c r="AB754" i="36"/>
  <c r="AE28" i="4"/>
  <c r="AB755" i="36"/>
  <c r="AE39" i="4"/>
  <c r="AB738" i="36" l="1"/>
  <c r="AB757" i="36"/>
  <c r="AB743" i="36"/>
  <c r="AB576" i="36"/>
  <c r="AB581" i="36" s="1"/>
  <c r="AB692" i="36" s="1"/>
  <c r="AB742" i="36" s="1"/>
  <c r="AB483" i="36"/>
  <c r="AB488" i="36" s="1"/>
  <c r="AB689" i="36" s="1"/>
  <c r="AB739" i="36" s="1"/>
  <c r="AB642" i="36"/>
  <c r="AB683" i="36" s="1"/>
  <c r="AB732" i="36" s="1"/>
  <c r="AB638" i="36"/>
  <c r="AB643" i="36" s="1"/>
  <c r="AB694" i="36" s="1"/>
  <c r="AB663" i="36"/>
  <c r="AB752" i="36"/>
  <c r="AE9" i="4"/>
  <c r="AB701" i="36" l="1"/>
  <c r="AE17" i="4" s="1"/>
  <c r="AB704" i="36"/>
  <c r="AB756" i="36" s="1"/>
  <c r="AB706" i="36"/>
  <c r="AB744" i="36"/>
  <c r="AB753" i="36" l="1"/>
  <c r="AE49" i="4"/>
  <c r="AE72" i="4"/>
  <c r="AB758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Яковлева Лидия Леонидовна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начинаем с 2014 (№ 9)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мощностей отрасли на человека)
</t>
        </r>
      </text>
    </comment>
    <comment ref="AC14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Убрали</t>
        </r>
      </text>
    </comment>
    <comment ref="N15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
Коэфф-ты задаются в массиве KoefRostTarif
</t>
        </r>
      </text>
    </comment>
    <comment ref="D23" authorId="1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определяет сценарий развития свободного рыночного сектора в РегЭкономике
</t>
        </r>
      </text>
    </comment>
    <comment ref="G26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НИГДЕ не используем!!!</t>
        </r>
      </text>
    </comment>
    <comment ref="N26" authorId="0" shapeId="0" xr:uid="{00000000-0006-0000-0000-000007000000}">
      <text>
        <r>
          <rPr>
            <sz val="9"/>
            <color indexed="81"/>
            <rFont val="Tahoma"/>
            <family val="2"/>
            <charset val="204"/>
          </rPr>
          <t xml:space="preserve">
Коэфф-ты задаются в массиве KoefRostZPl
</t>
        </r>
      </text>
    </comment>
    <comment ref="T26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Задаём сами!!!</t>
        </r>
      </text>
    </comment>
    <comment ref="T65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Степень достижения цели
</t>
        </r>
      </text>
    </comment>
    <comment ref="AA66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Степень удовлетворения заявок
</t>
        </r>
      </text>
    </comment>
    <comment ref="J79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денег от населения хватает на всё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Lavlin</author>
  </authors>
  <commentList>
    <comment ref="A38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04"/>
          </rPr>
          <t xml:space="preserve">Lavlin:темп разрушения с норм. ЭЗ
</t>
        </r>
      </text>
    </comment>
    <comment ref="A39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темп разрушения с нулевыми ЭЗ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  <author>Windows User</author>
  </authors>
  <commentList>
    <comment ref="F16" authorId="0" shapeId="0" xr:uid="{00000000-0006-0000-0200-000001000000}">
      <text>
        <r>
          <rPr>
            <b/>
            <sz val="8"/>
            <color indexed="81"/>
            <rFont val="Tahoma"/>
            <family val="2"/>
            <charset val="204"/>
          </rPr>
          <t>Home:</t>
        </r>
        <r>
          <rPr>
            <sz val="8"/>
            <color indexed="81"/>
            <rFont val="Tahoma"/>
            <family val="2"/>
            <charset val="204"/>
          </rPr>
          <t xml:space="preserve">
!!!!   по данным из бюджета зарплата  ок. 510 млн
надо менять число занятых
</t>
        </r>
      </text>
    </comment>
    <comment ref="F27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данным бюджета ЗП 6 млрд
Надо менять число занятых по отрасли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Lavlin</author>
    <author>Яковлева Лидия Леонидовна</author>
  </authors>
  <commentList>
    <comment ref="C7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до 2017 года 
примерные данные</t>
        </r>
      </text>
    </comment>
    <comment ref="H16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фактически это налоги в бюджет</t>
        </r>
      </text>
    </comment>
    <comment ref="G17" authorId="1" shapeId="0" xr:uid="{00000000-0006-0000-0400-000003000000}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к-т нормировки 
синего вектора 
j18:j23</t>
        </r>
      </text>
    </comment>
    <comment ref="F23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нач сост БД</t>
        </r>
      </text>
    </comment>
    <comment ref="G42" authorId="2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делим на мощности в базовом году</t>
        </r>
      </text>
    </comment>
    <comment ref="H43" authorId="2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делим на мощности предыдущего года</t>
        </r>
      </text>
    </comment>
    <comment ref="S60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количество денег с учётом инфляции</t>
        </r>
      </text>
    </comment>
    <comment ref="S88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собственные доходы КБ, интерфейс в БД
</t>
        </r>
      </text>
    </comment>
    <comment ref="M91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потребительский сектор</t>
        </r>
      </text>
    </comment>
    <comment ref="T97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учли в сценариях ввода за счёт населения</t>
        </r>
      </text>
    </comment>
    <comment ref="T100" authorId="0" shapeId="0" xr:uid="{00000000-0006-0000-04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учёт выбытия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XTreme</author>
    <author>Windows User</author>
  </authors>
  <commentList>
    <comment ref="B82" authorId="0" shapeId="0" xr:uid="{00000000-0006-0000-0500-000001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по ретро доля ввода за счет населения 05-13гг  в среднем ок 30%
</t>
        </r>
      </text>
    </comment>
    <comment ref="M111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Т.к. объём средств от населения превышает выделенный объём из бюджета
ФОРМУЛА
M88+M24+M10-'Лист2_прогнозные цены'!P8</t>
        </r>
      </text>
    </comment>
    <comment ref="A212" authorId="1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37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62" authorId="1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87" authorId="1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12" authorId="1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37" authorId="1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62" authorId="1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B430" authorId="1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БЕЗ платы населения!!!</t>
        </r>
      </text>
    </comment>
    <comment ref="C468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??? =МИН(C439/C440;1)</t>
        </r>
      </text>
    </comment>
    <comment ref="A749" authorId="1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 xml:space="preserve">Windows User
</t>
        </r>
        <r>
          <rPr>
            <sz val="9"/>
            <color indexed="81"/>
            <rFont val="Tahoma"/>
            <family val="2"/>
            <charset val="204"/>
          </rPr>
          <t xml:space="preserve">Т.е. это фактический дефицит бюджета для реализации потребностей отрасли
</t>
        </r>
      </text>
    </comment>
    <comment ref="C752" authorId="1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Нельзя копировать формулу с 1-ой строки!!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кафедра ПИМ</author>
    <author>Windows User</author>
  </authors>
  <commentList>
    <comment ref="B3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кафедра ПИМ:</t>
        </r>
        <r>
          <rPr>
            <sz val="9"/>
            <color indexed="81"/>
            <rFont val="Tahoma"/>
            <family val="2"/>
            <charset val="204"/>
          </rPr>
          <t xml:space="preserve">
Это регулятор</t>
        </r>
      </text>
    </comment>
    <comment ref="E5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кафедра ПИМ:</t>
        </r>
        <r>
          <rPr>
            <sz val="9"/>
            <color indexed="81"/>
            <rFont val="Tahoma"/>
            <family val="2"/>
            <charset val="204"/>
          </rPr>
          <t xml:space="preserve">
сделать единицы, т.к. это регулятор</t>
        </r>
      </text>
    </comment>
    <comment ref="A16" authorId="1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Исправлено 24-07-15</t>
        </r>
      </text>
    </comment>
  </commentList>
</comments>
</file>

<file path=xl/sharedStrings.xml><?xml version="1.0" encoding="utf-8"?>
<sst xmlns="http://schemas.openxmlformats.org/spreadsheetml/2006/main" count="1045" uniqueCount="268">
  <si>
    <t>жилой фонд</t>
  </si>
  <si>
    <t>культура</t>
  </si>
  <si>
    <t>физическая культура</t>
  </si>
  <si>
    <t>дошкольные учреждения</t>
  </si>
  <si>
    <t>школы</t>
  </si>
  <si>
    <t>больницы</t>
  </si>
  <si>
    <t>поликлиники</t>
  </si>
  <si>
    <t>БАЗОВЫЕ ЦЕНЫ !!!!!!!!!!!!!!!!!!!!!!</t>
  </si>
  <si>
    <t>ГОССЕКТОР</t>
  </si>
  <si>
    <t>Мощности непроизводственной сферы на начало года, нат.ед</t>
  </si>
  <si>
    <t>Эксплозатраты текущего года - план (тыс.руб)</t>
  </si>
  <si>
    <t>Ввод новых мощностей текущего года - факт, нат.ед.</t>
  </si>
  <si>
    <t>число занятых (тыс. чел)</t>
  </si>
  <si>
    <t>Прогнозные цены!!!!!!!!!!!!!!!!</t>
  </si>
  <si>
    <t>Эксплозатраты текущего года - прогноз (тыс.руб)</t>
  </si>
  <si>
    <t>ФЗП (тыс. руб.)-план</t>
  </si>
  <si>
    <t>подоходный налог в МБ (тыс. руб.)</t>
  </si>
  <si>
    <t>Плата населения (тыс.руб) (ПЛАН)</t>
  </si>
  <si>
    <t>Плата населения (тыс.руб) (факт)</t>
  </si>
  <si>
    <t>Ввод новых мощностей текущего года ЗА СЧЕТ БЮДЖЕТА- факт, нат.ед.</t>
  </si>
  <si>
    <t>Ввод новых мощностей текущего года ЗА СЧЕТ НАСЕЛЕНИЯ- факт, нат.ед.</t>
  </si>
  <si>
    <t>Плата населения всего (тыс.руб) (ПЛАН)</t>
  </si>
  <si>
    <t>Плата населения всего (тыс.руб) (факт)</t>
  </si>
  <si>
    <r>
      <t>Эксплозатраты текущего года,плата населения,число занятых--</t>
    </r>
    <r>
      <rPr>
        <b/>
        <sz val="8"/>
        <color indexed="8"/>
        <rFont val="Arial Cyr"/>
        <family val="2"/>
        <charset val="204"/>
      </rPr>
      <t xml:space="preserve"> НА НАЧАЛО ГОДА</t>
    </r>
  </si>
  <si>
    <t>DiTarifNas[NOTRNEPR, 20]</t>
  </si>
  <si>
    <t>DiZPGOSNS[NOTRNEPR, 20]</t>
  </si>
  <si>
    <t>Мощности непроизводственной сферы на начало года, нат.ед (кв м)</t>
  </si>
  <si>
    <t>По данным статистики</t>
  </si>
  <si>
    <t>больницы (коек)</t>
  </si>
  <si>
    <t>общее образование</t>
  </si>
  <si>
    <t>Динамика тарифа для населения (по каждой отрасли) массив DiTarifNas</t>
  </si>
  <si>
    <t>Сценарий инфляции</t>
  </si>
  <si>
    <t>Сценарий  доли НС</t>
  </si>
  <si>
    <t>темпы роста</t>
  </si>
  <si>
    <t>ВВОД НОВЫХ МОЩНОСТЕЙ</t>
  </si>
  <si>
    <t>ИНДИКАТИВНЫЙ ПЛАН</t>
  </si>
  <si>
    <t>жилье</t>
  </si>
  <si>
    <t>INDPLAN</t>
  </si>
  <si>
    <t>Мощности текущие</t>
  </si>
  <si>
    <t>дошкольники</t>
  </si>
  <si>
    <t>школьники</t>
  </si>
  <si>
    <t xml:space="preserve">жилой фонд </t>
  </si>
  <si>
    <t>население</t>
  </si>
  <si>
    <t>жилой фонд (кв. м)</t>
  </si>
  <si>
    <t>поликлиники (посещений в смену)</t>
  </si>
  <si>
    <t>культура (кв.м)</t>
  </si>
  <si>
    <t>физическая культура (кв.м)</t>
  </si>
  <si>
    <t>дошкольные учреждения (мест)</t>
  </si>
  <si>
    <t>общее образование (мест)</t>
  </si>
  <si>
    <t>Реципиенты (тыс чел)</t>
  </si>
  <si>
    <t>Текущие потребности отраслей в прогнозных ценах</t>
  </si>
  <si>
    <t>Динамика роста зарплаты в гос секторе массив DiZPGOSNS (можем регулировать коэфф роста)</t>
  </si>
  <si>
    <t>прогнозирование</t>
  </si>
  <si>
    <t>ФЗП (тыс. руб)</t>
  </si>
  <si>
    <t>мощностей отрасли на человека</t>
  </si>
  <si>
    <t>Сценарий ввода жилья за сч насел</t>
  </si>
  <si>
    <t>Всего</t>
  </si>
  <si>
    <t>ObchObFinansOtr [7;26]</t>
  </si>
  <si>
    <t>Общий требуемый объем финансирования для отраслей</t>
  </si>
  <si>
    <t>Индекс удовлетворения заявок</t>
  </si>
  <si>
    <t>ввод  за счет населения ( кв. метров) в текущем году</t>
  </si>
  <si>
    <t>Заявка на ввод, квл тыс. руб.</t>
  </si>
  <si>
    <t xml:space="preserve">Имеющийся объем средств бюджета, направляемы на НС в текущем году </t>
  </si>
  <si>
    <t>Нужны новые мощности для ЖИЛОГО ФОНДа (кв. м)</t>
  </si>
  <si>
    <t>Нужны новые мощности для остальных отраслей</t>
  </si>
  <si>
    <t>необходимый ввод за счет бюджета (кв. м.)</t>
  </si>
  <si>
    <t>Разница между необходимым вводом и вводом который "позволяет" бюджет</t>
  </si>
  <si>
    <t>VvodNewMosh[7;26]</t>
  </si>
  <si>
    <t>Ввод новых объектов за счет бюджета, ед. -фактически возможный</t>
  </si>
  <si>
    <t>жилой фонд (метров на чел)</t>
  </si>
  <si>
    <t>дошкольные учреждения (мест на ребенка)</t>
  </si>
  <si>
    <t>Финансирование отраслей - факт (с учетом платежей населения)</t>
  </si>
  <si>
    <t>И теперь использовать ввод и фактические эксплуатационные затраты, подставив их в соответствующие места - строки с мощностями и вводом мощностей на листе 1!!!!!!!!!!!!!!!!!!!</t>
  </si>
  <si>
    <t>общее полное образование</t>
  </si>
  <si>
    <t>налог на имущество (тыс.  руб)</t>
  </si>
  <si>
    <t>Индикатор текущей обеспеченности (в натур ед)</t>
  </si>
  <si>
    <t>Эксплозатраты (тыс руб)</t>
  </si>
  <si>
    <t>Динамика  тарифа для населения ( по сравнению с  предыдущим годом в прогнозных ценах)</t>
  </si>
  <si>
    <t>кумулятивные индексы тарифов  в прогнозных ценах</t>
  </si>
  <si>
    <t>кумулятивные индексы тарифов  в базовых ценах</t>
  </si>
  <si>
    <t>Cumindtarif</t>
  </si>
  <si>
    <t>CumIndFZP</t>
  </si>
  <si>
    <t>кумулятивные индексы зараб платы  в прогнозных ценах</t>
  </si>
  <si>
    <t>кумулятивные индексы зараб платы  в базовых ценах</t>
  </si>
  <si>
    <t>INDPLAN-2014</t>
  </si>
  <si>
    <t>Динамика зарплаты госслужащих в госсекторе НС ( по сравнению с  предыдущим годом в прогнозных ценах)</t>
  </si>
  <si>
    <t>!!!!!!!!!!!! СМ</t>
  </si>
  <si>
    <t>"Недобор"</t>
  </si>
  <si>
    <t>Процедура равномерного удовлетворения заявок: первый шаг</t>
  </si>
  <si>
    <t>доля пропорциональной части</t>
  </si>
  <si>
    <t>первый кусок</t>
  </si>
  <si>
    <t>второй шаг</t>
  </si>
  <si>
    <t>ПРИОРИТЕТЫ ИНДИКАТИВНОГО ПЛАНА</t>
  </si>
  <si>
    <t>sum</t>
  </si>
  <si>
    <t>нормированные приоритеты</t>
  </si>
  <si>
    <t>Распределение по приоритету</t>
  </si>
  <si>
    <t>итого</t>
  </si>
  <si>
    <t>неудовлетворенные заявки</t>
  </si>
  <si>
    <t>шаг 2</t>
  </si>
  <si>
    <t>нераспределенных ресурсов</t>
  </si>
  <si>
    <t>распределяем пропорционально приоритетам</t>
  </si>
  <si>
    <t>шаг 3</t>
  </si>
  <si>
    <t>остаток распределяем по очереди</t>
  </si>
  <si>
    <t>1 место</t>
  </si>
  <si>
    <t>макс1</t>
  </si>
  <si>
    <t xml:space="preserve">доля, распределяемая пропорционально приоритету </t>
  </si>
  <si>
    <t>2 место</t>
  </si>
  <si>
    <t>макс2</t>
  </si>
  <si>
    <t>отрасль  с максимумом1</t>
  </si>
  <si>
    <t>отрасль  с максимумом2</t>
  </si>
  <si>
    <t>выдали</t>
  </si>
  <si>
    <t>3 место</t>
  </si>
  <si>
    <t>макс3</t>
  </si>
  <si>
    <t>отрасль  с максимумом3</t>
  </si>
  <si>
    <t>4 место</t>
  </si>
  <si>
    <t>макс4</t>
  </si>
  <si>
    <t>отрасль  с максимумом4</t>
  </si>
  <si>
    <t>5 место</t>
  </si>
  <si>
    <t>макс5</t>
  </si>
  <si>
    <t>отрасль  с максимумом5</t>
  </si>
  <si>
    <t>6 место</t>
  </si>
  <si>
    <t>макс6</t>
  </si>
  <si>
    <t>отрасль  с максимумом6</t>
  </si>
  <si>
    <t>7 место</t>
  </si>
  <si>
    <t>макс7</t>
  </si>
  <si>
    <t>отрасль  с максимумом7</t>
  </si>
  <si>
    <t>ИТОГО получено отраслями из бюджета</t>
  </si>
  <si>
    <t>Степень удовлетворения заявок</t>
  </si>
  <si>
    <t>Для распределения бюджета</t>
  </si>
  <si>
    <t>Doli_Prop_1[7;25]</t>
  </si>
  <si>
    <t xml:space="preserve">Doli_Prop_1[7;25] </t>
  </si>
  <si>
    <t>Процедура распределения по приоритету</t>
  </si>
  <si>
    <t>Doli_Prior [7;25]</t>
  </si>
  <si>
    <t>Doli_Prior</t>
  </si>
  <si>
    <t>РАСПРЕДЕЛИЛИ!!!</t>
  </si>
  <si>
    <r>
      <t xml:space="preserve">нераспределенных ресурсов </t>
    </r>
    <r>
      <rPr>
        <b/>
        <i/>
        <sz val="10"/>
        <color indexed="10"/>
        <rFont val="Arial Cyr"/>
        <charset val="204"/>
      </rPr>
      <t>ПРОФИЦИТ</t>
    </r>
  </si>
  <si>
    <t>выделено</t>
  </si>
  <si>
    <t>потребности</t>
  </si>
  <si>
    <t>оплата труда</t>
  </si>
  <si>
    <t>эксплозатраты</t>
  </si>
  <si>
    <t>капвложения</t>
  </si>
  <si>
    <t>доля пропорционального распределения по статьям</t>
  </si>
  <si>
    <t>к-т</t>
  </si>
  <si>
    <t xml:space="preserve">шаг1 </t>
  </si>
  <si>
    <t>имеется</t>
  </si>
  <si>
    <t>раздали после 1-го шага</t>
  </si>
  <si>
    <t>итого распределили</t>
  </si>
  <si>
    <t>Распределение общего финансирования отрасли по статьям расходов</t>
  </si>
  <si>
    <t>Распределение общего финансирования  по статьям</t>
  </si>
  <si>
    <t>Оплата труда - факт</t>
  </si>
  <si>
    <t>Эксплуатационные затраты - факт</t>
  </si>
  <si>
    <t>Expl_zatrat_fact[7;26]</t>
  </si>
  <si>
    <t>Собрано в кучу</t>
  </si>
  <si>
    <t>Доля удовлетворённости отрасли по статьям расходов</t>
  </si>
  <si>
    <t>Оплата труда</t>
  </si>
  <si>
    <t xml:space="preserve">Эксплуатационные затраты </t>
  </si>
  <si>
    <t xml:space="preserve">Капитальные вложения </t>
  </si>
  <si>
    <t>ГОД</t>
  </si>
  <si>
    <t>мощности</t>
  </si>
  <si>
    <t>ввод</t>
  </si>
  <si>
    <t>экспл2-fact</t>
  </si>
  <si>
    <t>экспл1-plan</t>
  </si>
  <si>
    <t>normprio</t>
  </si>
  <si>
    <t>IndUdZa</t>
  </si>
  <si>
    <t>StepUdZa</t>
  </si>
  <si>
    <t>Доля пропорционального распределения по статьям</t>
  </si>
  <si>
    <t>Doli_Prop_st [7;25]</t>
  </si>
  <si>
    <t>матрица дисперсий с модулем</t>
  </si>
  <si>
    <t>!!!!!</t>
  </si>
  <si>
    <t>год</t>
  </si>
  <si>
    <t>Инд_план</t>
  </si>
  <si>
    <t>РАСПРЕДЕЛЕНИЕ БЮЖЕТА</t>
  </si>
  <si>
    <t>Doli_Prop_1[1;25]</t>
  </si>
  <si>
    <t>Doli_Prior [1;25]</t>
  </si>
  <si>
    <t>Doli_Prop_st [1;25]</t>
  </si>
  <si>
    <t>№ отрасли</t>
  </si>
  <si>
    <t>ЖКХ</t>
  </si>
  <si>
    <t>ПОКАЗАТЕЛИ ПО ОТРАСЛЯМ</t>
  </si>
  <si>
    <t>2 Дошкольное</t>
  </si>
  <si>
    <t>3 Общее образование</t>
  </si>
  <si>
    <t>4 Больницы</t>
  </si>
  <si>
    <t>5 Поликлиники</t>
  </si>
  <si>
    <t>6 Культура</t>
  </si>
  <si>
    <t>7 Физич культура</t>
  </si>
  <si>
    <t>БЮДЖЕТ</t>
  </si>
  <si>
    <t>Общий требуемый объем финансирования ИЗ БЮДЖЕТА для отраслей</t>
  </si>
  <si>
    <t>Текущие потребности(заявка)</t>
  </si>
  <si>
    <t>Фактическое финансирование  отраслей (с учетом платежей населения), тыс. руб.</t>
  </si>
  <si>
    <t>ФАКТ</t>
  </si>
  <si>
    <t>ПЛАНОВЫЕ ЗНАЧЕНИЯ ОБЕСПЕЧЕННОСТИ МОЩНОСТЯМИ ОТРАСЛЕЙ</t>
  </si>
  <si>
    <t>необходимо увеличение?</t>
  </si>
  <si>
    <t>УПРАВЛЕНИЕ</t>
  </si>
  <si>
    <t>РЕЗУЛЬТАТЫ</t>
  </si>
  <si>
    <t>2 инерционный</t>
  </si>
  <si>
    <t>3 пессимизм</t>
  </si>
  <si>
    <t>1 оптимизм</t>
  </si>
  <si>
    <t>Дошкольное</t>
  </si>
  <si>
    <t>Больницы</t>
  </si>
  <si>
    <t>Поликлиники</t>
  </si>
  <si>
    <t>Культура</t>
  </si>
  <si>
    <t>физ-ра</t>
  </si>
  <si>
    <t>Мощности</t>
  </si>
  <si>
    <t>Ввод</t>
  </si>
  <si>
    <t>Обеспеченность</t>
  </si>
  <si>
    <t>кв.м/чел</t>
  </si>
  <si>
    <t>кв.м.</t>
  </si>
  <si>
    <t>мест</t>
  </si>
  <si>
    <t>мест(коек)</t>
  </si>
  <si>
    <t>посещений в смену</t>
  </si>
  <si>
    <t xml:space="preserve">кв. м. </t>
  </si>
  <si>
    <t>тыс. кв.м.</t>
  </si>
  <si>
    <t xml:space="preserve">Имеющийся объем средств бюджета, направляемых на НС в текущем году </t>
  </si>
  <si>
    <t>Сценарий роста зар плат в БС</t>
  </si>
  <si>
    <t>Коэфф-т роста зар плат (в текущ году)</t>
  </si>
  <si>
    <t xml:space="preserve">Износ в текущем году </t>
  </si>
  <si>
    <t>необходимые  новые мощности, которые нужно построить в текущем году для достижения эталона В СЛЕДУЮЩЕМ ГОДУ!!!!!!!!</t>
  </si>
  <si>
    <t>недотягиваем до индплана текущего года</t>
  </si>
  <si>
    <t>Сценарии роста тарифов</t>
  </si>
  <si>
    <t>----</t>
  </si>
  <si>
    <t>KoefRostTarif[7;17]</t>
  </si>
  <si>
    <t>KoefRostZPl[7;17]</t>
  </si>
  <si>
    <t>Коэфф-т роста тарифов (в текущем году)</t>
  </si>
  <si>
    <t>Коэфф-т роста зар плат</t>
  </si>
  <si>
    <t>-</t>
  </si>
  <si>
    <t>Динамика зарплаты  в госсекторе НС ( по сравнению с  предыдущим годом в прогнозных ценах)</t>
  </si>
  <si>
    <t>Коэфф-т роста тарифов (дельта превышения уровня инфляции)</t>
  </si>
  <si>
    <t>обеспеченность старта относительноэталона</t>
  </si>
  <si>
    <t>массив stobesp</t>
  </si>
  <si>
    <t>Сценарий собственных доходов</t>
  </si>
  <si>
    <t>Сценарий доли помощи ФБ</t>
  </si>
  <si>
    <t>Сценарий социальных трансфертов КБ</t>
  </si>
  <si>
    <t>Сценарий социальных трансфертов ФБ</t>
  </si>
  <si>
    <t>Начальное состояние мощностей</t>
  </si>
  <si>
    <t>РЫНОЧНЫЙ СЕКТОР СОЦИАЛЬНОЙ СФЕРЫ</t>
  </si>
  <si>
    <t>Нормативы амортизации</t>
  </si>
  <si>
    <t>%</t>
  </si>
  <si>
    <t xml:space="preserve">Распределение платежеспособного спроса между отраслями </t>
  </si>
  <si>
    <t>Характеристика узости ресурса (доли)</t>
  </si>
  <si>
    <t xml:space="preserve">Нормирование </t>
  </si>
  <si>
    <t xml:space="preserve">потребность в мощностях для текущего спроса </t>
  </si>
  <si>
    <t>базовые цены!!!!!!!!!</t>
  </si>
  <si>
    <t>объем услуг</t>
  </si>
  <si>
    <t xml:space="preserve">дефлятор </t>
  </si>
  <si>
    <t>текущие цены млн руб</t>
  </si>
  <si>
    <t xml:space="preserve">ЭФФЕКТЫ </t>
  </si>
  <si>
    <t xml:space="preserve">доля первички в спросе на жилье </t>
  </si>
  <si>
    <t>DolPervSprocGil</t>
  </si>
  <si>
    <t>Жилье</t>
  </si>
  <si>
    <t>ввод за счет населения</t>
  </si>
  <si>
    <t xml:space="preserve">1 кв.м. 2017 </t>
  </si>
  <si>
    <t>дефлятор 2017 ПС</t>
  </si>
  <si>
    <t>жилье, построенное за счет населения  кв м</t>
  </si>
  <si>
    <t>итого  налогов</t>
  </si>
  <si>
    <t xml:space="preserve">построили кв м </t>
  </si>
  <si>
    <t>норматив   амортизации %</t>
  </si>
  <si>
    <t>ХАРАКТЕРИСТИКИ (коэффициенты)</t>
  </si>
  <si>
    <t>Доходы КБ с объема услуг % текущие цены</t>
  </si>
  <si>
    <t>Распределение спроса домохозяйств</t>
  </si>
  <si>
    <t>Объем услуг на единицу мощностей (млн руб услуг данного вида/единицу мощности, в ценах базового года)</t>
  </si>
  <si>
    <t>Новое жилье, построенное населением начиная с 2018 года</t>
  </si>
  <si>
    <t>цена кв м  в текущих ценах(млн.руб)</t>
  </si>
  <si>
    <t>налоги в КБ текущие цены</t>
  </si>
  <si>
    <t>демультипликатор спроса</t>
  </si>
  <si>
    <t>Объем услуг на единицу мощностей оптимистическая оценка) (млн руб услуг данного вида/единицу мощности, в ценах базового года)</t>
  </si>
  <si>
    <t>доля пропорционального распределения спроса домохозяйств (платные услуги)</t>
  </si>
  <si>
    <t>Ввод новых мощностей за счёт населения</t>
  </si>
  <si>
    <t>зарплата (из отчётов КБ)</t>
  </si>
  <si>
    <t>!!!! Капитальные вложения - факт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</si>
</sst>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\ _₽_-;\-* #,##0.00\ _₽_-;_-* &quot;-&quot;??\ _₽_-;_-@_-"/>
    <numFmt numFmtId="164" formatCode="_-* #,##0.00_р_._-;\-* #,##0.00_р_._-;_-* &quot;-&quot;??_р_._-;_-@_-"/>
    <numFmt numFmtId="165" formatCode="0.0"/>
    <numFmt numFmtId="166" formatCode="0.000"/>
    <numFmt numFmtId="167" formatCode="0.0000"/>
    <numFmt numFmtId="168" formatCode="_-* #,##0.0000_р_._-;\-* #,##0.0000_р_._-;_-* &quot;-&quot;??_р_._-;_-@_-"/>
    <numFmt numFmtId="169" formatCode="0.000000"/>
    <numFmt numFmtId="170" formatCode="0.00000"/>
    <numFmt numFmtId="171" formatCode="_-* #,##0.000_р_._-;\-* #,##0.000_р_._-;_-* &quot;-&quot;??_р_._-;_-@_-"/>
    <numFmt numFmtId="172" formatCode="_-* #,##0.0_р_._-;\-* #,##0.0_р_._-;_-* &quot;-&quot;??_р_._-;_-@_-"/>
    <numFmt numFmtId="173" formatCode="_-* #,##0_р_._-;\-* #,##0_р_._-;_-* &quot;-&quot;??_р_._-;_-@_-"/>
    <numFmt numFmtId="174" formatCode="#,##0.00_ ;\-#,##0.00\ "/>
    <numFmt numFmtId="175" formatCode="0.000000000"/>
    <numFmt numFmtId="176" formatCode="_-* #,##0.00000_р_._-;\-* #,##0.00000_р_._-;_-* &quot;-&quot;??_р_._-;_-@_-"/>
    <numFmt numFmtId="177" formatCode="0.000%"/>
    <numFmt numFmtId="178" formatCode="_-* #,##0.000000_р_._-;\-* #,##0.000000_р_._-;_-* &quot;-&quot;??_р_._-;_-@_-"/>
    <numFmt numFmtId="179" formatCode="0.000;[Red]0.000"/>
    <numFmt numFmtId="180" formatCode="0.0%"/>
  </numFmts>
  <fonts count="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</font>
    <font>
      <sz val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color indexed="8"/>
      <name val="Arial Cyr"/>
      <family val="2"/>
      <charset val="204"/>
    </font>
    <font>
      <b/>
      <u/>
      <sz val="10"/>
      <name val="Arial Cyr"/>
      <charset val="204"/>
    </font>
    <font>
      <b/>
      <sz val="10"/>
      <color indexed="12"/>
      <name val="Arial Cyr"/>
      <charset val="204"/>
    </font>
    <font>
      <b/>
      <sz val="12"/>
      <name val="Arial Cyr"/>
      <family val="2"/>
      <charset val="204"/>
    </font>
    <font>
      <b/>
      <sz val="8"/>
      <color indexed="8"/>
      <name val="Arial Cyr"/>
      <family val="2"/>
      <charset val="204"/>
    </font>
    <font>
      <b/>
      <i/>
      <u/>
      <sz val="16"/>
      <color indexed="10"/>
      <name val="Arial Cyr"/>
      <charset val="204"/>
    </font>
    <font>
      <sz val="10"/>
      <color indexed="56"/>
      <name val="Arial Cyr"/>
      <family val="2"/>
      <charset val="204"/>
    </font>
    <font>
      <sz val="12"/>
      <color indexed="10"/>
      <name val="Times New Roman"/>
      <family val="1"/>
      <charset val="204"/>
    </font>
    <font>
      <sz val="10"/>
      <name val="Arial Cyr"/>
      <charset val="204"/>
    </font>
    <font>
      <sz val="10"/>
      <color indexed="14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 Cyr"/>
      <charset val="204"/>
    </font>
    <font>
      <b/>
      <sz val="8"/>
      <color indexed="8"/>
      <name val="Arial Cyr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4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  <font>
      <sz val="20"/>
      <name val="Arial Cyr"/>
      <charset val="204"/>
    </font>
    <font>
      <b/>
      <i/>
      <u/>
      <sz val="16"/>
      <name val="Arial Cyr"/>
      <charset val="204"/>
    </font>
    <font>
      <sz val="14"/>
      <color indexed="8"/>
      <name val="Arial Cyr"/>
      <family val="2"/>
      <charset val="204"/>
    </font>
    <font>
      <b/>
      <u val="singleAccounting"/>
      <sz val="10"/>
      <name val="Arial Cyr"/>
      <charset val="204"/>
    </font>
    <font>
      <b/>
      <u val="singleAccounting"/>
      <sz val="14"/>
      <name val="Arial Cyr"/>
      <charset val="204"/>
    </font>
    <font>
      <b/>
      <sz val="10"/>
      <color indexed="10"/>
      <name val="Arial Cyr"/>
      <charset val="204"/>
    </font>
    <font>
      <b/>
      <sz val="14"/>
      <color indexed="10"/>
      <name val="Arial Cyr"/>
      <charset val="204"/>
    </font>
    <font>
      <b/>
      <sz val="12"/>
      <color indexed="10"/>
      <name val="Arial Cyr"/>
      <charset val="204"/>
    </font>
    <font>
      <b/>
      <sz val="10"/>
      <color indexed="40"/>
      <name val="Arial Cyr"/>
      <charset val="204"/>
    </font>
    <font>
      <b/>
      <sz val="10"/>
      <color indexed="30"/>
      <name val="Arial Cyr"/>
      <charset val="204"/>
    </font>
    <font>
      <sz val="10"/>
      <color indexed="10"/>
      <name val="Arial Cyr"/>
      <charset val="204"/>
    </font>
    <font>
      <b/>
      <u/>
      <sz val="14"/>
      <color indexed="62"/>
      <name val="Arial Cyr"/>
      <charset val="204"/>
    </font>
    <font>
      <b/>
      <sz val="10"/>
      <color indexed="8"/>
      <name val="Arial Cyr"/>
      <charset val="204"/>
    </font>
    <font>
      <b/>
      <i/>
      <u/>
      <sz val="10"/>
      <name val="Arial Cyr"/>
      <charset val="204"/>
    </font>
    <font>
      <i/>
      <sz val="10"/>
      <name val="Arial Cyr"/>
      <charset val="204"/>
    </font>
    <font>
      <b/>
      <i/>
      <sz val="10"/>
      <color indexed="10"/>
      <name val="Arial Cyr"/>
      <charset val="204"/>
    </font>
    <font>
      <sz val="10"/>
      <color indexed="10"/>
      <name val="Arial Cyr"/>
      <charset val="204"/>
    </font>
    <font>
      <b/>
      <sz val="10"/>
      <color indexed="62"/>
      <name val="Arial Cyr"/>
      <charset val="204"/>
    </font>
    <font>
      <b/>
      <sz val="12"/>
      <color indexed="10"/>
      <name val="Arial Cyr"/>
      <charset val="204"/>
    </font>
    <font>
      <b/>
      <sz val="10"/>
      <color indexed="30"/>
      <name val="Arial Cyr"/>
      <charset val="204"/>
    </font>
    <font>
      <b/>
      <sz val="10"/>
      <color indexed="56"/>
      <name val="Arial Cyr"/>
      <charset val="204"/>
    </font>
    <font>
      <sz val="10"/>
      <color indexed="56"/>
      <name val="Arial Cyr"/>
      <charset val="204"/>
    </font>
    <font>
      <b/>
      <sz val="10"/>
      <color indexed="10"/>
      <name val="Arial Cyr"/>
      <charset val="204"/>
    </font>
    <font>
      <sz val="12"/>
      <color indexed="8"/>
      <name val="Times New Roman"/>
      <family val="1"/>
      <charset val="204"/>
    </font>
    <font>
      <b/>
      <sz val="12"/>
      <color indexed="12"/>
      <name val="Arial Cyr"/>
      <charset val="204"/>
    </font>
    <font>
      <b/>
      <sz val="14"/>
      <name val="Arial Cyr"/>
      <charset val="204"/>
    </font>
    <font>
      <i/>
      <sz val="12"/>
      <name val="Arial Cyr"/>
      <charset val="204"/>
    </font>
    <font>
      <sz val="10"/>
      <name val="Arial Cyr"/>
    </font>
    <font>
      <b/>
      <sz val="11"/>
      <name val="Calibri"/>
      <family val="2"/>
      <charset val="204"/>
    </font>
    <font>
      <sz val="10"/>
      <name val="Arial Cyr"/>
      <family val="2"/>
      <charset val="204"/>
    </font>
    <font>
      <sz val="16"/>
      <name val="Arial Cyr"/>
      <charset val="204"/>
    </font>
    <font>
      <b/>
      <i/>
      <u/>
      <sz val="14"/>
      <name val="Arial Cyr"/>
      <charset val="204"/>
    </font>
    <font>
      <b/>
      <i/>
      <sz val="10"/>
      <color theme="1"/>
      <name val="Arial Cyr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b/>
      <sz val="16"/>
      <color rgb="FFFF0000"/>
      <name val="Arial Cyr"/>
      <charset val="204"/>
    </font>
    <font>
      <sz val="10"/>
      <color rgb="FFFF0000"/>
      <name val="Arial Cyr"/>
      <charset val="204"/>
    </font>
    <font>
      <b/>
      <sz val="10"/>
      <color theme="1" tint="0.249977111117893"/>
      <name val="Arial Cyr"/>
      <charset val="204"/>
    </font>
    <font>
      <b/>
      <sz val="14"/>
      <color rgb="FFFF0000"/>
      <name val="Arial Cyr"/>
      <charset val="204"/>
    </font>
    <font>
      <b/>
      <sz val="10"/>
      <color rgb="FFFF0000"/>
      <name val="Arial Cyr"/>
      <charset val="204"/>
    </font>
    <font>
      <i/>
      <sz val="8"/>
      <name val="Arial Cyr"/>
      <charset val="204"/>
    </font>
    <font>
      <sz val="14"/>
      <color indexed="81"/>
      <name val="Tahoma"/>
      <family val="2"/>
      <charset val="204"/>
    </font>
    <font>
      <sz val="14"/>
      <color rgb="FF212121"/>
      <name val="Georgia"/>
      <family val="1"/>
      <charset val="204"/>
    </font>
    <font>
      <b/>
      <i/>
      <u/>
      <sz val="10"/>
      <color theme="6" tint="-0.249977111117893"/>
      <name val="Arial Cyr"/>
      <charset val="204"/>
    </font>
    <font>
      <b/>
      <i/>
      <u/>
      <sz val="14"/>
      <color rgb="FFFF0000"/>
      <name val="Arial Cyr"/>
      <charset val="204"/>
    </font>
    <font>
      <b/>
      <i/>
      <u/>
      <sz val="10"/>
      <color theme="5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5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61">
    <xf numFmtId="0" fontId="0" fillId="0" borderId="0" xfId="0"/>
    <xf numFmtId="0" fontId="1" fillId="0" borderId="0" xfId="0" applyFont="1"/>
    <xf numFmtId="0" fontId="7" fillId="0" borderId="0" xfId="0" applyFont="1"/>
    <xf numFmtId="0" fontId="0" fillId="0" borderId="0" xfId="0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3" fillId="0" borderId="1" xfId="0" applyFont="1" applyBorder="1"/>
    <xf numFmtId="0" fontId="9" fillId="0" borderId="0" xfId="0" applyFont="1"/>
    <xf numFmtId="0" fontId="5" fillId="0" borderId="0" xfId="0" applyFont="1"/>
    <xf numFmtId="0" fontId="4" fillId="0" borderId="0" xfId="0" applyFont="1"/>
    <xf numFmtId="0" fontId="14" fillId="0" borderId="0" xfId="0" applyFont="1"/>
    <xf numFmtId="0" fontId="0" fillId="0" borderId="1" xfId="0" applyBorder="1"/>
    <xf numFmtId="0" fontId="15" fillId="0" borderId="0" xfId="0" applyFont="1"/>
    <xf numFmtId="1" fontId="0" fillId="0" borderId="0" xfId="0" applyNumberFormat="1"/>
    <xf numFmtId="2" fontId="0" fillId="0" borderId="0" xfId="0" applyNumberFormat="1"/>
    <xf numFmtId="1" fontId="0" fillId="0" borderId="1" xfId="0" applyNumberFormat="1" applyBorder="1"/>
    <xf numFmtId="166" fontId="0" fillId="0" borderId="0" xfId="0" applyNumberFormat="1"/>
    <xf numFmtId="0" fontId="4" fillId="0" borderId="0" xfId="0" applyNumberFormat="1" applyFont="1"/>
    <xf numFmtId="1" fontId="0" fillId="0" borderId="0" xfId="0" applyNumberFormat="1" applyFill="1"/>
    <xf numFmtId="164" fontId="0" fillId="0" borderId="0" xfId="3" applyFont="1"/>
    <xf numFmtId="0" fontId="8" fillId="0" borderId="0" xfId="0" applyFont="1" applyFill="1"/>
    <xf numFmtId="2" fontId="0" fillId="0" borderId="0" xfId="0" applyNumberFormat="1" applyFill="1"/>
    <xf numFmtId="164" fontId="3" fillId="0" borderId="0" xfId="3" applyFont="1"/>
    <xf numFmtId="0" fontId="6" fillId="0" borderId="0" xfId="0" applyFont="1"/>
    <xf numFmtId="164" fontId="1" fillId="0" borderId="0" xfId="3" applyFont="1" applyFill="1"/>
    <xf numFmtId="164" fontId="0" fillId="0" borderId="0" xfId="3" applyFont="1" applyFill="1"/>
    <xf numFmtId="164" fontId="0" fillId="0" borderId="0" xfId="3" applyFont="1" applyAlignment="1">
      <alignment horizontal="center"/>
    </xf>
    <xf numFmtId="164" fontId="0" fillId="0" borderId="2" xfId="3" applyFont="1" applyFill="1" applyBorder="1"/>
    <xf numFmtId="0" fontId="18" fillId="2" borderId="0" xfId="0" applyFont="1" applyFill="1"/>
    <xf numFmtId="0" fontId="3" fillId="0" borderId="3" xfId="0" applyFont="1" applyBorder="1" applyAlignment="1">
      <alignment horizontal="right"/>
    </xf>
    <xf numFmtId="0" fontId="9" fillId="3" borderId="0" xfId="0" applyFont="1" applyFill="1"/>
    <xf numFmtId="0" fontId="0" fillId="3" borderId="0" xfId="0" applyFill="1"/>
    <xf numFmtId="166" fontId="0" fillId="3" borderId="0" xfId="0" applyNumberFormat="1" applyFill="1"/>
    <xf numFmtId="1" fontId="0" fillId="3" borderId="0" xfId="0" applyNumberFormat="1" applyFill="1"/>
    <xf numFmtId="1" fontId="0" fillId="3" borderId="1" xfId="0" applyNumberFormat="1" applyFill="1" applyBorder="1"/>
    <xf numFmtId="2" fontId="0" fillId="3" borderId="0" xfId="0" applyNumberFormat="1" applyFill="1"/>
    <xf numFmtId="164" fontId="0" fillId="0" borderId="0" xfId="0" applyNumberFormat="1"/>
    <xf numFmtId="164" fontId="0" fillId="3" borderId="0" xfId="3" applyFont="1" applyFill="1"/>
    <xf numFmtId="0" fontId="9" fillId="4" borderId="0" xfId="0" applyFont="1" applyFill="1"/>
    <xf numFmtId="0" fontId="0" fillId="4" borderId="0" xfId="0" applyFill="1"/>
    <xf numFmtId="1" fontId="0" fillId="4" borderId="0" xfId="0" applyNumberFormat="1" applyFill="1"/>
    <xf numFmtId="166" fontId="0" fillId="4" borderId="0" xfId="0" applyNumberFormat="1" applyFill="1"/>
    <xf numFmtId="1" fontId="0" fillId="4" borderId="1" xfId="0" applyNumberFormat="1" applyFill="1" applyBorder="1"/>
    <xf numFmtId="2" fontId="0" fillId="4" borderId="0" xfId="0" applyNumberFormat="1" applyFill="1"/>
    <xf numFmtId="0" fontId="2" fillId="0" borderId="0" xfId="0" applyFont="1"/>
    <xf numFmtId="0" fontId="17" fillId="0" borderId="0" xfId="0" applyFont="1"/>
    <xf numFmtId="164" fontId="17" fillId="0" borderId="0" xfId="3" applyFont="1"/>
    <xf numFmtId="1" fontId="17" fillId="0" borderId="0" xfId="0" applyNumberFormat="1" applyFont="1"/>
    <xf numFmtId="2" fontId="17" fillId="0" borderId="0" xfId="0" applyNumberFormat="1" applyFont="1"/>
    <xf numFmtId="164" fontId="0" fillId="3" borderId="0" xfId="0" applyNumberFormat="1" applyFill="1"/>
    <xf numFmtId="164" fontId="17" fillId="3" borderId="0" xfId="3" applyFont="1" applyFill="1"/>
    <xf numFmtId="0" fontId="9" fillId="0" borderId="0" xfId="0" applyFont="1" applyFill="1"/>
    <xf numFmtId="0" fontId="21" fillId="0" borderId="0" xfId="0" applyFont="1"/>
    <xf numFmtId="0" fontId="22" fillId="0" borderId="0" xfId="0" applyFont="1"/>
    <xf numFmtId="1" fontId="6" fillId="0" borderId="0" xfId="0" applyNumberFormat="1" applyFont="1"/>
    <xf numFmtId="2" fontId="6" fillId="0" borderId="0" xfId="0" applyNumberFormat="1" applyFont="1"/>
    <xf numFmtId="0" fontId="0" fillId="5" borderId="0" xfId="0" applyFill="1"/>
    <xf numFmtId="0" fontId="33" fillId="0" borderId="0" xfId="0" applyFont="1"/>
    <xf numFmtId="0" fontId="25" fillId="0" borderId="0" xfId="0" applyFont="1"/>
    <xf numFmtId="0" fontId="34" fillId="0" borderId="0" xfId="0" applyFont="1"/>
    <xf numFmtId="173" fontId="0" fillId="0" borderId="0" xfId="0" applyNumberFormat="1"/>
    <xf numFmtId="0" fontId="0" fillId="0" borderId="0" xfId="0" applyFont="1"/>
    <xf numFmtId="0" fontId="35" fillId="0" borderId="0" xfId="0" applyFont="1"/>
    <xf numFmtId="0" fontId="26" fillId="0" borderId="0" xfId="0" applyFont="1"/>
    <xf numFmtId="0" fontId="27" fillId="0" borderId="0" xfId="0" applyFont="1"/>
    <xf numFmtId="0" fontId="36" fillId="0" borderId="0" xfId="0" applyFont="1"/>
    <xf numFmtId="0" fontId="33" fillId="0" borderId="3" xfId="0" applyFont="1" applyBorder="1"/>
    <xf numFmtId="0" fontId="33" fillId="0" borderId="4" xfId="0" applyFont="1" applyBorder="1"/>
    <xf numFmtId="0" fontId="33" fillId="0" borderId="5" xfId="0" applyFont="1" applyBorder="1"/>
    <xf numFmtId="0" fontId="3" fillId="0" borderId="0" xfId="0" applyFont="1" applyFill="1"/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0" fillId="0" borderId="0" xfId="0" applyAlignment="1"/>
    <xf numFmtId="164" fontId="0" fillId="0" borderId="0" xfId="0" applyNumberFormat="1" applyFill="1"/>
    <xf numFmtId="164" fontId="17" fillId="0" borderId="0" xfId="3" applyFont="1" applyFill="1"/>
    <xf numFmtId="0" fontId="6" fillId="0" borderId="0" xfId="0" applyFont="1" applyAlignment="1">
      <alignment horizontal="right"/>
    </xf>
    <xf numFmtId="0" fontId="37" fillId="8" borderId="0" xfId="0" applyFont="1" applyFill="1"/>
    <xf numFmtId="0" fontId="6" fillId="9" borderId="0" xfId="0" applyFont="1" applyFill="1"/>
    <xf numFmtId="0" fontId="0" fillId="9" borderId="0" xfId="0" applyFill="1"/>
    <xf numFmtId="0" fontId="28" fillId="0" borderId="0" xfId="0" applyFont="1"/>
    <xf numFmtId="174" fontId="0" fillId="0" borderId="0" xfId="0" applyNumberFormat="1" applyFill="1"/>
    <xf numFmtId="0" fontId="6" fillId="0" borderId="0" xfId="0" applyFont="1" applyFill="1"/>
    <xf numFmtId="0" fontId="0" fillId="10" borderId="0" xfId="0" applyFill="1"/>
    <xf numFmtId="0" fontId="21" fillId="8" borderId="0" xfId="0" applyFont="1" applyFill="1"/>
    <xf numFmtId="0" fontId="6" fillId="8" borderId="5" xfId="0" applyFont="1" applyFill="1" applyBorder="1"/>
    <xf numFmtId="0" fontId="29" fillId="8" borderId="0" xfId="0" applyFont="1" applyFill="1"/>
    <xf numFmtId="0" fontId="3" fillId="11" borderId="0" xfId="0" applyFont="1" applyFill="1"/>
    <xf numFmtId="0" fontId="0" fillId="11" borderId="0" xfId="0" applyFill="1"/>
    <xf numFmtId="164" fontId="17" fillId="11" borderId="0" xfId="3" applyFont="1" applyFill="1"/>
    <xf numFmtId="1" fontId="0" fillId="11" borderId="0" xfId="0" applyNumberFormat="1" applyFill="1"/>
    <xf numFmtId="0" fontId="6" fillId="11" borderId="0" xfId="0" applyFont="1" applyFill="1"/>
    <xf numFmtId="1" fontId="17" fillId="11" borderId="0" xfId="0" applyNumberFormat="1" applyFont="1" applyFill="1"/>
    <xf numFmtId="1" fontId="6" fillId="11" borderId="0" xfId="0" applyNumberFormat="1" applyFont="1" applyFill="1"/>
    <xf numFmtId="166" fontId="0" fillId="11" borderId="0" xfId="0" applyNumberFormat="1" applyFill="1"/>
    <xf numFmtId="164" fontId="0" fillId="0" borderId="1" xfId="3" applyFont="1" applyBorder="1"/>
    <xf numFmtId="173" fontId="0" fillId="0" borderId="0" xfId="0" applyNumberFormat="1" applyFill="1"/>
    <xf numFmtId="166" fontId="3" fillId="0" borderId="0" xfId="0" applyNumberFormat="1" applyFont="1"/>
    <xf numFmtId="164" fontId="17" fillId="8" borderId="0" xfId="3" applyFont="1" applyFill="1"/>
    <xf numFmtId="0" fontId="0" fillId="12" borderId="0" xfId="0" applyFill="1"/>
    <xf numFmtId="164" fontId="17" fillId="0" borderId="0" xfId="3" applyFont="1" applyFill="1" applyBorder="1"/>
    <xf numFmtId="0" fontId="34" fillId="0" borderId="0" xfId="0" applyFont="1" applyFill="1"/>
    <xf numFmtId="174" fontId="0" fillId="0" borderId="0" xfId="0" applyNumberFormat="1" applyFill="1" applyBorder="1"/>
    <xf numFmtId="164" fontId="0" fillId="0" borderId="0" xfId="0" applyNumberFormat="1" applyFont="1"/>
    <xf numFmtId="0" fontId="33" fillId="0" borderId="0" xfId="0" applyFont="1" applyFill="1"/>
    <xf numFmtId="0" fontId="0" fillId="0" borderId="0" xfId="0" applyBorder="1"/>
    <xf numFmtId="0" fontId="6" fillId="6" borderId="0" xfId="0" applyFont="1" applyFill="1"/>
    <xf numFmtId="0" fontId="0" fillId="0" borderId="0" xfId="0" applyFill="1" applyBorder="1"/>
    <xf numFmtId="164" fontId="16" fillId="6" borderId="6" xfId="0" applyNumberFormat="1" applyFont="1" applyFill="1" applyBorder="1" applyAlignment="1">
      <alignment horizontal="left" wrapText="1"/>
    </xf>
    <xf numFmtId="164" fontId="16" fillId="0" borderId="3" xfId="0" applyNumberFormat="1" applyFont="1" applyBorder="1" applyAlignment="1">
      <alignment horizontal="left" wrapText="1"/>
    </xf>
    <xf numFmtId="0" fontId="30" fillId="0" borderId="0" xfId="0" applyFont="1"/>
    <xf numFmtId="0" fontId="39" fillId="0" borderId="0" xfId="0" applyFont="1"/>
    <xf numFmtId="0" fontId="0" fillId="0" borderId="7" xfId="0" applyBorder="1"/>
    <xf numFmtId="164" fontId="17" fillId="12" borderId="0" xfId="3" applyFont="1" applyFill="1"/>
    <xf numFmtId="9" fontId="0" fillId="0" borderId="0" xfId="2" applyFont="1"/>
    <xf numFmtId="49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6" fillId="5" borderId="0" xfId="0" applyFont="1" applyFill="1"/>
    <xf numFmtId="164" fontId="31" fillId="5" borderId="0" xfId="3" applyFont="1" applyFill="1"/>
    <xf numFmtId="164" fontId="31" fillId="0" borderId="0" xfId="3" applyFont="1" applyFill="1"/>
    <xf numFmtId="166" fontId="0" fillId="0" borderId="7" xfId="0" applyNumberFormat="1" applyBorder="1"/>
    <xf numFmtId="171" fontId="16" fillId="0" borderId="4" xfId="0" applyNumberFormat="1" applyFont="1" applyBorder="1" applyAlignment="1">
      <alignment horizontal="left" wrapText="1"/>
    </xf>
    <xf numFmtId="166" fontId="0" fillId="0" borderId="0" xfId="0" applyNumberFormat="1" applyFill="1"/>
    <xf numFmtId="170" fontId="38" fillId="0" borderId="0" xfId="0" applyNumberFormat="1" applyFont="1" applyFill="1"/>
    <xf numFmtId="175" fontId="38" fillId="0" borderId="0" xfId="0" applyNumberFormat="1" applyFont="1" applyFill="1"/>
    <xf numFmtId="164" fontId="32" fillId="0" borderId="0" xfId="0" applyNumberFormat="1" applyFont="1"/>
    <xf numFmtId="168" fontId="0" fillId="0" borderId="0" xfId="0" applyNumberFormat="1"/>
    <xf numFmtId="0" fontId="0" fillId="0" borderId="0" xfId="0" applyFill="1" applyAlignment="1"/>
    <xf numFmtId="176" fontId="0" fillId="0" borderId="0" xfId="0" applyNumberFormat="1"/>
    <xf numFmtId="0" fontId="40" fillId="0" borderId="0" xfId="0" applyFont="1"/>
    <xf numFmtId="0" fontId="6" fillId="0" borderId="0" xfId="0" applyFont="1" applyFill="1" applyBorder="1"/>
    <xf numFmtId="0" fontId="41" fillId="0" borderId="0" xfId="0" applyFont="1"/>
    <xf numFmtId="0" fontId="42" fillId="0" borderId="0" xfId="0" applyFont="1" applyFill="1" applyBorder="1"/>
    <xf numFmtId="0" fontId="42" fillId="0" borderId="0" xfId="0" applyFont="1"/>
    <xf numFmtId="0" fontId="44" fillId="11" borderId="0" xfId="0" applyFont="1" applyFill="1"/>
    <xf numFmtId="0" fontId="45" fillId="0" borderId="0" xfId="0" applyFont="1"/>
    <xf numFmtId="0" fontId="0" fillId="0" borderId="0" xfId="0" applyNumberFormat="1"/>
    <xf numFmtId="164" fontId="16" fillId="0" borderId="0" xfId="0" applyNumberFormat="1" applyFont="1" applyFill="1" applyBorder="1" applyAlignment="1">
      <alignment horizontal="left" wrapText="1"/>
    </xf>
    <xf numFmtId="0" fontId="35" fillId="0" borderId="0" xfId="0" applyFont="1" applyFill="1"/>
    <xf numFmtId="0" fontId="46" fillId="0" borderId="0" xfId="0" applyFont="1" applyFill="1"/>
    <xf numFmtId="164" fontId="16" fillId="7" borderId="3" xfId="0" applyNumberFormat="1" applyFont="1" applyFill="1" applyBorder="1" applyAlignment="1">
      <alignment horizontal="left" wrapText="1"/>
    </xf>
    <xf numFmtId="164" fontId="16" fillId="7" borderId="0" xfId="0" applyNumberFormat="1" applyFont="1" applyFill="1" applyBorder="1" applyAlignment="1">
      <alignment horizontal="left" wrapText="1"/>
    </xf>
    <xf numFmtId="0" fontId="47" fillId="0" borderId="0" xfId="0" applyFont="1" applyFill="1"/>
    <xf numFmtId="0" fontId="47" fillId="0" borderId="0" xfId="0" applyFont="1" applyAlignment="1">
      <alignment horizontal="right"/>
    </xf>
    <xf numFmtId="0" fontId="48" fillId="0" borderId="0" xfId="0" applyFont="1"/>
    <xf numFmtId="0" fontId="49" fillId="0" borderId="0" xfId="0" applyFont="1"/>
    <xf numFmtId="2" fontId="0" fillId="0" borderId="0" xfId="3" applyNumberFormat="1" applyFont="1"/>
    <xf numFmtId="0" fontId="50" fillId="0" borderId="0" xfId="0" applyFont="1"/>
    <xf numFmtId="172" fontId="16" fillId="7" borderId="0" xfId="0" applyNumberFormat="1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right" wrapText="1"/>
    </xf>
    <xf numFmtId="2" fontId="17" fillId="0" borderId="0" xfId="2" applyNumberFormat="1" applyFont="1" applyFill="1" applyBorder="1"/>
    <xf numFmtId="0" fontId="48" fillId="0" borderId="0" xfId="0" applyFont="1" applyFill="1"/>
    <xf numFmtId="0" fontId="0" fillId="13" borderId="0" xfId="0" applyFill="1"/>
    <xf numFmtId="0" fontId="6" fillId="14" borderId="0" xfId="0" applyFont="1" applyFill="1"/>
    <xf numFmtId="0" fontId="0" fillId="14" borderId="0" xfId="0" applyFill="1"/>
    <xf numFmtId="0" fontId="27" fillId="0" borderId="0" xfId="0" applyFont="1" applyAlignment="1">
      <alignment horizontal="right"/>
    </xf>
    <xf numFmtId="164" fontId="42" fillId="0" borderId="0" xfId="0" applyNumberFormat="1" applyFont="1"/>
    <xf numFmtId="0" fontId="42" fillId="0" borderId="0" xfId="0" applyFont="1" applyAlignment="1">
      <alignment horizontal="right"/>
    </xf>
    <xf numFmtId="0" fontId="0" fillId="14" borderId="0" xfId="0" applyFont="1" applyFill="1"/>
    <xf numFmtId="43" fontId="0" fillId="0" borderId="0" xfId="0" applyNumberFormat="1"/>
    <xf numFmtId="43" fontId="0" fillId="0" borderId="0" xfId="0" applyNumberFormat="1" applyFont="1"/>
    <xf numFmtId="173" fontId="0" fillId="0" borderId="0" xfId="0" applyNumberFormat="1" applyFont="1"/>
    <xf numFmtId="173" fontId="0" fillId="0" borderId="0" xfId="0" applyNumberFormat="1" applyBorder="1"/>
    <xf numFmtId="174" fontId="0" fillId="0" borderId="0" xfId="0" applyNumberFormat="1"/>
    <xf numFmtId="174" fontId="0" fillId="0" borderId="7" xfId="0" applyNumberFormat="1" applyFill="1" applyBorder="1"/>
    <xf numFmtId="174" fontId="0" fillId="0" borderId="8" xfId="0" applyNumberFormat="1" applyFill="1" applyBorder="1"/>
    <xf numFmtId="174" fontId="0" fillId="0" borderId="9" xfId="0" applyNumberFormat="1" applyFill="1" applyBorder="1"/>
    <xf numFmtId="174" fontId="0" fillId="13" borderId="0" xfId="0" applyNumberFormat="1" applyFill="1"/>
    <xf numFmtId="164" fontId="0" fillId="0" borderId="0" xfId="0" applyNumberFormat="1" applyFont="1" applyFill="1" applyBorder="1"/>
    <xf numFmtId="164" fontId="0" fillId="0" borderId="0" xfId="3" applyFont="1" applyFill="1" applyBorder="1"/>
    <xf numFmtId="9" fontId="17" fillId="0" borderId="0" xfId="2" applyFont="1" applyFill="1" applyBorder="1"/>
    <xf numFmtId="0" fontId="52" fillId="0" borderId="0" xfId="0" applyFont="1" applyFill="1"/>
    <xf numFmtId="164" fontId="0" fillId="9" borderId="0" xfId="0" applyNumberFormat="1" applyFill="1"/>
    <xf numFmtId="0" fontId="0" fillId="15" borderId="7" xfId="0" applyFill="1" applyBorder="1"/>
    <xf numFmtId="0" fontId="0" fillId="15" borderId="10" xfId="0" applyFill="1" applyBorder="1"/>
    <xf numFmtId="0" fontId="0" fillId="15" borderId="11" xfId="0" applyFill="1" applyBorder="1"/>
    <xf numFmtId="0" fontId="0" fillId="15" borderId="8" xfId="0" applyFill="1" applyBorder="1"/>
    <xf numFmtId="0" fontId="0" fillId="15" borderId="0" xfId="0" applyFill="1" applyBorder="1"/>
    <xf numFmtId="0" fontId="0" fillId="15" borderId="6" xfId="0" applyFill="1" applyBorder="1"/>
    <xf numFmtId="0" fontId="0" fillId="15" borderId="9" xfId="0" applyFill="1" applyBorder="1"/>
    <xf numFmtId="0" fontId="0" fillId="15" borderId="12" xfId="0" applyFill="1" applyBorder="1"/>
    <xf numFmtId="0" fontId="0" fillId="15" borderId="13" xfId="0" applyFill="1" applyBorder="1"/>
    <xf numFmtId="2" fontId="54" fillId="0" borderId="3" xfId="0" applyNumberFormat="1" applyFont="1" applyBorder="1"/>
    <xf numFmtId="2" fontId="54" fillId="0" borderId="4" xfId="0" applyNumberFormat="1" applyFont="1" applyBorder="1"/>
    <xf numFmtId="2" fontId="54" fillId="0" borderId="5" xfId="0" applyNumberFormat="1" applyFont="1" applyBorder="1"/>
    <xf numFmtId="0" fontId="27" fillId="0" borderId="0" xfId="0" applyFont="1" applyFill="1"/>
    <xf numFmtId="0" fontId="0" fillId="16" borderId="14" xfId="0" applyFill="1" applyBorder="1"/>
    <xf numFmtId="0" fontId="0" fillId="16" borderId="15" xfId="0" applyFill="1" applyBorder="1"/>
    <xf numFmtId="0" fontId="47" fillId="0" borderId="0" xfId="0" applyFont="1" applyFill="1" applyAlignment="1">
      <alignment horizontal="right"/>
    </xf>
    <xf numFmtId="9" fontId="0" fillId="0" borderId="7" xfId="2" applyFont="1" applyBorder="1"/>
    <xf numFmtId="9" fontId="0" fillId="0" borderId="10" xfId="2" applyFont="1" applyBorder="1"/>
    <xf numFmtId="9" fontId="0" fillId="0" borderId="8" xfId="2" applyFont="1" applyBorder="1"/>
    <xf numFmtId="9" fontId="0" fillId="0" borderId="0" xfId="2" applyFont="1" applyBorder="1"/>
    <xf numFmtId="9" fontId="0" fillId="0" borderId="9" xfId="2" applyFont="1" applyBorder="1"/>
    <xf numFmtId="9" fontId="0" fillId="0" borderId="12" xfId="2" applyFont="1" applyBorder="1"/>
    <xf numFmtId="166" fontId="53" fillId="0" borderId="16" xfId="0" applyNumberFormat="1" applyFont="1" applyBorder="1"/>
    <xf numFmtId="0" fontId="60" fillId="0" borderId="0" xfId="0" applyFont="1" applyFill="1" applyAlignment="1">
      <alignment horizontal="right"/>
    </xf>
    <xf numFmtId="167" fontId="61" fillId="11" borderId="4" xfId="0" applyNumberFormat="1" applyFont="1" applyFill="1" applyBorder="1"/>
    <xf numFmtId="169" fontId="61" fillId="11" borderId="4" xfId="0" applyNumberFormat="1" applyFont="1" applyFill="1" applyBorder="1"/>
    <xf numFmtId="0" fontId="37" fillId="0" borderId="0" xfId="0" applyFont="1" applyFill="1"/>
    <xf numFmtId="0" fontId="50" fillId="16" borderId="7" xfId="0" applyFont="1" applyFill="1" applyBorder="1"/>
    <xf numFmtId="0" fontId="50" fillId="16" borderId="14" xfId="0" applyFont="1" applyFill="1" applyBorder="1"/>
    <xf numFmtId="164" fontId="60" fillId="0" borderId="0" xfId="0" applyNumberFormat="1" applyFont="1"/>
    <xf numFmtId="0" fontId="0" fillId="0" borderId="3" xfId="0" applyBorder="1"/>
    <xf numFmtId="0" fontId="0" fillId="0" borderId="14" xfId="0" applyBorder="1"/>
    <xf numFmtId="0" fontId="0" fillId="0" borderId="16" xfId="0" applyBorder="1"/>
    <xf numFmtId="166" fontId="0" fillId="17" borderId="16" xfId="0" applyNumberFormat="1" applyFill="1" applyBorder="1"/>
    <xf numFmtId="0" fontId="50" fillId="17" borderId="10" xfId="0" applyFont="1" applyFill="1" applyBorder="1"/>
    <xf numFmtId="0" fontId="50" fillId="17" borderId="11" xfId="0" applyFont="1" applyFill="1" applyBorder="1"/>
    <xf numFmtId="0" fontId="50" fillId="17" borderId="8" xfId="0" applyFont="1" applyFill="1" applyBorder="1"/>
    <xf numFmtId="0" fontId="50" fillId="17" borderId="0" xfId="0" applyFont="1" applyFill="1" applyBorder="1"/>
    <xf numFmtId="0" fontId="50" fillId="17" borderId="6" xfId="0" applyFont="1" applyFill="1" applyBorder="1"/>
    <xf numFmtId="0" fontId="50" fillId="17" borderId="9" xfId="0" applyFont="1" applyFill="1" applyBorder="1"/>
    <xf numFmtId="0" fontId="50" fillId="17" borderId="12" xfId="0" applyFont="1" applyFill="1" applyBorder="1"/>
    <xf numFmtId="0" fontId="50" fillId="17" borderId="13" xfId="0" applyFont="1" applyFill="1" applyBorder="1"/>
    <xf numFmtId="0" fontId="62" fillId="0" borderId="0" xfId="0" applyNumberFormat="1" applyFont="1" applyFill="1" applyBorder="1"/>
    <xf numFmtId="177" fontId="0" fillId="0" borderId="0" xfId="2" applyNumberFormat="1" applyFont="1"/>
    <xf numFmtId="0" fontId="63" fillId="0" borderId="0" xfId="0" applyFont="1"/>
    <xf numFmtId="170" fontId="34" fillId="0" borderId="3" xfId="0" applyNumberFormat="1" applyFont="1" applyFill="1" applyBorder="1"/>
    <xf numFmtId="170" fontId="34" fillId="0" borderId="4" xfId="0" applyNumberFormat="1" applyFont="1" applyFill="1" applyBorder="1"/>
    <xf numFmtId="170" fontId="0" fillId="0" borderId="0" xfId="0" applyNumberFormat="1"/>
    <xf numFmtId="170" fontId="64" fillId="0" borderId="0" xfId="0" applyNumberFormat="1" applyFont="1"/>
    <xf numFmtId="170" fontId="34" fillId="0" borderId="7" xfId="0" applyNumberFormat="1" applyFont="1" applyFill="1" applyBorder="1"/>
    <xf numFmtId="170" fontId="34" fillId="0" borderId="8" xfId="0" applyNumberFormat="1" applyFont="1" applyFill="1" applyBorder="1"/>
    <xf numFmtId="170" fontId="34" fillId="0" borderId="0" xfId="0" applyNumberFormat="1" applyFont="1" applyFill="1" applyBorder="1"/>
    <xf numFmtId="43" fontId="0" fillId="0" borderId="0" xfId="0" applyNumberFormat="1" applyFill="1"/>
    <xf numFmtId="2" fontId="38" fillId="0" borderId="0" xfId="0" applyNumberFormat="1" applyFont="1" applyFill="1"/>
    <xf numFmtId="1" fontId="0" fillId="0" borderId="1" xfId="0" applyNumberFormat="1" applyFill="1" applyBorder="1"/>
    <xf numFmtId="0" fontId="4" fillId="0" borderId="0" xfId="1" applyFont="1" applyBorder="1"/>
    <xf numFmtId="4" fontId="0" fillId="0" borderId="0" xfId="0" applyNumberFormat="1" applyFill="1" applyBorder="1"/>
    <xf numFmtId="0" fontId="6" fillId="0" borderId="0" xfId="1" applyNumberFormat="1" applyFont="1" applyFill="1" applyBorder="1"/>
    <xf numFmtId="0" fontId="65" fillId="0" borderId="0" xfId="0" applyFont="1" applyFill="1" applyBorder="1"/>
    <xf numFmtId="1" fontId="65" fillId="0" borderId="0" xfId="0" applyNumberFormat="1" applyFont="1" applyFill="1" applyBorder="1"/>
    <xf numFmtId="2" fontId="65" fillId="0" borderId="0" xfId="0" applyNumberFormat="1" applyFont="1" applyFill="1" applyBorder="1"/>
    <xf numFmtId="2" fontId="0" fillId="0" borderId="0" xfId="0" applyNumberFormat="1" applyFont="1" applyFill="1" applyBorder="1"/>
    <xf numFmtId="3" fontId="0" fillId="0" borderId="0" xfId="0" applyNumberFormat="1" applyFont="1" applyFill="1"/>
    <xf numFmtId="0" fontId="4" fillId="0" borderId="0" xfId="1" applyFont="1" applyFill="1" applyBorder="1"/>
    <xf numFmtId="0" fontId="49" fillId="0" borderId="0" xfId="0" applyFont="1" applyFill="1"/>
    <xf numFmtId="0" fontId="44" fillId="0" borderId="0" xfId="0" applyFont="1" applyFill="1"/>
    <xf numFmtId="0" fontId="0" fillId="0" borderId="0" xfId="0" applyNumberFormat="1" applyFill="1"/>
    <xf numFmtId="9" fontId="17" fillId="0" borderId="10" xfId="2" applyFont="1" applyFill="1" applyBorder="1"/>
    <xf numFmtId="9" fontId="17" fillId="0" borderId="12" xfId="2" applyFont="1" applyFill="1" applyBorder="1"/>
    <xf numFmtId="9" fontId="17" fillId="0" borderId="0" xfId="2" applyFont="1" applyFill="1"/>
    <xf numFmtId="164" fontId="60" fillId="0" borderId="0" xfId="0" applyNumberFormat="1" applyFont="1" applyFill="1"/>
    <xf numFmtId="0" fontId="0" fillId="18" borderId="0" xfId="0" applyFill="1"/>
    <xf numFmtId="0" fontId="6" fillId="18" borderId="0" xfId="0" applyFont="1" applyFill="1"/>
    <xf numFmtId="173" fontId="0" fillId="18" borderId="0" xfId="0" applyNumberFormat="1" applyFill="1"/>
    <xf numFmtId="164" fontId="0" fillId="18" borderId="0" xfId="0" applyNumberFormat="1" applyFill="1"/>
    <xf numFmtId="164" fontId="17" fillId="18" borderId="0" xfId="3" applyFont="1" applyFill="1"/>
    <xf numFmtId="2" fontId="0" fillId="18" borderId="0" xfId="0" applyNumberFormat="1" applyFill="1"/>
    <xf numFmtId="0" fontId="51" fillId="18" borderId="0" xfId="0" applyNumberFormat="1" applyFont="1" applyFill="1" applyBorder="1" applyAlignment="1">
      <alignment horizontal="right" wrapText="1"/>
    </xf>
    <xf numFmtId="0" fontId="0" fillId="18" borderId="0" xfId="0" applyFill="1" applyBorder="1"/>
    <xf numFmtId="168" fontId="0" fillId="18" borderId="0" xfId="0" applyNumberFormat="1" applyFill="1"/>
    <xf numFmtId="164" fontId="17" fillId="18" borderId="0" xfId="3" applyFont="1" applyFill="1"/>
    <xf numFmtId="174" fontId="0" fillId="18" borderId="0" xfId="0" applyNumberFormat="1" applyFill="1"/>
    <xf numFmtId="0" fontId="0" fillId="18" borderId="15" xfId="0" applyFill="1" applyBorder="1"/>
    <xf numFmtId="0" fontId="33" fillId="18" borderId="0" xfId="0" applyFont="1" applyFill="1"/>
    <xf numFmtId="0" fontId="48" fillId="18" borderId="0" xfId="0" applyFont="1" applyFill="1"/>
    <xf numFmtId="2" fontId="17" fillId="18" borderId="0" xfId="3" applyNumberFormat="1" applyFont="1" applyFill="1"/>
    <xf numFmtId="0" fontId="0" fillId="18" borderId="0" xfId="0" applyNumberFormat="1" applyFill="1"/>
    <xf numFmtId="0" fontId="44" fillId="18" borderId="0" xfId="0" applyFont="1" applyFill="1"/>
    <xf numFmtId="9" fontId="17" fillId="18" borderId="10" xfId="2" applyFont="1" applyFill="1" applyBorder="1"/>
    <xf numFmtId="9" fontId="17" fillId="18" borderId="0" xfId="2" applyFont="1" applyFill="1" applyBorder="1"/>
    <xf numFmtId="9" fontId="17" fillId="18" borderId="12" xfId="2" applyFont="1" applyFill="1" applyBorder="1"/>
    <xf numFmtId="164" fontId="60" fillId="18" borderId="0" xfId="0" applyNumberFormat="1" applyFont="1" applyFill="1"/>
    <xf numFmtId="164" fontId="42" fillId="18" borderId="0" xfId="0" applyNumberFormat="1" applyFont="1" applyFill="1"/>
    <xf numFmtId="43" fontId="0" fillId="18" borderId="0" xfId="0" applyNumberFormat="1" applyFill="1"/>
    <xf numFmtId="43" fontId="0" fillId="18" borderId="0" xfId="0" applyNumberFormat="1" applyFont="1" applyFill="1"/>
    <xf numFmtId="164" fontId="0" fillId="18" borderId="0" xfId="0" applyNumberFormat="1" applyFont="1" applyFill="1"/>
    <xf numFmtId="173" fontId="0" fillId="18" borderId="0" xfId="0" applyNumberFormat="1" applyFont="1" applyFill="1"/>
    <xf numFmtId="0" fontId="0" fillId="18" borderId="0" xfId="0" applyFont="1" applyFill="1"/>
    <xf numFmtId="173" fontId="0" fillId="18" borderId="0" xfId="0" applyNumberFormat="1" applyFill="1" applyBorder="1"/>
    <xf numFmtId="174" fontId="0" fillId="18" borderId="0" xfId="0" applyNumberFormat="1" applyFill="1" applyBorder="1"/>
    <xf numFmtId="174" fontId="0" fillId="18" borderId="7" xfId="0" applyNumberFormat="1" applyFill="1" applyBorder="1"/>
    <xf numFmtId="174" fontId="0" fillId="18" borderId="8" xfId="0" applyNumberFormat="1" applyFill="1" applyBorder="1"/>
    <xf numFmtId="174" fontId="0" fillId="18" borderId="9" xfId="0" applyNumberFormat="1" applyFill="1" applyBorder="1"/>
    <xf numFmtId="164" fontId="17" fillId="18" borderId="0" xfId="3" applyFont="1" applyFill="1" applyBorder="1"/>
    <xf numFmtId="9" fontId="17" fillId="18" borderId="0" xfId="2" applyFont="1" applyFill="1" applyBorder="1"/>
    <xf numFmtId="0" fontId="3" fillId="0" borderId="3" xfId="0" applyFont="1" applyFill="1" applyBorder="1" applyAlignment="1">
      <alignment horizontal="right"/>
    </xf>
    <xf numFmtId="0" fontId="0" fillId="0" borderId="7" xfId="0" applyFill="1" applyBorder="1"/>
    <xf numFmtId="0" fontId="3" fillId="18" borderId="0" xfId="0" applyFont="1" applyFill="1"/>
    <xf numFmtId="164" fontId="1" fillId="18" borderId="0" xfId="3" applyFont="1" applyFill="1"/>
    <xf numFmtId="164" fontId="17" fillId="18" borderId="0" xfId="3" applyFont="1" applyFill="1" applyAlignment="1">
      <alignment horizontal="center"/>
    </xf>
    <xf numFmtId="0" fontId="3" fillId="18" borderId="3" xfId="0" applyFont="1" applyFill="1" applyBorder="1" applyAlignment="1">
      <alignment horizontal="right"/>
    </xf>
    <xf numFmtId="166" fontId="0" fillId="18" borderId="0" xfId="0" applyNumberFormat="1" applyFill="1"/>
    <xf numFmtId="175" fontId="38" fillId="18" borderId="0" xfId="0" applyNumberFormat="1" applyFont="1" applyFill="1"/>
    <xf numFmtId="1" fontId="0" fillId="18" borderId="0" xfId="0" applyNumberFormat="1" applyFill="1"/>
    <xf numFmtId="0" fontId="0" fillId="18" borderId="7" xfId="0" applyFill="1" applyBorder="1"/>
    <xf numFmtId="166" fontId="0" fillId="18" borderId="7" xfId="0" applyNumberFormat="1" applyFill="1" applyBorder="1"/>
    <xf numFmtId="164" fontId="17" fillId="0" borderId="2" xfId="3" applyFont="1" applyFill="1" applyBorder="1"/>
    <xf numFmtId="164" fontId="17" fillId="18" borderId="2" xfId="3" applyFont="1" applyFill="1" applyBorder="1"/>
    <xf numFmtId="164" fontId="4" fillId="18" borderId="0" xfId="3" applyFont="1" applyFill="1" applyBorder="1" applyAlignment="1">
      <alignment horizontal="right"/>
    </xf>
    <xf numFmtId="173" fontId="0" fillId="0" borderId="0" xfId="0" applyNumberFormat="1" applyFont="1" applyFill="1"/>
    <xf numFmtId="173" fontId="0" fillId="0" borderId="0" xfId="0" applyNumberFormat="1" applyFill="1" applyBorder="1"/>
    <xf numFmtId="0" fontId="0" fillId="0" borderId="0" xfId="0" applyFont="1" applyFill="1"/>
    <xf numFmtId="164" fontId="0" fillId="0" borderId="0" xfId="0" applyNumberFormat="1" applyFont="1" applyFill="1"/>
    <xf numFmtId="43" fontId="0" fillId="0" borderId="0" xfId="0" applyNumberFormat="1" applyFont="1" applyFill="1"/>
    <xf numFmtId="164" fontId="42" fillId="0" borderId="0" xfId="0" applyNumberFormat="1" applyFont="1" applyFill="1"/>
    <xf numFmtId="170" fontId="33" fillId="18" borderId="0" xfId="0" applyNumberFormat="1" applyFont="1" applyFill="1" applyBorder="1"/>
    <xf numFmtId="170" fontId="33" fillId="0" borderId="0" xfId="0" applyNumberFormat="1" applyFont="1" applyFill="1" applyBorder="1"/>
    <xf numFmtId="164" fontId="17" fillId="18" borderId="0" xfId="3" applyFont="1" applyFill="1"/>
    <xf numFmtId="170" fontId="34" fillId="18" borderId="0" xfId="0" applyNumberFormat="1" applyFont="1" applyFill="1" applyBorder="1"/>
    <xf numFmtId="178" fontId="0" fillId="0" borderId="0" xfId="0" applyNumberFormat="1" applyFill="1"/>
    <xf numFmtId="164" fontId="6" fillId="0" borderId="0" xfId="0" applyNumberFormat="1" applyFont="1"/>
    <xf numFmtId="164" fontId="6" fillId="18" borderId="0" xfId="0" applyNumberFormat="1" applyFont="1" applyFill="1"/>
    <xf numFmtId="164" fontId="6" fillId="0" borderId="0" xfId="0" applyNumberFormat="1" applyFont="1" applyFill="1"/>
    <xf numFmtId="0" fontId="6" fillId="0" borderId="0" xfId="0" applyFont="1" applyBorder="1"/>
    <xf numFmtId="0" fontId="6" fillId="18" borderId="0" xfId="0" applyFont="1" applyFill="1" applyBorder="1"/>
    <xf numFmtId="164" fontId="17" fillId="18" borderId="0" xfId="3" applyFont="1" applyFill="1"/>
    <xf numFmtId="0" fontId="44" fillId="19" borderId="0" xfId="0" applyFont="1" applyFill="1"/>
    <xf numFmtId="164" fontId="17" fillId="18" borderId="0" xfId="3" applyFont="1" applyFill="1"/>
    <xf numFmtId="164" fontId="17" fillId="18" borderId="0" xfId="3" applyFont="1" applyFill="1"/>
    <xf numFmtId="0" fontId="66" fillId="20" borderId="0" xfId="0" applyFont="1" applyFill="1"/>
    <xf numFmtId="0" fontId="0" fillId="0" borderId="0" xfId="0" applyFont="1" applyAlignment="1">
      <alignment vertical="center" wrapText="1"/>
    </xf>
    <xf numFmtId="165" fontId="0" fillId="17" borderId="16" xfId="0" applyNumberFormat="1" applyFill="1" applyBorder="1"/>
    <xf numFmtId="0" fontId="6" fillId="20" borderId="0" xfId="0" applyFont="1" applyFill="1"/>
    <xf numFmtId="0" fontId="6" fillId="0" borderId="0" xfId="0" applyFont="1" applyAlignment="1">
      <alignment wrapText="1"/>
    </xf>
    <xf numFmtId="0" fontId="2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2" fontId="0" fillId="19" borderId="0" xfId="0" applyNumberFormat="1" applyFill="1"/>
    <xf numFmtId="0" fontId="66" fillId="0" borderId="0" xfId="0" applyFont="1" applyFill="1"/>
    <xf numFmtId="0" fontId="27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71" fontId="0" fillId="0" borderId="0" xfId="0" applyNumberFormat="1"/>
    <xf numFmtId="0" fontId="0" fillId="0" borderId="0" xfId="0" applyAlignment="1">
      <alignment horizontal="center"/>
    </xf>
    <xf numFmtId="0" fontId="33" fillId="0" borderId="0" xfId="0" applyFont="1" applyBorder="1"/>
    <xf numFmtId="167" fontId="61" fillId="11" borderId="0" xfId="0" applyNumberFormat="1" applyFont="1" applyFill="1" applyBorder="1"/>
    <xf numFmtId="0" fontId="52" fillId="0" borderId="0" xfId="0" applyFont="1" applyFill="1" applyAlignment="1">
      <alignment horizontal="right"/>
    </xf>
    <xf numFmtId="0" fontId="0" fillId="19" borderId="0" xfId="0" applyFill="1"/>
    <xf numFmtId="0" fontId="6" fillId="19" borderId="0" xfId="0" applyFont="1" applyFill="1"/>
    <xf numFmtId="0" fontId="25" fillId="19" borderId="0" xfId="0" applyFont="1" applyFill="1"/>
    <xf numFmtId="0" fontId="33" fillId="19" borderId="0" xfId="0" applyFont="1" applyFill="1" applyBorder="1"/>
    <xf numFmtId="167" fontId="61" fillId="19" borderId="0" xfId="0" applyNumberFormat="1" applyFont="1" applyFill="1" applyBorder="1"/>
    <xf numFmtId="170" fontId="34" fillId="19" borderId="0" xfId="0" applyNumberFormat="1" applyFont="1" applyFill="1" applyBorder="1"/>
    <xf numFmtId="170" fontId="33" fillId="19" borderId="0" xfId="0" applyNumberFormat="1" applyFont="1" applyFill="1" applyBorder="1"/>
    <xf numFmtId="0" fontId="52" fillId="0" borderId="0" xfId="0" applyFont="1" applyFill="1" applyAlignment="1">
      <alignment horizontal="left"/>
    </xf>
    <xf numFmtId="0" fontId="66" fillId="20" borderId="0" xfId="0" applyFont="1" applyFill="1" applyAlignment="1">
      <alignment vertical="center"/>
    </xf>
    <xf numFmtId="0" fontId="66" fillId="20" borderId="0" xfId="0" applyFont="1" applyFill="1" applyAlignment="1">
      <alignment vertical="center" wrapText="1"/>
    </xf>
    <xf numFmtId="0" fontId="0" fillId="0" borderId="0" xfId="0" applyAlignment="1">
      <alignment horizontal="right"/>
    </xf>
    <xf numFmtId="0" fontId="56" fillId="0" borderId="0" xfId="0" applyFont="1"/>
    <xf numFmtId="0" fontId="56" fillId="19" borderId="0" xfId="0" applyFont="1" applyFill="1"/>
    <xf numFmtId="0" fontId="57" fillId="0" borderId="0" xfId="1" applyFont="1"/>
    <xf numFmtId="0" fontId="57" fillId="0" borderId="0" xfId="1" applyFont="1" applyAlignment="1">
      <alignment horizontal="right"/>
    </xf>
    <xf numFmtId="168" fontId="0" fillId="0" borderId="0" xfId="3" applyNumberFormat="1" applyFont="1"/>
    <xf numFmtId="164" fontId="64" fillId="0" borderId="0" xfId="0" applyNumberFormat="1" applyFont="1" applyFill="1"/>
    <xf numFmtId="170" fontId="34" fillId="21" borderId="0" xfId="0" applyNumberFormat="1" applyFont="1" applyFill="1" applyBorder="1"/>
    <xf numFmtId="167" fontId="61" fillId="0" borderId="0" xfId="0" applyNumberFormat="1" applyFont="1" applyFill="1" applyBorder="1"/>
    <xf numFmtId="9" fontId="34" fillId="0" borderId="0" xfId="0" applyNumberFormat="1" applyFont="1"/>
    <xf numFmtId="164" fontId="17" fillId="17" borderId="16" xfId="3" applyFont="1" applyFill="1" applyBorder="1"/>
    <xf numFmtId="171" fontId="16" fillId="17" borderId="16" xfId="0" applyNumberFormat="1" applyFont="1" applyFill="1" applyBorder="1" applyAlignment="1">
      <alignment horizontal="left" wrapText="1"/>
    </xf>
    <xf numFmtId="164" fontId="0" fillId="17" borderId="16" xfId="0" applyNumberFormat="1" applyFill="1" applyBorder="1"/>
    <xf numFmtId="0" fontId="58" fillId="9" borderId="0" xfId="0" applyFont="1" applyFill="1" applyAlignment="1"/>
    <xf numFmtId="0" fontId="59" fillId="0" borderId="0" xfId="0" applyFont="1"/>
    <xf numFmtId="176" fontId="0" fillId="17" borderId="16" xfId="0" applyNumberFormat="1" applyFill="1" applyBorder="1"/>
    <xf numFmtId="0" fontId="34" fillId="0" borderId="0" xfId="0" quotePrefix="1" applyFont="1"/>
    <xf numFmtId="9" fontId="0" fillId="0" borderId="0" xfId="0" applyNumberFormat="1"/>
    <xf numFmtId="0" fontId="25" fillId="0" borderId="0" xfId="0" applyFont="1" applyFill="1"/>
    <xf numFmtId="9" fontId="53" fillId="0" borderId="0" xfId="2" applyFont="1" applyFill="1"/>
    <xf numFmtId="0" fontId="0" fillId="22" borderId="0" xfId="0" applyFill="1"/>
    <xf numFmtId="0" fontId="66" fillId="22" borderId="0" xfId="0" applyFont="1" applyFill="1"/>
    <xf numFmtId="0" fontId="64" fillId="22" borderId="0" xfId="0" applyFont="1" applyFill="1"/>
    <xf numFmtId="0" fontId="33" fillId="17" borderId="7" xfId="0" applyFont="1" applyFill="1" applyBorder="1"/>
    <xf numFmtId="0" fontId="33" fillId="17" borderId="10" xfId="0" applyFont="1" applyFill="1" applyBorder="1"/>
    <xf numFmtId="171" fontId="16" fillId="0" borderId="3" xfId="0" applyNumberFormat="1" applyFont="1" applyBorder="1" applyAlignment="1">
      <alignment horizontal="left" wrapText="1"/>
    </xf>
    <xf numFmtId="179" fontId="0" fillId="17" borderId="16" xfId="0" applyNumberFormat="1" applyFill="1" applyBorder="1"/>
    <xf numFmtId="180" fontId="0" fillId="0" borderId="3" xfId="2" applyNumberFormat="1" applyFont="1" applyBorder="1"/>
    <xf numFmtId="180" fontId="0" fillId="0" borderId="4" xfId="2" applyNumberFormat="1" applyFont="1" applyBorder="1"/>
    <xf numFmtId="180" fontId="0" fillId="0" borderId="5" xfId="2" applyNumberFormat="1" applyFont="1" applyBorder="1"/>
    <xf numFmtId="0" fontId="50" fillId="0" borderId="14" xfId="0" applyFont="1" applyBorder="1"/>
    <xf numFmtId="2" fontId="0" fillId="0" borderId="7" xfId="0" applyNumberFormat="1" applyBorder="1"/>
    <xf numFmtId="2" fontId="0" fillId="18" borderId="7" xfId="0" applyNumberFormat="1" applyFill="1" applyBorder="1"/>
    <xf numFmtId="2" fontId="0" fillId="0" borderId="7" xfId="0" applyNumberFormat="1" applyFill="1" applyBorder="1"/>
    <xf numFmtId="164" fontId="64" fillId="0" borderId="0" xfId="3" applyFont="1" applyFill="1"/>
    <xf numFmtId="164" fontId="17" fillId="19" borderId="0" xfId="3" applyFont="1" applyFill="1"/>
    <xf numFmtId="171" fontId="16" fillId="23" borderId="16" xfId="0" applyNumberFormat="1" applyFont="1" applyFill="1" applyBorder="1" applyAlignment="1">
      <alignment horizontal="left" wrapText="1"/>
    </xf>
    <xf numFmtId="0" fontId="0" fillId="24" borderId="3" xfId="0" applyFill="1" applyBorder="1"/>
    <xf numFmtId="0" fontId="0" fillId="24" borderId="4" xfId="0" applyFill="1" applyBorder="1"/>
    <xf numFmtId="0" fontId="0" fillId="24" borderId="5" xfId="0" applyFill="1" applyBorder="1"/>
    <xf numFmtId="0" fontId="3" fillId="0" borderId="0" xfId="0" applyFont="1" applyBorder="1" applyAlignment="1">
      <alignment horizontal="right"/>
    </xf>
    <xf numFmtId="169" fontId="0" fillId="0" borderId="0" xfId="0" applyNumberFormat="1"/>
    <xf numFmtId="0" fontId="33" fillId="19" borderId="0" xfId="0" applyFont="1" applyFill="1"/>
    <xf numFmtId="0" fontId="6" fillId="19" borderId="0" xfId="0" applyFont="1" applyFill="1" applyBorder="1"/>
    <xf numFmtId="0" fontId="0" fillId="23" borderId="0" xfId="0" applyFill="1"/>
    <xf numFmtId="0" fontId="6" fillId="23" borderId="0" xfId="0" applyFont="1" applyFill="1"/>
    <xf numFmtId="173" fontId="0" fillId="23" borderId="0" xfId="0" applyNumberFormat="1" applyFill="1"/>
    <xf numFmtId="164" fontId="0" fillId="23" borderId="0" xfId="0" applyNumberFormat="1" applyFill="1"/>
    <xf numFmtId="164" fontId="0" fillId="23" borderId="0" xfId="3" applyFont="1" applyFill="1"/>
    <xf numFmtId="164" fontId="0" fillId="23" borderId="16" xfId="0" applyNumberFormat="1" applyFill="1" applyBorder="1"/>
    <xf numFmtId="2" fontId="0" fillId="23" borderId="0" xfId="0" applyNumberFormat="1" applyFill="1"/>
    <xf numFmtId="0" fontId="0" fillId="23" borderId="0" xfId="0" applyFill="1" applyBorder="1"/>
    <xf numFmtId="164" fontId="17" fillId="23" borderId="16" xfId="3" applyFont="1" applyFill="1" applyBorder="1"/>
    <xf numFmtId="164" fontId="17" fillId="23" borderId="0" xfId="3" applyFont="1" applyFill="1"/>
    <xf numFmtId="164" fontId="17" fillId="23" borderId="0" xfId="3" applyFont="1" applyFill="1" applyBorder="1"/>
    <xf numFmtId="164" fontId="1" fillId="23" borderId="0" xfId="3" applyFont="1" applyFill="1"/>
    <xf numFmtId="0" fontId="0" fillId="23" borderId="15" xfId="0" applyFill="1" applyBorder="1"/>
    <xf numFmtId="0" fontId="33" fillId="23" borderId="0" xfId="0" applyFont="1" applyFill="1"/>
    <xf numFmtId="0" fontId="48" fillId="23" borderId="0" xfId="0" applyFont="1" applyFill="1"/>
    <xf numFmtId="164" fontId="6" fillId="23" borderId="0" xfId="0" applyNumberFormat="1" applyFont="1" applyFill="1"/>
    <xf numFmtId="176" fontId="0" fillId="23" borderId="16" xfId="0" applyNumberFormat="1" applyFill="1" applyBorder="1"/>
    <xf numFmtId="0" fontId="0" fillId="23" borderId="10" xfId="0" applyFill="1" applyBorder="1"/>
    <xf numFmtId="0" fontId="6" fillId="23" borderId="0" xfId="0" applyFont="1" applyFill="1" applyBorder="1"/>
    <xf numFmtId="0" fontId="49" fillId="23" borderId="0" xfId="0" applyFont="1" applyFill="1"/>
    <xf numFmtId="0" fontId="44" fillId="23" borderId="0" xfId="0" applyFont="1" applyFill="1"/>
    <xf numFmtId="0" fontId="0" fillId="23" borderId="0" xfId="0" applyNumberFormat="1" applyFill="1"/>
    <xf numFmtId="9" fontId="0" fillId="23" borderId="10" xfId="2" applyFont="1" applyFill="1" applyBorder="1"/>
    <xf numFmtId="9" fontId="0" fillId="23" borderId="0" xfId="2" applyFont="1" applyFill="1" applyBorder="1"/>
    <xf numFmtId="9" fontId="0" fillId="23" borderId="12" xfId="2" applyFont="1" applyFill="1" applyBorder="1"/>
    <xf numFmtId="164" fontId="60" fillId="23" borderId="0" xfId="0" applyNumberFormat="1" applyFont="1" applyFill="1"/>
    <xf numFmtId="164" fontId="42" fillId="23" borderId="0" xfId="0" applyNumberFormat="1" applyFont="1" applyFill="1"/>
    <xf numFmtId="43" fontId="0" fillId="23" borderId="0" xfId="0" applyNumberFormat="1" applyFill="1"/>
    <xf numFmtId="43" fontId="0" fillId="23" borderId="0" xfId="0" applyNumberFormat="1" applyFont="1" applyFill="1"/>
    <xf numFmtId="164" fontId="0" fillId="23" borderId="0" xfId="0" applyNumberFormat="1" applyFont="1" applyFill="1"/>
    <xf numFmtId="173" fontId="0" fillId="23" borderId="0" xfId="0" applyNumberFormat="1" applyFont="1" applyFill="1"/>
    <xf numFmtId="0" fontId="0" fillId="23" borderId="0" xfId="0" applyFont="1" applyFill="1"/>
    <xf numFmtId="173" fontId="0" fillId="23" borderId="0" xfId="0" applyNumberFormat="1" applyFill="1" applyBorder="1"/>
    <xf numFmtId="174" fontId="0" fillId="23" borderId="0" xfId="0" applyNumberFormat="1" applyFill="1" applyBorder="1"/>
    <xf numFmtId="174" fontId="0" fillId="23" borderId="0" xfId="0" applyNumberFormat="1" applyFill="1"/>
    <xf numFmtId="174" fontId="0" fillId="23" borderId="7" xfId="0" applyNumberFormat="1" applyFill="1" applyBorder="1"/>
    <xf numFmtId="174" fontId="0" fillId="23" borderId="8" xfId="0" applyNumberFormat="1" applyFill="1" applyBorder="1"/>
    <xf numFmtId="174" fontId="0" fillId="23" borderId="9" xfId="0" applyNumberFormat="1" applyFill="1" applyBorder="1"/>
    <xf numFmtId="9" fontId="17" fillId="23" borderId="0" xfId="2" applyFont="1" applyFill="1" applyBorder="1"/>
    <xf numFmtId="0" fontId="67" fillId="0" borderId="0" xfId="0" applyFont="1"/>
    <xf numFmtId="0" fontId="57" fillId="0" borderId="0" xfId="0" applyFont="1"/>
    <xf numFmtId="0" fontId="0" fillId="24" borderId="0" xfId="0" applyFill="1"/>
    <xf numFmtId="0" fontId="68" fillId="0" borderId="0" xfId="0" applyFont="1"/>
    <xf numFmtId="0" fontId="68" fillId="25" borderId="0" xfId="0" applyFont="1" applyFill="1"/>
    <xf numFmtId="0" fontId="0" fillId="25" borderId="0" xfId="0" applyFill="1"/>
    <xf numFmtId="0" fontId="68" fillId="24" borderId="0" xfId="0" applyFont="1" applyFill="1"/>
    <xf numFmtId="0" fontId="0" fillId="0" borderId="15" xfId="0" applyBorder="1"/>
    <xf numFmtId="0" fontId="0" fillId="0" borderId="17" xfId="0" applyBorder="1"/>
    <xf numFmtId="0" fontId="64" fillId="0" borderId="0" xfId="1" applyFont="1" applyFill="1" applyBorder="1"/>
    <xf numFmtId="0" fontId="64" fillId="0" borderId="0" xfId="1" applyNumberFormat="1" applyFont="1" applyFill="1" applyBorder="1"/>
    <xf numFmtId="164" fontId="0" fillId="0" borderId="7" xfId="3" applyFont="1" applyFill="1" applyBorder="1"/>
    <xf numFmtId="164" fontId="0" fillId="26" borderId="7" xfId="3" applyFont="1" applyFill="1" applyBorder="1"/>
    <xf numFmtId="164" fontId="0" fillId="0" borderId="14" xfId="3" applyFont="1" applyBorder="1"/>
    <xf numFmtId="0" fontId="34" fillId="27" borderId="0" xfId="0" applyFont="1" applyFill="1"/>
    <xf numFmtId="164" fontId="64" fillId="0" borderId="0" xfId="3" applyFont="1"/>
    <xf numFmtId="164" fontId="0" fillId="0" borderId="15" xfId="3" applyFont="1" applyBorder="1"/>
    <xf numFmtId="164" fontId="0" fillId="0" borderId="17" xfId="3" applyFont="1" applyBorder="1"/>
    <xf numFmtId="164" fontId="0" fillId="23" borderId="0" xfId="3" applyFont="1" applyFill="1" applyBorder="1"/>
    <xf numFmtId="0" fontId="70" fillId="0" borderId="0" xfId="0" applyFont="1"/>
    <xf numFmtId="0" fontId="71" fillId="24" borderId="0" xfId="0" applyFont="1" applyFill="1"/>
    <xf numFmtId="0" fontId="72" fillId="0" borderId="0" xfId="0" applyFont="1"/>
    <xf numFmtId="0" fontId="41" fillId="24" borderId="3" xfId="0" applyFont="1" applyFill="1" applyBorder="1"/>
    <xf numFmtId="0" fontId="41" fillId="24" borderId="4" xfId="0" applyFont="1" applyFill="1" applyBorder="1"/>
    <xf numFmtId="0" fontId="41" fillId="24" borderId="5" xfId="0" applyFont="1" applyFill="1" applyBorder="1"/>
    <xf numFmtId="0" fontId="73" fillId="0" borderId="0" xfId="0" applyFont="1" applyAlignment="1">
      <alignment wrapText="1"/>
    </xf>
    <xf numFmtId="168" fontId="0" fillId="0" borderId="0" xfId="0" applyNumberFormat="1" applyFill="1"/>
    <xf numFmtId="176" fontId="0" fillId="0" borderId="0" xfId="0" applyNumberFormat="1" applyFill="1"/>
    <xf numFmtId="0" fontId="64" fillId="0" borderId="0" xfId="0" applyFont="1"/>
    <xf numFmtId="164" fontId="0" fillId="26" borderId="7" xfId="3" applyFont="1" applyFill="1" applyBorder="1" applyAlignment="1">
      <alignment horizontal="center"/>
    </xf>
    <xf numFmtId="0" fontId="64" fillId="26" borderId="7" xfId="0" applyFont="1" applyFill="1" applyBorder="1"/>
    <xf numFmtId="0" fontId="64" fillId="25" borderId="0" xfId="0" applyFont="1" applyFill="1"/>
    <xf numFmtId="0" fontId="0" fillId="28" borderId="0" xfId="0" applyFill="1"/>
    <xf numFmtId="164" fontId="0" fillId="26" borderId="0" xfId="3" applyFont="1" applyFill="1"/>
    <xf numFmtId="1" fontId="64" fillId="0" borderId="0" xfId="0" applyNumberFormat="1" applyFont="1"/>
  </cellXfs>
  <cellStyles count="4">
    <cellStyle name="Обычный" xfId="0" builtinId="0"/>
    <cellStyle name="Обычный_RaionWork" xfId="1" xr:uid="{00000000-0005-0000-0000-000001000000}"/>
    <cellStyle name="Процентный" xfId="2" builtinId="5"/>
    <cellStyle name="Финансовый" xfId="3" builtinId="3"/>
  </cellStyles>
  <dxfs count="1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FF0000"/>
      </font>
    </dxf>
    <dxf>
      <font>
        <b/>
        <i val="0"/>
        <color rgb="FFFF0000"/>
      </font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Обеспеченость местами в дет садах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290322580645158E-2"/>
          <c:y val="0.21900826446281019"/>
          <c:w val="0.93709677419354864"/>
          <c:h val="0.5950413223140496"/>
        </c:manualLayout>
      </c:layout>
      <c:lineChart>
        <c:grouping val="standard"/>
        <c:varyColors val="0"/>
        <c:ser>
          <c:idx val="0"/>
          <c:order val="0"/>
          <c:tx>
            <c:strRef>
              <c:f>[3]Дошкольное!$A$88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[3]Дошкольное!$B$88:$I$88</c:f>
              <c:numCache>
                <c:formatCode>General</c:formatCode>
                <c:ptCount val="8"/>
                <c:pt idx="0">
                  <c:v>0.56584717975678256</c:v>
                </c:pt>
                <c:pt idx="1">
                  <c:v>0.58527861700830497</c:v>
                </c:pt>
                <c:pt idx="2">
                  <c:v>0.60164325470447921</c:v>
                </c:pt>
                <c:pt idx="3">
                  <c:v>0.59518441698980973</c:v>
                </c:pt>
                <c:pt idx="4">
                  <c:v>0.59116639262987458</c:v>
                </c:pt>
                <c:pt idx="5">
                  <c:v>0.60788038482750162</c:v>
                </c:pt>
                <c:pt idx="6">
                  <c:v>0.61212868938027898</c:v>
                </c:pt>
                <c:pt idx="7">
                  <c:v>0.63573315719947154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6-4CDD-A9D9-53BB6DEC1D71}"/>
            </c:ext>
          </c:extLst>
        </c:ser>
        <c:ser>
          <c:idx val="1"/>
          <c:order val="1"/>
          <c:tx>
            <c:strRef>
              <c:f>[3]Дошкольное!$A$89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[3]Дошкольное!$B$89:$I$89</c:f>
              <c:numCache>
                <c:formatCode>General</c:formatCode>
                <c:ptCount val="8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6-4CDD-A9D9-53BB6DEC1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79808"/>
        <c:axId val="235481728"/>
      </c:lineChart>
      <c:catAx>
        <c:axId val="2354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5481728"/>
        <c:crosses val="autoZero"/>
        <c:auto val="1"/>
        <c:lblAlgn val="ctr"/>
        <c:lblOffset val="100"/>
        <c:noMultiLvlLbl val="0"/>
      </c:catAx>
      <c:valAx>
        <c:axId val="2354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5479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9384997036660765"/>
          <c:y val="0.53956833908158153"/>
          <c:w val="0.95230615527897722"/>
          <c:h val="0.72342118392225685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4762461170718308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дошкольное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'Графики-прогноз'!$D$28:$AB$28</c:f>
              <c:numCache>
                <c:formatCode>_-* #\ ##0.00_р_._-;\-* #\ ##0.00_р_._-;_-* "-"??_р_._-;_-@_-</c:formatCode>
                <c:ptCount val="25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  <c:pt idx="8">
                  <c:v>0.62690827608911326</c:v>
                </c:pt>
                <c:pt idx="9">
                  <c:v>0.61123699261165343</c:v>
                </c:pt>
                <c:pt idx="10">
                  <c:v>0.60620375667215654</c:v>
                </c:pt>
                <c:pt idx="11">
                  <c:v>0.60444964663965217</c:v>
                </c:pt>
                <c:pt idx="12">
                  <c:v>0.67357237382625179</c:v>
                </c:pt>
                <c:pt idx="13">
                  <c:v>0.66451521412336845</c:v>
                </c:pt>
                <c:pt idx="14">
                  <c:v>0.66677453549169863</c:v>
                </c:pt>
                <c:pt idx="15">
                  <c:v>0.67736000961963772</c:v>
                </c:pt>
                <c:pt idx="16">
                  <c:v>0.69509770585673969</c:v>
                </c:pt>
                <c:pt idx="17">
                  <c:v>0.70266608187106527</c:v>
                </c:pt>
                <c:pt idx="18">
                  <c:v>0.71601446493398335</c:v>
                </c:pt>
                <c:pt idx="19">
                  <c:v>0.72148234477856221</c:v>
                </c:pt>
                <c:pt idx="20">
                  <c:v>0.7311047828444962</c:v>
                </c:pt>
                <c:pt idx="21">
                  <c:v>0.76158511204504853</c:v>
                </c:pt>
                <c:pt idx="22">
                  <c:v>0.80266462197006894</c:v>
                </c:pt>
                <c:pt idx="23">
                  <c:v>0.80578094031993031</c:v>
                </c:pt>
                <c:pt idx="24">
                  <c:v>0.80327131241975558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9-4684-BAA4-E248CF64219E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ПУЛЬТ!$AD$16:$BB$16</c:f>
              <c:numCache>
                <c:formatCode>0.00000</c:formatCode>
                <c:ptCount val="25"/>
                <c:pt idx="0">
                  <c:v>0.61545000000000005</c:v>
                </c:pt>
                <c:pt idx="1">
                  <c:v>0.629</c:v>
                </c:pt>
                <c:pt idx="2">
                  <c:v>0.626</c:v>
                </c:pt>
                <c:pt idx="3">
                  <c:v>0.61658999999999997</c:v>
                </c:pt>
                <c:pt idx="4">
                  <c:v>0.60860000000000003</c:v>
                </c:pt>
                <c:pt idx="5">
                  <c:v>0.60750000000000004</c:v>
                </c:pt>
                <c:pt idx="6">
                  <c:v>0.62</c:v>
                </c:pt>
                <c:pt idx="7">
                  <c:v>0.63575000000000004</c:v>
                </c:pt>
                <c:pt idx="8">
                  <c:v>0.64541176470588235</c:v>
                </c:pt>
                <c:pt idx="9">
                  <c:v>0.65507352941176467</c:v>
                </c:pt>
                <c:pt idx="10">
                  <c:v>0.66473529411764698</c:v>
                </c:pt>
                <c:pt idx="11">
                  <c:v>0.67439705882352929</c:v>
                </c:pt>
                <c:pt idx="12">
                  <c:v>0.68405882352941161</c:v>
                </c:pt>
                <c:pt idx="13">
                  <c:v>0.69372058823529392</c:v>
                </c:pt>
                <c:pt idx="14">
                  <c:v>0.70338235294117635</c:v>
                </c:pt>
                <c:pt idx="15">
                  <c:v>0.71304411764705877</c:v>
                </c:pt>
                <c:pt idx="16">
                  <c:v>0.72270588235294109</c:v>
                </c:pt>
                <c:pt idx="17">
                  <c:v>0.7323676470588234</c:v>
                </c:pt>
                <c:pt idx="18">
                  <c:v>0.74202941176470583</c:v>
                </c:pt>
                <c:pt idx="19">
                  <c:v>0.75169117647058825</c:v>
                </c:pt>
                <c:pt idx="20">
                  <c:v>0.76135294117647057</c:v>
                </c:pt>
                <c:pt idx="21">
                  <c:v>0.77101470588235288</c:v>
                </c:pt>
                <c:pt idx="22">
                  <c:v>0.78067647058823531</c:v>
                </c:pt>
                <c:pt idx="23">
                  <c:v>0.79033823529411773</c:v>
                </c:pt>
                <c:pt idx="2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9-4684-BAA4-E248CF64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3888"/>
        <c:axId val="162695424"/>
      </c:lineChart>
      <c:catAx>
        <c:axId val="1626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95424"/>
        <c:crosses val="autoZero"/>
        <c:auto val="1"/>
        <c:lblAlgn val="ctr"/>
        <c:lblOffset val="100"/>
        <c:noMultiLvlLbl val="0"/>
      </c:catAx>
      <c:valAx>
        <c:axId val="16269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на чел дошкольного возраста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93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3023714955987"/>
          <c:y val="0.49151805348655742"/>
          <c:w val="0.17586264709670718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Общее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4796559231917727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'Графики-прогноз'!$D$6:$AB$6</c:f>
              <c:numCache>
                <c:formatCode>_-* #\ ##0.00_р_._-;\-* #\ ##0.00_р_._-;_-* "-"??_р_._-;_-@_-</c:formatCode>
                <c:ptCount val="25"/>
                <c:pt idx="0">
                  <c:v>1842</c:v>
                </c:pt>
                <c:pt idx="1">
                  <c:v>1813</c:v>
                </c:pt>
                <c:pt idx="2">
                  <c:v>444</c:v>
                </c:pt>
                <c:pt idx="3">
                  <c:v>744</c:v>
                </c:pt>
                <c:pt idx="4">
                  <c:v>1397</c:v>
                </c:pt>
                <c:pt idx="5">
                  <c:v>0</c:v>
                </c:pt>
                <c:pt idx="6">
                  <c:v>164</c:v>
                </c:pt>
                <c:pt idx="7">
                  <c:v>826</c:v>
                </c:pt>
                <c:pt idx="8">
                  <c:v>3083</c:v>
                </c:pt>
                <c:pt idx="9">
                  <c:v>2508</c:v>
                </c:pt>
                <c:pt idx="10">
                  <c:v>2376</c:v>
                </c:pt>
                <c:pt idx="11">
                  <c:v>2400</c:v>
                </c:pt>
                <c:pt idx="12">
                  <c:v>3328</c:v>
                </c:pt>
                <c:pt idx="13">
                  <c:v>5141</c:v>
                </c:pt>
                <c:pt idx="14">
                  <c:v>5996</c:v>
                </c:pt>
                <c:pt idx="15">
                  <c:v>5255</c:v>
                </c:pt>
                <c:pt idx="16">
                  <c:v>4064</c:v>
                </c:pt>
                <c:pt idx="17">
                  <c:v>3457</c:v>
                </c:pt>
                <c:pt idx="18">
                  <c:v>3077</c:v>
                </c:pt>
                <c:pt idx="19">
                  <c:v>2356</c:v>
                </c:pt>
                <c:pt idx="20">
                  <c:v>1529</c:v>
                </c:pt>
                <c:pt idx="21">
                  <c:v>2326</c:v>
                </c:pt>
                <c:pt idx="22">
                  <c:v>2890</c:v>
                </c:pt>
                <c:pt idx="23">
                  <c:v>2726</c:v>
                </c:pt>
                <c:pt idx="24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7E5-B302-EAA81BBD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08576"/>
        <c:axId val="162810496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'Графики-прогноз'!$D$17:$AB$17</c:f>
              <c:numCache>
                <c:formatCode>_-* #\ ##0.00_р_._-;\-* #\ ##0.00_р_._-;_-* "-"??_р_._-;_-@_-</c:formatCode>
                <c:ptCount val="25"/>
                <c:pt idx="0">
                  <c:v>198878</c:v>
                </c:pt>
                <c:pt idx="1">
                  <c:v>190776.1</c:v>
                </c:pt>
                <c:pt idx="2">
                  <c:v>184004.17550000001</c:v>
                </c:pt>
                <c:pt idx="3">
                  <c:v>180768.09199000002</c:v>
                </c:pt>
                <c:pt idx="4">
                  <c:v>176089.04923030001</c:v>
                </c:pt>
                <c:pt idx="5">
                  <c:v>175725.158737997</c:v>
                </c:pt>
                <c:pt idx="6">
                  <c:v>170577.06431802158</c:v>
                </c:pt>
                <c:pt idx="7">
                  <c:v>162674.03403626775</c:v>
                </c:pt>
                <c:pt idx="8">
                  <c:v>150886.75312784433</c:v>
                </c:pt>
                <c:pt idx="9">
                  <c:v>150925.66090898652</c:v>
                </c:pt>
                <c:pt idx="10">
                  <c:v>150217.2689171964</c:v>
                </c:pt>
                <c:pt idx="11">
                  <c:v>149298.79996813563</c:v>
                </c:pt>
                <c:pt idx="12">
                  <c:v>148370.69382483599</c:v>
                </c:pt>
                <c:pt idx="13">
                  <c:v>148521.71991048308</c:v>
                </c:pt>
                <c:pt idx="14">
                  <c:v>150662.02598673329</c:v>
                </c:pt>
                <c:pt idx="15">
                  <c:v>153782.11997964108</c:v>
                </c:pt>
                <c:pt idx="16">
                  <c:v>156140.49946058518</c:v>
                </c:pt>
                <c:pt idx="17">
                  <c:v>157127.33702903311</c:v>
                </c:pt>
                <c:pt idx="18">
                  <c:v>157452.01245589936</c:v>
                </c:pt>
                <c:pt idx="19">
                  <c:v>157422.07902383653</c:v>
                </c:pt>
                <c:pt idx="20">
                  <c:v>156756.73845112318</c:v>
                </c:pt>
                <c:pt idx="21">
                  <c:v>155417.14506170229</c:v>
                </c:pt>
                <c:pt idx="22">
                  <c:v>155136.03705944936</c:v>
                </c:pt>
                <c:pt idx="23">
                  <c:v>155855.15180047657</c:v>
                </c:pt>
                <c:pt idx="24">
                  <c:v>156654.98469078451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D-47E5-B302-EAA81BBD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12672"/>
        <c:axId val="162814208"/>
      </c:lineChart>
      <c:catAx>
        <c:axId val="16280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10496"/>
        <c:crosses val="autoZero"/>
        <c:auto val="1"/>
        <c:lblAlgn val="ctr"/>
        <c:lblOffset val="100"/>
        <c:noMultiLvlLbl val="0"/>
      </c:catAx>
      <c:valAx>
        <c:axId val="162810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08576"/>
        <c:crosses val="autoZero"/>
        <c:crossBetween val="between"/>
      </c:valAx>
      <c:catAx>
        <c:axId val="162812672"/>
        <c:scaling>
          <c:orientation val="minMax"/>
        </c:scaling>
        <c:delete val="1"/>
        <c:axPos val="b"/>
        <c:majorTickMark val="out"/>
        <c:minorTickMark val="none"/>
        <c:tickLblPos val="none"/>
        <c:crossAx val="162814208"/>
        <c:crosses val="autoZero"/>
        <c:auto val="1"/>
        <c:lblAlgn val="ctr"/>
        <c:lblOffset val="100"/>
        <c:noMultiLvlLbl val="0"/>
      </c:catAx>
      <c:valAx>
        <c:axId val="1628142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1267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общее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5012502846874562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 образование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'Графики-прогноз'!$D$29:$AB$29</c:f>
              <c:numCache>
                <c:formatCode>_-* #\ ##0.00_р_._-;\-* #\ ##0.00_р_._-;_-* "-"??_р_._-;_-@_-</c:formatCode>
                <c:ptCount val="25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0.94515205599174956</c:v>
                </c:pt>
                <c:pt idx="10">
                  <c:v>0.93515238938952172</c:v>
                </c:pt>
                <c:pt idx="11">
                  <c:v>0.92300482815240303</c:v>
                </c:pt>
                <c:pt idx="12">
                  <c:v>0.92997284288541204</c:v>
                </c:pt>
                <c:pt idx="13">
                  <c:v>0.91660453480371273</c:v>
                </c:pt>
                <c:pt idx="14">
                  <c:v>0.91781724280292831</c:v>
                </c:pt>
                <c:pt idx="15">
                  <c:v>0.92869246166117458</c:v>
                </c:pt>
                <c:pt idx="16">
                  <c:v>0.93878463864483241</c:v>
                </c:pt>
                <c:pt idx="17">
                  <c:v>0.94309641124970156</c:v>
                </c:pt>
                <c:pt idx="18">
                  <c:v>0.94640365174809371</c:v>
                </c:pt>
                <c:pt idx="19">
                  <c:v>0.95407166093088069</c:v>
                </c:pt>
                <c:pt idx="20">
                  <c:v>0.96635892725236405</c:v>
                </c:pt>
                <c:pt idx="21">
                  <c:v>0.97792283457581497</c:v>
                </c:pt>
                <c:pt idx="22">
                  <c:v>0.97678433462222602</c:v>
                </c:pt>
                <c:pt idx="23">
                  <c:v>0.98212952339042714</c:v>
                </c:pt>
                <c:pt idx="24">
                  <c:v>0.98738261914848557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5-47F4-AB5D-C3354DC8C70E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ПУЛЬТ!$AD$17:$BB$17</c:f>
              <c:numCache>
                <c:formatCode>0.00000</c:formatCode>
                <c:ptCount val="25"/>
                <c:pt idx="0">
                  <c:v>0.92500000000000004</c:v>
                </c:pt>
                <c:pt idx="1">
                  <c:v>0.92949999999999999</c:v>
                </c:pt>
                <c:pt idx="2">
                  <c:v>0.93769999999999998</c:v>
                </c:pt>
                <c:pt idx="3">
                  <c:v>0.97497699999999998</c:v>
                </c:pt>
                <c:pt idx="4">
                  <c:v>0.996</c:v>
                </c:pt>
                <c:pt idx="5">
                  <c:v>1.0175000000000001</c:v>
                </c:pt>
                <c:pt idx="6">
                  <c:v>1.01335</c:v>
                </c:pt>
                <c:pt idx="7">
                  <c:v>0.99990000000000001</c:v>
                </c:pt>
                <c:pt idx="8">
                  <c:v>0.9999058823529412</c:v>
                </c:pt>
                <c:pt idx="9">
                  <c:v>0.99991176470588239</c:v>
                </c:pt>
                <c:pt idx="10">
                  <c:v>0.99991764705882358</c:v>
                </c:pt>
                <c:pt idx="11">
                  <c:v>0.99992352941176477</c:v>
                </c:pt>
                <c:pt idx="12">
                  <c:v>0.99992941176470596</c:v>
                </c:pt>
                <c:pt idx="13">
                  <c:v>0.99993529411764714</c:v>
                </c:pt>
                <c:pt idx="14">
                  <c:v>0.99994117647058833</c:v>
                </c:pt>
                <c:pt idx="15">
                  <c:v>0.99994705882352952</c:v>
                </c:pt>
                <c:pt idx="16">
                  <c:v>0.99995294117647071</c:v>
                </c:pt>
                <c:pt idx="17">
                  <c:v>0.9999588235294119</c:v>
                </c:pt>
                <c:pt idx="18">
                  <c:v>0.99996470588235309</c:v>
                </c:pt>
                <c:pt idx="19">
                  <c:v>0.99997058823529428</c:v>
                </c:pt>
                <c:pt idx="20">
                  <c:v>0.99997647058823547</c:v>
                </c:pt>
                <c:pt idx="21">
                  <c:v>0.99998235294117666</c:v>
                </c:pt>
                <c:pt idx="22">
                  <c:v>0.99998823529411773</c:v>
                </c:pt>
                <c:pt idx="23">
                  <c:v>0.99999411764705881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5-47F4-AB5D-C3354DC8C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23552"/>
        <c:axId val="162833536"/>
      </c:lineChart>
      <c:catAx>
        <c:axId val="1628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33536"/>
        <c:crosses val="autoZero"/>
        <c:auto val="1"/>
        <c:lblAlgn val="ctr"/>
        <c:lblOffset val="100"/>
        <c:noMultiLvlLbl val="0"/>
      </c:catAx>
      <c:valAx>
        <c:axId val="16283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на чел 7-18 лет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23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680279908695963"/>
          <c:y val="0.49151805348655742"/>
          <c:w val="0.1733622195053461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5334290013925178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'Графики-прогноз'!$D$7:$AB$7</c:f>
              <c:numCache>
                <c:formatCode>_-* #\ ##0.00_р_._-;\-* #\ ##0.00_р_._-;_-* "-"??_р_._-;_-@_-</c:formatCode>
                <c:ptCount val="25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48</c:v>
                </c:pt>
                <c:pt idx="5">
                  <c:v>471</c:v>
                </c:pt>
                <c:pt idx="6">
                  <c:v>1091</c:v>
                </c:pt>
                <c:pt idx="7">
                  <c:v>967</c:v>
                </c:pt>
                <c:pt idx="8">
                  <c:v>597</c:v>
                </c:pt>
                <c:pt idx="9">
                  <c:v>463</c:v>
                </c:pt>
                <c:pt idx="10">
                  <c:v>889</c:v>
                </c:pt>
                <c:pt idx="11">
                  <c:v>538</c:v>
                </c:pt>
                <c:pt idx="12">
                  <c:v>630</c:v>
                </c:pt>
                <c:pt idx="13">
                  <c:v>1019</c:v>
                </c:pt>
                <c:pt idx="14">
                  <c:v>2755</c:v>
                </c:pt>
                <c:pt idx="15">
                  <c:v>343</c:v>
                </c:pt>
                <c:pt idx="16">
                  <c:v>1218</c:v>
                </c:pt>
                <c:pt idx="17">
                  <c:v>437</c:v>
                </c:pt>
                <c:pt idx="18">
                  <c:v>988</c:v>
                </c:pt>
                <c:pt idx="19">
                  <c:v>598</c:v>
                </c:pt>
                <c:pt idx="20">
                  <c:v>1893</c:v>
                </c:pt>
                <c:pt idx="21">
                  <c:v>854</c:v>
                </c:pt>
                <c:pt idx="22">
                  <c:v>836</c:v>
                </c:pt>
                <c:pt idx="23">
                  <c:v>965</c:v>
                </c:pt>
                <c:pt idx="24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4-4912-AB74-C34FBAF8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4512"/>
        <c:axId val="16286668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'Графики-прогноз'!$D$18:$AB$18</c:f>
              <c:numCache>
                <c:formatCode>_-* #\ ##0.00_р_._-;\-* #\ ##0.00_р_._-;_-* "-"??_р_._-;_-@_-</c:formatCode>
                <c:ptCount val="25"/>
                <c:pt idx="0">
                  <c:v>15560</c:v>
                </c:pt>
                <c:pt idx="1">
                  <c:v>15602.620564798397</c:v>
                </c:pt>
                <c:pt idx="2">
                  <c:v>14376.397816790533</c:v>
                </c:pt>
                <c:pt idx="3">
                  <c:v>13297.077304789347</c:v>
                </c:pt>
                <c:pt idx="4">
                  <c:v>12930.194212597775</c:v>
                </c:pt>
                <c:pt idx="5">
                  <c:v>12431.684501967888</c:v>
                </c:pt>
                <c:pt idx="6">
                  <c:v>12381.100276869494</c:v>
                </c:pt>
                <c:pt idx="7">
                  <c:v>12333.990249182545</c:v>
                </c:pt>
                <c:pt idx="8">
                  <c:v>13277.65034669072</c:v>
                </c:pt>
                <c:pt idx="9">
                  <c:v>13783.041782871485</c:v>
                </c:pt>
                <c:pt idx="10">
                  <c:v>14060.04915220875</c:v>
                </c:pt>
                <c:pt idx="11">
                  <c:v>14777.706086916298</c:v>
                </c:pt>
                <c:pt idx="12">
                  <c:v>15092.593206865935</c:v>
                </c:pt>
                <c:pt idx="13">
                  <c:v>15510.984839225421</c:v>
                </c:pt>
                <c:pt idx="14">
                  <c:v>16324.882202487845</c:v>
                </c:pt>
                <c:pt idx="15">
                  <c:v>19014.633380462965</c:v>
                </c:pt>
                <c:pt idx="16">
                  <c:v>19089.888720913928</c:v>
                </c:pt>
                <c:pt idx="17">
                  <c:v>20173.989833704789</c:v>
                </c:pt>
                <c:pt idx="18">
                  <c:v>20314.354855932383</c:v>
                </c:pt>
                <c:pt idx="19">
                  <c:v>21154.362752393445</c:v>
                </c:pt>
                <c:pt idx="20">
                  <c:v>21458.689368359155</c:v>
                </c:pt>
                <c:pt idx="21">
                  <c:v>23247.102474675565</c:v>
                </c:pt>
                <c:pt idx="22">
                  <c:v>23980.631449928809</c:v>
                </c:pt>
                <c:pt idx="23">
                  <c:v>24688.825135429521</c:v>
                </c:pt>
                <c:pt idx="24">
                  <c:v>25518.936884075229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4-4912-AB74-C34FBAF8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8608"/>
        <c:axId val="162878592"/>
      </c:lineChart>
      <c:catAx>
        <c:axId val="16286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6688"/>
        <c:crosses val="autoZero"/>
        <c:auto val="1"/>
        <c:lblAlgn val="ctr"/>
        <c:lblOffset val="100"/>
        <c:noMultiLvlLbl val="0"/>
      </c:catAx>
      <c:valAx>
        <c:axId val="162866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 (коек)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4512"/>
        <c:crosses val="autoZero"/>
        <c:crossBetween val="between"/>
      </c:valAx>
      <c:catAx>
        <c:axId val="162868608"/>
        <c:scaling>
          <c:orientation val="minMax"/>
        </c:scaling>
        <c:delete val="1"/>
        <c:axPos val="b"/>
        <c:majorTickMark val="out"/>
        <c:minorTickMark val="none"/>
        <c:tickLblPos val="none"/>
        <c:crossAx val="162878592"/>
        <c:crosses val="autoZero"/>
        <c:auto val="1"/>
        <c:lblAlgn val="ctr"/>
        <c:lblOffset val="100"/>
        <c:noMultiLvlLbl val="0"/>
      </c:catAx>
      <c:valAx>
        <c:axId val="1628785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 (коек)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860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013336369999508E-2"/>
          <c:y val="0.10439321721255169"/>
          <c:w val="0.74762461170718308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больницы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'Графики-прогноз'!$D$30:$AB$30</c:f>
              <c:numCache>
                <c:formatCode>_-* #\ ##0.0000_р_._-;\-* #\ ##0.0000_р_._-;_-* "-"??_р_._-;_-@_-</c:formatCode>
                <c:ptCount val="25"/>
                <c:pt idx="0">
                  <c:v>1.3720287773336613E-2</c:v>
                </c:pt>
                <c:pt idx="1">
                  <c:v>1.3870561889918592E-2</c:v>
                </c:pt>
                <c:pt idx="2">
                  <c:v>1.2870359795016842E-2</c:v>
                </c:pt>
                <c:pt idx="3">
                  <c:v>1.1953589476362061E-2</c:v>
                </c:pt>
                <c:pt idx="4">
                  <c:v>1.1688089277037701E-2</c:v>
                </c:pt>
                <c:pt idx="5">
                  <c:v>1.1305478005019833E-2</c:v>
                </c:pt>
                <c:pt idx="6">
                  <c:v>1.1299717328529246E-2</c:v>
                </c:pt>
                <c:pt idx="7">
                  <c:v>1.1307983025344009E-2</c:v>
                </c:pt>
                <c:pt idx="8">
                  <c:v>1.2244970739384711E-2</c:v>
                </c:pt>
                <c:pt idx="9">
                  <c:v>1.2789300355916423E-2</c:v>
                </c:pt>
                <c:pt idx="10">
                  <c:v>1.3152967875633559E-2</c:v>
                </c:pt>
                <c:pt idx="11">
                  <c:v>1.3943402592777458E-2</c:v>
                </c:pt>
                <c:pt idx="12">
                  <c:v>1.5327549241571384E-2</c:v>
                </c:pt>
                <c:pt idx="13">
                  <c:v>1.5836405610300867E-2</c:v>
                </c:pt>
                <c:pt idx="14">
                  <c:v>1.6765847073890072E-2</c:v>
                </c:pt>
                <c:pt idx="15">
                  <c:v>1.9573440163788758E-2</c:v>
                </c:pt>
                <c:pt idx="16">
                  <c:v>1.9873559094100764E-2</c:v>
                </c:pt>
                <c:pt idx="17">
                  <c:v>2.1234631125228682E-2</c:v>
                </c:pt>
                <c:pt idx="18">
                  <c:v>2.1698892997407383E-2</c:v>
                </c:pt>
                <c:pt idx="19">
                  <c:v>2.2955311774210313E-2</c:v>
                </c:pt>
                <c:pt idx="20">
                  <c:v>2.3687970677946157E-2</c:v>
                </c:pt>
                <c:pt idx="21">
                  <c:v>2.5891410083591498E-2</c:v>
                </c:pt>
                <c:pt idx="22">
                  <c:v>2.6944226993432647E-2</c:v>
                </c:pt>
                <c:pt idx="23">
                  <c:v>2.7994581491865251E-2</c:v>
                </c:pt>
                <c:pt idx="24">
                  <c:v>2.9044533183116738E-2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C-4142-896F-505B6A1F3C6B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ПУЛЬТ!$AD$18:$BB$18</c:f>
              <c:numCache>
                <c:formatCode>0.00000</c:formatCode>
                <c:ptCount val="25"/>
                <c:pt idx="0">
                  <c:v>1.3809E-2</c:v>
                </c:pt>
                <c:pt idx="1">
                  <c:v>1.3860000000000001E-2</c:v>
                </c:pt>
                <c:pt idx="2">
                  <c:v>1.285E-2</c:v>
                </c:pt>
                <c:pt idx="3">
                  <c:v>1.2012E-2</c:v>
                </c:pt>
                <c:pt idx="4">
                  <c:v>1.1780000000000001E-2</c:v>
                </c:pt>
                <c:pt idx="5">
                  <c:v>1.1735000000000001E-2</c:v>
                </c:pt>
                <c:pt idx="6">
                  <c:v>1.23E-2</c:v>
                </c:pt>
                <c:pt idx="7">
                  <c:v>1.2200000000000001E-2</c:v>
                </c:pt>
                <c:pt idx="8">
                  <c:v>1.3247058823529412E-2</c:v>
                </c:pt>
                <c:pt idx="9">
                  <c:v>1.4294117647058823E-2</c:v>
                </c:pt>
                <c:pt idx="10">
                  <c:v>1.5341176470588235E-2</c:v>
                </c:pt>
                <c:pt idx="11">
                  <c:v>1.6388235294117648E-2</c:v>
                </c:pt>
                <c:pt idx="12">
                  <c:v>1.7435294117647059E-2</c:v>
                </c:pt>
                <c:pt idx="13">
                  <c:v>1.8482352941176471E-2</c:v>
                </c:pt>
                <c:pt idx="14">
                  <c:v>1.9529411764705882E-2</c:v>
                </c:pt>
                <c:pt idx="15">
                  <c:v>2.0576470588235293E-2</c:v>
                </c:pt>
                <c:pt idx="16">
                  <c:v>2.1623529411764705E-2</c:v>
                </c:pt>
                <c:pt idx="17">
                  <c:v>2.2670588235294116E-2</c:v>
                </c:pt>
                <c:pt idx="18">
                  <c:v>2.3717647058823527E-2</c:v>
                </c:pt>
                <c:pt idx="19">
                  <c:v>2.4764705882352939E-2</c:v>
                </c:pt>
                <c:pt idx="20">
                  <c:v>2.581176470588235E-2</c:v>
                </c:pt>
                <c:pt idx="21">
                  <c:v>2.6858823529411761E-2</c:v>
                </c:pt>
                <c:pt idx="22">
                  <c:v>2.7905882352941173E-2</c:v>
                </c:pt>
                <c:pt idx="23">
                  <c:v>2.8952941176470584E-2</c:v>
                </c:pt>
                <c:pt idx="2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C-4142-896F-505B6A1F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00224"/>
        <c:axId val="162902016"/>
      </c:lineChart>
      <c:catAx>
        <c:axId val="16290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902016"/>
        <c:crosses val="autoZero"/>
        <c:auto val="1"/>
        <c:lblAlgn val="ctr"/>
        <c:lblOffset val="100"/>
        <c:noMultiLvlLbl val="0"/>
      </c:catAx>
      <c:valAx>
        <c:axId val="162902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(коек) на человека </a:t>
                </a:r>
              </a:p>
            </c:rich>
          </c:tx>
          <c:overlay val="0"/>
        </c:title>
        <c:numFmt formatCode="_-* #\ ##0.0000_р_._-;\-* #\ ##0.00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900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680442498991735"/>
          <c:y val="0.49151805348655742"/>
          <c:w val="0.1633605936023886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5334290013925178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'Графики-прогноз'!$D$8:$AB$8</c:f>
              <c:numCache>
                <c:formatCode>_-* #\ ##0.00_р_._-;\-* #\ ##0.00_р_._-;_-* "-"??_р_._-;_-@_-</c:formatCode>
                <c:ptCount val="25"/>
                <c:pt idx="0">
                  <c:v>1492</c:v>
                </c:pt>
                <c:pt idx="1">
                  <c:v>1459</c:v>
                </c:pt>
                <c:pt idx="2">
                  <c:v>972</c:v>
                </c:pt>
                <c:pt idx="3">
                  <c:v>646</c:v>
                </c:pt>
                <c:pt idx="4">
                  <c:v>1061</c:v>
                </c:pt>
                <c:pt idx="5">
                  <c:v>70</c:v>
                </c:pt>
                <c:pt idx="6">
                  <c:v>0</c:v>
                </c:pt>
                <c:pt idx="7">
                  <c:v>37</c:v>
                </c:pt>
                <c:pt idx="8">
                  <c:v>1112</c:v>
                </c:pt>
                <c:pt idx="9">
                  <c:v>1139</c:v>
                </c:pt>
                <c:pt idx="10">
                  <c:v>1184</c:v>
                </c:pt>
                <c:pt idx="11">
                  <c:v>1235</c:v>
                </c:pt>
                <c:pt idx="12">
                  <c:v>119</c:v>
                </c:pt>
                <c:pt idx="13">
                  <c:v>961</c:v>
                </c:pt>
                <c:pt idx="14">
                  <c:v>1845</c:v>
                </c:pt>
                <c:pt idx="15">
                  <c:v>1304</c:v>
                </c:pt>
                <c:pt idx="16">
                  <c:v>1143</c:v>
                </c:pt>
                <c:pt idx="17">
                  <c:v>1115</c:v>
                </c:pt>
                <c:pt idx="18">
                  <c:v>1166</c:v>
                </c:pt>
                <c:pt idx="19">
                  <c:v>1168</c:v>
                </c:pt>
                <c:pt idx="20">
                  <c:v>2013</c:v>
                </c:pt>
                <c:pt idx="21">
                  <c:v>1469</c:v>
                </c:pt>
                <c:pt idx="22">
                  <c:v>1298</c:v>
                </c:pt>
                <c:pt idx="23">
                  <c:v>1508</c:v>
                </c:pt>
                <c:pt idx="24">
                  <c:v>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3-491C-969C-639B151E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76352"/>
        <c:axId val="16307852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'Графики-прогноз'!$D$19:$AB$19</c:f>
              <c:numCache>
                <c:formatCode>_-* #\ ##0.00_р_._-;\-* #\ ##0.00_р_._-;_-* "-"??_р_._-;_-@_-</c:formatCode>
                <c:ptCount val="25"/>
                <c:pt idx="0">
                  <c:v>25612</c:v>
                </c:pt>
                <c:pt idx="1">
                  <c:v>26821.043999999998</c:v>
                </c:pt>
                <c:pt idx="2">
                  <c:v>28289.812433999996</c:v>
                </c:pt>
                <c:pt idx="3">
                  <c:v>27048.627439279993</c:v>
                </c:pt>
                <c:pt idx="4">
                  <c:v>27474.141164887194</c:v>
                </c:pt>
                <c:pt idx="5">
                  <c:v>28447.770459062762</c:v>
                </c:pt>
                <c:pt idx="6">
                  <c:v>28420.559879032771</c:v>
                </c:pt>
                <c:pt idx="7">
                  <c:v>27049.531885081135</c:v>
                </c:pt>
                <c:pt idx="8">
                  <c:v>26480.729692581252</c:v>
                </c:pt>
                <c:pt idx="9">
                  <c:v>27302.791294093044</c:v>
                </c:pt>
                <c:pt idx="10">
                  <c:v>28049.721805747828</c:v>
                </c:pt>
                <c:pt idx="11">
                  <c:v>28769.822199344813</c:v>
                </c:pt>
                <c:pt idx="12">
                  <c:v>29489.701092187624</c:v>
                </c:pt>
                <c:pt idx="13">
                  <c:v>29056.531714904602</c:v>
                </c:pt>
                <c:pt idx="14">
                  <c:v>29618.074952227507</c:v>
                </c:pt>
                <c:pt idx="15">
                  <c:v>31178.894202705233</c:v>
                </c:pt>
                <c:pt idx="16">
                  <c:v>32192.105260678181</c:v>
                </c:pt>
                <c:pt idx="17">
                  <c:v>32998.975688019898</c:v>
                </c:pt>
                <c:pt idx="18">
                  <c:v>33731.982324316334</c:v>
                </c:pt>
                <c:pt idx="19">
                  <c:v>34527.209935310464</c:v>
                </c:pt>
                <c:pt idx="20">
                  <c:v>35352.598006700864</c:v>
                </c:pt>
                <c:pt idx="21">
                  <c:v>37036.072026633854</c:v>
                </c:pt>
                <c:pt idx="22">
                  <c:v>38157.711306367521</c:v>
                </c:pt>
                <c:pt idx="23">
                  <c:v>39109.134193303849</c:v>
                </c:pt>
                <c:pt idx="24">
                  <c:v>40263.04285137081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3-491C-969C-639B151E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80448"/>
        <c:axId val="163082240"/>
      </c:lineChart>
      <c:catAx>
        <c:axId val="1630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78528"/>
        <c:crosses val="autoZero"/>
        <c:auto val="1"/>
        <c:lblAlgn val="ctr"/>
        <c:lblOffset val="100"/>
        <c:noMultiLvlLbl val="0"/>
      </c:catAx>
      <c:valAx>
        <c:axId val="163078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посещений в смену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76352"/>
        <c:crosses val="autoZero"/>
        <c:crossBetween val="between"/>
      </c:valAx>
      <c:catAx>
        <c:axId val="163080448"/>
        <c:scaling>
          <c:orientation val="minMax"/>
        </c:scaling>
        <c:delete val="1"/>
        <c:axPos val="b"/>
        <c:majorTickMark val="out"/>
        <c:minorTickMark val="none"/>
        <c:tickLblPos val="none"/>
        <c:crossAx val="163082240"/>
        <c:crosses val="autoZero"/>
        <c:auto val="1"/>
        <c:lblAlgn val="ctr"/>
        <c:lblOffset val="100"/>
        <c:noMultiLvlLbl val="0"/>
      </c:catAx>
      <c:valAx>
        <c:axId val="1630822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посещений в смену)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8044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4345725043791122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поликлиники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'Графики-прогноз'!$D$31:$AB$31</c:f>
              <c:numCache>
                <c:formatCode>_-* #\ ##0.00_р_._-;\-* #\ ##0.00_р_._-;_-* "-"??_р_._-;_-@_-</c:formatCode>
                <c:ptCount val="25"/>
                <c:pt idx="0">
                  <c:v>2.2583805298888007E-2</c:v>
                </c:pt>
                <c:pt idx="1">
                  <c:v>2.3843619679732732E-2</c:v>
                </c:pt>
                <c:pt idx="2">
                  <c:v>2.5326237434378732E-2</c:v>
                </c:pt>
                <c:pt idx="3">
                  <c:v>2.4315733517752725E-2</c:v>
                </c:pt>
                <c:pt idx="4">
                  <c:v>2.4834910401598881E-2</c:v>
                </c:pt>
                <c:pt idx="5">
                  <c:v>2.5870640713724392E-2</c:v>
                </c:pt>
                <c:pt idx="6">
                  <c:v>2.5938267663623959E-2</c:v>
                </c:pt>
                <c:pt idx="7">
                  <c:v>2.4799407265647173E-2</c:v>
                </c:pt>
                <c:pt idx="8">
                  <c:v>2.4421170295693906E-2</c:v>
                </c:pt>
                <c:pt idx="9">
                  <c:v>2.533429150951242E-2</c:v>
                </c:pt>
                <c:pt idx="10">
                  <c:v>2.6240099578421563E-2</c:v>
                </c:pt>
                <c:pt idx="11">
                  <c:v>2.7145567186727004E-2</c:v>
                </c:pt>
                <c:pt idx="12">
                  <c:v>3.1897596364829868E-2</c:v>
                </c:pt>
                <c:pt idx="13">
                  <c:v>3.1744587753371752E-2</c:v>
                </c:pt>
                <c:pt idx="14">
                  <c:v>3.2599028013639411E-2</c:v>
                </c:pt>
                <c:pt idx="15">
                  <c:v>3.4465114093516755E-2</c:v>
                </c:pt>
                <c:pt idx="16">
                  <c:v>3.5886853268108594E-2</c:v>
                </c:pt>
                <c:pt idx="17">
                  <c:v>3.718685298205477E-2</c:v>
                </c:pt>
                <c:pt idx="18">
                  <c:v>3.8508151820142375E-2</c:v>
                </c:pt>
                <c:pt idx="19">
                  <c:v>4.0008330290533585E-2</c:v>
                </c:pt>
                <c:pt idx="20">
                  <c:v>4.1600143080439189E-2</c:v>
                </c:pt>
                <c:pt idx="21">
                  <c:v>4.3881590299080925E-2</c:v>
                </c:pt>
                <c:pt idx="22">
                  <c:v>4.5523079707601881E-2</c:v>
                </c:pt>
                <c:pt idx="23">
                  <c:v>4.7013399551447822E-2</c:v>
                </c:pt>
                <c:pt idx="24">
                  <c:v>4.8493753906491632E-2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2-4E37-804E-559433CCBF36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ПУЛЬТ!$AD$19:$BB$19</c:f>
              <c:numCache>
                <c:formatCode>0.00000</c:formatCode>
                <c:ptCount val="25"/>
                <c:pt idx="0">
                  <c:v>2.3910000000000001E-2</c:v>
                </c:pt>
                <c:pt idx="1">
                  <c:v>2.5149999999999999E-2</c:v>
                </c:pt>
                <c:pt idx="2">
                  <c:v>2.6200000000000001E-2</c:v>
                </c:pt>
                <c:pt idx="3">
                  <c:v>2.4899999999999999E-2</c:v>
                </c:pt>
                <c:pt idx="4">
                  <c:v>2.58E-2</c:v>
                </c:pt>
                <c:pt idx="5">
                  <c:v>2.5935E-2</c:v>
                </c:pt>
                <c:pt idx="6">
                  <c:v>2.5819999999999999E-2</c:v>
                </c:pt>
                <c:pt idx="7">
                  <c:v>2.4899999999999999E-2</c:v>
                </c:pt>
                <c:pt idx="8">
                  <c:v>2.6376470588235293E-2</c:v>
                </c:pt>
                <c:pt idx="9">
                  <c:v>2.7852941176470587E-2</c:v>
                </c:pt>
                <c:pt idx="10">
                  <c:v>2.9329411764705882E-2</c:v>
                </c:pt>
                <c:pt idx="11">
                  <c:v>3.0805882352941176E-2</c:v>
                </c:pt>
                <c:pt idx="12">
                  <c:v>3.228235294117647E-2</c:v>
                </c:pt>
                <c:pt idx="13">
                  <c:v>3.3758823529411765E-2</c:v>
                </c:pt>
                <c:pt idx="14">
                  <c:v>3.5235294117647059E-2</c:v>
                </c:pt>
                <c:pt idx="15">
                  <c:v>3.6711764705882353E-2</c:v>
                </c:pt>
                <c:pt idx="16">
                  <c:v>3.8188235294117648E-2</c:v>
                </c:pt>
                <c:pt idx="17">
                  <c:v>3.9664705882352942E-2</c:v>
                </c:pt>
                <c:pt idx="18">
                  <c:v>4.1141176470588237E-2</c:v>
                </c:pt>
                <c:pt idx="19">
                  <c:v>4.2617647058823531E-2</c:v>
                </c:pt>
                <c:pt idx="20">
                  <c:v>4.4094117647058825E-2</c:v>
                </c:pt>
                <c:pt idx="21">
                  <c:v>4.557058823529412E-2</c:v>
                </c:pt>
                <c:pt idx="22">
                  <c:v>4.7047058823529414E-2</c:v>
                </c:pt>
                <c:pt idx="23">
                  <c:v>4.8523529411764708E-2</c:v>
                </c:pt>
                <c:pt idx="2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2-4E37-804E-559433CC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4832"/>
        <c:axId val="163146368"/>
      </c:lineChart>
      <c:catAx>
        <c:axId val="1631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46368"/>
        <c:crosses val="autoZero"/>
        <c:auto val="1"/>
        <c:lblAlgn val="ctr"/>
        <c:lblOffset val="100"/>
        <c:noMultiLvlLbl val="0"/>
      </c:catAx>
      <c:valAx>
        <c:axId val="16314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посещений в смену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44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13507663915396"/>
          <c:y val="0.49151805348655742"/>
          <c:w val="0.17919655055185557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16920665290885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'Графики-прогноз'!$D$9:$AB$9</c:f>
              <c:numCache>
                <c:formatCode>_-* #\ ##0.00_р_._-;\-* #\ ##0.00_р_._-;_-* "-"??_р_._-;_-@_-</c:formatCode>
                <c:ptCount val="25"/>
                <c:pt idx="0">
                  <c:v>3980</c:v>
                </c:pt>
                <c:pt idx="1">
                  <c:v>3535</c:v>
                </c:pt>
                <c:pt idx="2">
                  <c:v>1944</c:v>
                </c:pt>
                <c:pt idx="3">
                  <c:v>3437</c:v>
                </c:pt>
                <c:pt idx="4">
                  <c:v>6966</c:v>
                </c:pt>
                <c:pt idx="5">
                  <c:v>7294</c:v>
                </c:pt>
                <c:pt idx="6">
                  <c:v>7846</c:v>
                </c:pt>
                <c:pt idx="7">
                  <c:v>4662</c:v>
                </c:pt>
                <c:pt idx="8">
                  <c:v>2597</c:v>
                </c:pt>
                <c:pt idx="9">
                  <c:v>7493</c:v>
                </c:pt>
                <c:pt idx="10">
                  <c:v>2948</c:v>
                </c:pt>
                <c:pt idx="11">
                  <c:v>5836</c:v>
                </c:pt>
                <c:pt idx="12">
                  <c:v>4976</c:v>
                </c:pt>
                <c:pt idx="13">
                  <c:v>24481</c:v>
                </c:pt>
                <c:pt idx="14">
                  <c:v>4472</c:v>
                </c:pt>
                <c:pt idx="15">
                  <c:v>19191</c:v>
                </c:pt>
                <c:pt idx="16">
                  <c:v>2023</c:v>
                </c:pt>
                <c:pt idx="17">
                  <c:v>4145</c:v>
                </c:pt>
                <c:pt idx="18">
                  <c:v>4650</c:v>
                </c:pt>
                <c:pt idx="19">
                  <c:v>17726</c:v>
                </c:pt>
                <c:pt idx="20">
                  <c:v>2767</c:v>
                </c:pt>
                <c:pt idx="21">
                  <c:v>14387</c:v>
                </c:pt>
                <c:pt idx="22">
                  <c:v>7880</c:v>
                </c:pt>
                <c:pt idx="23">
                  <c:v>9096</c:v>
                </c:pt>
                <c:pt idx="24">
                  <c:v>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F-4F23-99E9-112EA408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81696"/>
        <c:axId val="163183616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'Графики-прогноз'!$D$20:$AB$20</c:f>
              <c:numCache>
                <c:formatCode>_-* #\ ##0.00_р_._-;\-* #\ ##0.00_р_._-;_-* "-"??_р_._-;_-@_-</c:formatCode>
                <c:ptCount val="25"/>
                <c:pt idx="0">
                  <c:v>125500</c:v>
                </c:pt>
                <c:pt idx="1">
                  <c:v>128275</c:v>
                </c:pt>
                <c:pt idx="2">
                  <c:v>131475.17499999999</c:v>
                </c:pt>
                <c:pt idx="3">
                  <c:v>132811.79912500002</c:v>
                </c:pt>
                <c:pt idx="4">
                  <c:v>136033.17552675001</c:v>
                </c:pt>
                <c:pt idx="5">
                  <c:v>142777.1091756965</c:v>
                </c:pt>
                <c:pt idx="6">
                  <c:v>148693.33808393954</c:v>
                </c:pt>
                <c:pt idx="7">
                  <c:v>155102.40470310015</c:v>
                </c:pt>
                <c:pt idx="8">
                  <c:v>158263.38065606914</c:v>
                </c:pt>
                <c:pt idx="9">
                  <c:v>158533.40315999518</c:v>
                </c:pt>
                <c:pt idx="10">
                  <c:v>164491.06912839523</c:v>
                </c:pt>
                <c:pt idx="11">
                  <c:v>164480.05227722609</c:v>
                </c:pt>
                <c:pt idx="12">
                  <c:v>168616.75029649184</c:v>
                </c:pt>
                <c:pt idx="13">
                  <c:v>171431.35312555547</c:v>
                </c:pt>
                <c:pt idx="14">
                  <c:v>194335.03959429992</c:v>
                </c:pt>
                <c:pt idx="15">
                  <c:v>196773.58674072404</c:v>
                </c:pt>
                <c:pt idx="16">
                  <c:v>214061.85087331678</c:v>
                </c:pt>
                <c:pt idx="17">
                  <c:v>212735.9108469316</c:v>
                </c:pt>
                <c:pt idx="18">
                  <c:v>214413.33070744757</c:v>
                </c:pt>
                <c:pt idx="19">
                  <c:v>216598.77609499785</c:v>
                </c:pt>
                <c:pt idx="20">
                  <c:v>232259.78833404789</c:v>
                </c:pt>
                <c:pt idx="21">
                  <c:v>232114.95974217405</c:v>
                </c:pt>
                <c:pt idx="22">
                  <c:v>244223.81014475229</c:v>
                </c:pt>
                <c:pt idx="23">
                  <c:v>249817.5720433048</c:v>
                </c:pt>
                <c:pt idx="24">
                  <c:v>256523.39632287176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F-4F23-99E9-112EA408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63616"/>
        <c:axId val="163265152"/>
      </c:lineChart>
      <c:catAx>
        <c:axId val="1631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83616"/>
        <c:crosses val="autoZero"/>
        <c:auto val="1"/>
        <c:lblAlgn val="ctr"/>
        <c:lblOffset val="100"/>
        <c:noMultiLvlLbl val="0"/>
      </c:catAx>
      <c:valAx>
        <c:axId val="16318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81696"/>
        <c:crosses val="autoZero"/>
        <c:crossBetween val="between"/>
      </c:valAx>
      <c:catAx>
        <c:axId val="163263616"/>
        <c:scaling>
          <c:orientation val="minMax"/>
        </c:scaling>
        <c:delete val="1"/>
        <c:axPos val="b"/>
        <c:majorTickMark val="out"/>
        <c:minorTickMark val="none"/>
        <c:tickLblPos val="none"/>
        <c:crossAx val="163265152"/>
        <c:crosses val="autoZero"/>
        <c:auto val="1"/>
        <c:lblAlgn val="ctr"/>
        <c:lblOffset val="100"/>
        <c:noMultiLvlLbl val="0"/>
      </c:catAx>
      <c:valAx>
        <c:axId val="1632651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кв.м)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2636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634605845304111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культура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'Графики-прогноз'!$D$32:$AB$32</c:f>
              <c:numCache>
                <c:formatCode>_-* #\ ##0.00_р_._-;\-* #\ ##0.00_р_._-;_-* "-"??_р_._-;_-@_-</c:formatCode>
                <c:ptCount val="25"/>
                <c:pt idx="0">
                  <c:v>0.11066170408443091</c:v>
                </c:pt>
                <c:pt idx="1">
                  <c:v>0.11403509551744952</c:v>
                </c:pt>
                <c:pt idx="2">
                  <c:v>0.11770214124059099</c:v>
                </c:pt>
                <c:pt idx="3">
                  <c:v>0.11939298298171869</c:v>
                </c:pt>
                <c:pt idx="4">
                  <c:v>0.12296550802357652</c:v>
                </c:pt>
                <c:pt idx="5">
                  <c:v>0.12984269888369804</c:v>
                </c:pt>
                <c:pt idx="6">
                  <c:v>0.13570624996252581</c:v>
                </c:pt>
                <c:pt idx="7">
                  <c:v>0.14220015778664455</c:v>
                </c:pt>
                <c:pt idx="8">
                  <c:v>0.14595432283940771</c:v>
                </c:pt>
                <c:pt idx="9">
                  <c:v>0.14710332750920263</c:v>
                </c:pt>
                <c:pt idx="10">
                  <c:v>0.15387896049670077</c:v>
                </c:pt>
                <c:pt idx="11">
                  <c:v>0.15519401819832909</c:v>
                </c:pt>
                <c:pt idx="12">
                  <c:v>0.1653629875013376</c:v>
                </c:pt>
                <c:pt idx="13">
                  <c:v>0.16974393066433399</c:v>
                </c:pt>
                <c:pt idx="14">
                  <c:v>0.19401485344840846</c:v>
                </c:pt>
                <c:pt idx="15">
                  <c:v>0.19872031516466271</c:v>
                </c:pt>
                <c:pt idx="16">
                  <c:v>0.2187058414320073</c:v>
                </c:pt>
                <c:pt idx="17">
                  <c:v>0.22065066663849814</c:v>
                </c:pt>
                <c:pt idx="18">
                  <c:v>0.22608027658640473</c:v>
                </c:pt>
                <c:pt idx="19">
                  <c:v>0.23261798994649527</c:v>
                </c:pt>
                <c:pt idx="20">
                  <c:v>0.25387265390287361</c:v>
                </c:pt>
                <c:pt idx="21">
                  <c:v>0.25683010712263565</c:v>
                </c:pt>
                <c:pt idx="22">
                  <c:v>0.27286722437273631</c:v>
                </c:pt>
                <c:pt idx="23">
                  <c:v>0.28202358755228196</c:v>
                </c:pt>
                <c:pt idx="24">
                  <c:v>0.29100221222519079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11B-A5B9-6820C008316D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ПУЛЬТ!$AD$20:$BB$20</c:f>
              <c:numCache>
                <c:formatCode>0.00000</c:formatCode>
                <c:ptCount val="25"/>
                <c:pt idx="0">
                  <c:v>0.1142</c:v>
                </c:pt>
                <c:pt idx="1">
                  <c:v>0.1172</c:v>
                </c:pt>
                <c:pt idx="2">
                  <c:v>0.11945</c:v>
                </c:pt>
                <c:pt idx="3">
                  <c:v>0.1225</c:v>
                </c:pt>
                <c:pt idx="4">
                  <c:v>0.1293</c:v>
                </c:pt>
                <c:pt idx="5">
                  <c:v>0.13650000000000001</c:v>
                </c:pt>
                <c:pt idx="6">
                  <c:v>0.1429</c:v>
                </c:pt>
                <c:pt idx="7">
                  <c:v>0.14649999999999999</c:v>
                </c:pt>
                <c:pt idx="8">
                  <c:v>0.15552941176470586</c:v>
                </c:pt>
                <c:pt idx="9">
                  <c:v>0.16455882352941176</c:v>
                </c:pt>
                <c:pt idx="10">
                  <c:v>0.17358823529411763</c:v>
                </c:pt>
                <c:pt idx="11">
                  <c:v>0.1826176470588235</c:v>
                </c:pt>
                <c:pt idx="12">
                  <c:v>0.19164705882352939</c:v>
                </c:pt>
                <c:pt idx="13">
                  <c:v>0.20067647058823529</c:v>
                </c:pt>
                <c:pt idx="14">
                  <c:v>0.20970588235294116</c:v>
                </c:pt>
                <c:pt idx="15">
                  <c:v>0.21873529411764703</c:v>
                </c:pt>
                <c:pt idx="16">
                  <c:v>0.22776470588235292</c:v>
                </c:pt>
                <c:pt idx="17">
                  <c:v>0.23679411764705882</c:v>
                </c:pt>
                <c:pt idx="18">
                  <c:v>0.24582352941176469</c:v>
                </c:pt>
                <c:pt idx="19">
                  <c:v>0.25485294117647056</c:v>
                </c:pt>
                <c:pt idx="20">
                  <c:v>0.26388235294117646</c:v>
                </c:pt>
                <c:pt idx="21">
                  <c:v>0.27291176470588235</c:v>
                </c:pt>
                <c:pt idx="22">
                  <c:v>0.28194117647058825</c:v>
                </c:pt>
                <c:pt idx="23">
                  <c:v>0.29097058823529409</c:v>
                </c:pt>
                <c:pt idx="2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11B-A5B9-6820C0083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1616"/>
        <c:axId val="163313152"/>
      </c:lineChart>
      <c:catAx>
        <c:axId val="1633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313152"/>
        <c:crosses val="autoZero"/>
        <c:auto val="1"/>
        <c:lblAlgn val="ctr"/>
        <c:lblOffset val="100"/>
        <c:noMultiLvlLbl val="0"/>
      </c:catAx>
      <c:valAx>
        <c:axId val="163313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 м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31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63875603642934"/>
          <c:y val="0.49151805348655742"/>
          <c:w val="0.1575262625558765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Физическая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16920665290885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'Графики-прогноз'!$D$10:$AB$10</c:f>
              <c:numCache>
                <c:formatCode>_-* #\ ##0.00_р_._-;\-* #\ ##0.00_р_._-;_-* "-"??_р_._-;_-@_-</c:formatCode>
                <c:ptCount val="25"/>
                <c:pt idx="0">
                  <c:v>3980</c:v>
                </c:pt>
                <c:pt idx="1">
                  <c:v>285</c:v>
                </c:pt>
                <c:pt idx="2">
                  <c:v>993</c:v>
                </c:pt>
                <c:pt idx="3">
                  <c:v>7472</c:v>
                </c:pt>
                <c:pt idx="4">
                  <c:v>7969</c:v>
                </c:pt>
                <c:pt idx="5">
                  <c:v>7405</c:v>
                </c:pt>
                <c:pt idx="6">
                  <c:v>7634</c:v>
                </c:pt>
                <c:pt idx="7">
                  <c:v>9764</c:v>
                </c:pt>
                <c:pt idx="8">
                  <c:v>2874</c:v>
                </c:pt>
                <c:pt idx="9">
                  <c:v>3251</c:v>
                </c:pt>
                <c:pt idx="10">
                  <c:v>3174</c:v>
                </c:pt>
                <c:pt idx="11">
                  <c:v>3264</c:v>
                </c:pt>
                <c:pt idx="12">
                  <c:v>18022</c:v>
                </c:pt>
                <c:pt idx="13">
                  <c:v>7756</c:v>
                </c:pt>
                <c:pt idx="14">
                  <c:v>16266</c:v>
                </c:pt>
                <c:pt idx="15">
                  <c:v>5586</c:v>
                </c:pt>
                <c:pt idx="16">
                  <c:v>6162</c:v>
                </c:pt>
                <c:pt idx="17">
                  <c:v>14470</c:v>
                </c:pt>
                <c:pt idx="18">
                  <c:v>1720</c:v>
                </c:pt>
                <c:pt idx="19">
                  <c:v>5126</c:v>
                </c:pt>
                <c:pt idx="20">
                  <c:v>11341</c:v>
                </c:pt>
                <c:pt idx="21">
                  <c:v>9902</c:v>
                </c:pt>
                <c:pt idx="22">
                  <c:v>7534</c:v>
                </c:pt>
                <c:pt idx="23">
                  <c:v>8800</c:v>
                </c:pt>
                <c:pt idx="24">
                  <c:v>8490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6-4965-88F5-F4F671CF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03840"/>
        <c:axId val="164005760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'Графики-прогноз'!$D$21:$AB$21</c:f>
              <c:numCache>
                <c:formatCode>_-* #\ ##0.00_р_._-;\-* #\ ##0.00_р_._-;_-* "-"??_р_._-;_-@_-</c:formatCode>
                <c:ptCount val="25"/>
                <c:pt idx="0">
                  <c:v>125500</c:v>
                </c:pt>
                <c:pt idx="1">
                  <c:v>128275</c:v>
                </c:pt>
                <c:pt idx="2">
                  <c:v>128353.45</c:v>
                </c:pt>
                <c:pt idx="3">
                  <c:v>128754.68275000001</c:v>
                </c:pt>
                <c:pt idx="4">
                  <c:v>136019.1733845</c:v>
                </c:pt>
                <c:pt idx="5">
                  <c:v>143766.135037731</c:v>
                </c:pt>
                <c:pt idx="6">
                  <c:v>149783.47368735369</c:v>
                </c:pt>
                <c:pt idx="7">
                  <c:v>155969.63895048015</c:v>
                </c:pt>
                <c:pt idx="8">
                  <c:v>164223.94256097535</c:v>
                </c:pt>
                <c:pt idx="9">
                  <c:v>165505.70313536559</c:v>
                </c:pt>
                <c:pt idx="10">
                  <c:v>167151.64610401192</c:v>
                </c:pt>
                <c:pt idx="11">
                  <c:v>168565.27436960279</c:v>
                </c:pt>
                <c:pt idx="12">
                  <c:v>169871.45034223745</c:v>
                </c:pt>
                <c:pt idx="13">
                  <c:v>186244.73583881508</c:v>
                </c:pt>
                <c:pt idx="14">
                  <c:v>192359.28848042694</c:v>
                </c:pt>
                <c:pt idx="15">
                  <c:v>206796.69559562267</c:v>
                </c:pt>
                <c:pt idx="16">
                  <c:v>210433.72863966646</c:v>
                </c:pt>
                <c:pt idx="17">
                  <c:v>214561.39135326978</c:v>
                </c:pt>
                <c:pt idx="18">
                  <c:v>226988.77743973711</c:v>
                </c:pt>
                <c:pt idx="19">
                  <c:v>225465.07142460189</c:v>
                </c:pt>
                <c:pt idx="20">
                  <c:v>228391.42071035586</c:v>
                </c:pt>
                <c:pt idx="21">
                  <c:v>237537.50650325231</c:v>
                </c:pt>
                <c:pt idx="22">
                  <c:v>245162.13143821977</c:v>
                </c:pt>
                <c:pt idx="23">
                  <c:v>250408.51012383759</c:v>
                </c:pt>
                <c:pt idx="24">
                  <c:v>256855.42502259923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6-4965-88F5-F4F671CF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24320"/>
        <c:axId val="164025856"/>
      </c:lineChart>
      <c:catAx>
        <c:axId val="1640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05760"/>
        <c:crosses val="autoZero"/>
        <c:auto val="1"/>
        <c:lblAlgn val="ctr"/>
        <c:lblOffset val="100"/>
        <c:noMultiLvlLbl val="0"/>
      </c:catAx>
      <c:valAx>
        <c:axId val="164005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03840"/>
        <c:crosses val="autoZero"/>
        <c:crossBetween val="between"/>
      </c:valAx>
      <c:catAx>
        <c:axId val="164024320"/>
        <c:scaling>
          <c:orientation val="minMax"/>
        </c:scaling>
        <c:delete val="1"/>
        <c:axPos val="b"/>
        <c:majorTickMark val="out"/>
        <c:minorTickMark val="none"/>
        <c:tickLblPos val="none"/>
        <c:crossAx val="164025856"/>
        <c:crosses val="autoZero"/>
        <c:auto val="1"/>
        <c:lblAlgn val="ctr"/>
        <c:lblOffset val="100"/>
        <c:noMultiLvlLbl val="0"/>
      </c:catAx>
      <c:valAx>
        <c:axId val="1640258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кв.м)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243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Обеспеченость местами в дет садах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393075356415583E-2"/>
          <c:y val="0.25396825396825434"/>
          <c:w val="0.92057026476578407"/>
          <c:h val="0.56349206349206349"/>
        </c:manualLayout>
      </c:layout>
      <c:lineChart>
        <c:grouping val="standard"/>
        <c:varyColors val="0"/>
        <c:ser>
          <c:idx val="0"/>
          <c:order val="0"/>
          <c:tx>
            <c:strRef>
              <c:f>[3]Дошкольное!$A$88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[3]Дошкольное!$B$88:$I$88</c:f>
              <c:numCache>
                <c:formatCode>General</c:formatCode>
                <c:ptCount val="8"/>
                <c:pt idx="0">
                  <c:v>0.56584717975678256</c:v>
                </c:pt>
                <c:pt idx="1">
                  <c:v>0.58527861700830497</c:v>
                </c:pt>
                <c:pt idx="2">
                  <c:v>0.60164325470447921</c:v>
                </c:pt>
                <c:pt idx="3">
                  <c:v>0.59518441698980973</c:v>
                </c:pt>
                <c:pt idx="4">
                  <c:v>0.59116639262987458</c:v>
                </c:pt>
                <c:pt idx="5">
                  <c:v>0.60788038482750162</c:v>
                </c:pt>
                <c:pt idx="6">
                  <c:v>0.61212868938027898</c:v>
                </c:pt>
                <c:pt idx="7">
                  <c:v>0.63573315719947154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6-4F48-982D-C05CD853F36F}"/>
            </c:ext>
          </c:extLst>
        </c:ser>
        <c:ser>
          <c:idx val="1"/>
          <c:order val="1"/>
          <c:tx>
            <c:strRef>
              <c:f>[3]Дошкольное!$A$89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[3]Дошкольное!$B$89:$I$89</c:f>
              <c:numCache>
                <c:formatCode>General</c:formatCode>
                <c:ptCount val="8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6-4F48-982D-C05CD853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02240"/>
        <c:axId val="161003776"/>
      </c:lineChart>
      <c:catAx>
        <c:axId val="1610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03776"/>
        <c:crosses val="autoZero"/>
        <c:auto val="1"/>
        <c:lblAlgn val="ctr"/>
        <c:lblOffset val="100"/>
        <c:noMultiLvlLbl val="0"/>
      </c:catAx>
      <c:valAx>
        <c:axId val="1610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02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9865249023098173"/>
          <c:y val="0.53557763612881815"/>
          <c:w val="0.95719400655366216"/>
          <c:h val="0.7115531391909337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 физическая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32100850657449E-2"/>
          <c:y val="0.10439321721255169"/>
          <c:w val="0.74795935619145026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физкультура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'Графики-прогноз'!$D$33:$AB$33</c:f>
              <c:numCache>
                <c:formatCode>_-* #\ ##0.00_р_._-;\-* #\ ##0.00_р_._-;_-* "-"??_р_._-;_-@_-</c:formatCode>
                <c:ptCount val="25"/>
                <c:pt idx="0">
                  <c:v>0.11066170408443091</c:v>
                </c:pt>
                <c:pt idx="1">
                  <c:v>0.11403509551744952</c:v>
                </c:pt>
                <c:pt idx="2">
                  <c:v>0.11490744089610175</c:v>
                </c:pt>
                <c:pt idx="3">
                  <c:v>0.11574578273666118</c:v>
                </c:pt>
                <c:pt idx="4">
                  <c:v>0.12295285096011738</c:v>
                </c:pt>
                <c:pt idx="5">
                  <c:v>0.13074212728600801</c:v>
                </c:pt>
                <c:pt idx="6">
                  <c:v>0.13670117156827022</c:v>
                </c:pt>
                <c:pt idx="7">
                  <c:v>0.14299525085468226</c:v>
                </c:pt>
                <c:pt idx="8">
                  <c:v>0.15145129739515498</c:v>
                </c:pt>
                <c:pt idx="9">
                  <c:v>0.15357293269224542</c:v>
                </c:pt>
                <c:pt idx="10">
                  <c:v>0.15636789087753369</c:v>
                </c:pt>
                <c:pt idx="11">
                  <c:v>0.15904860131020659</c:v>
                </c:pt>
                <c:pt idx="12">
                  <c:v>0.16655803894440535</c:v>
                </c:pt>
                <c:pt idx="13">
                  <c:v>0.1840039120211002</c:v>
                </c:pt>
                <c:pt idx="14">
                  <c:v>0.19208992243813766</c:v>
                </c:pt>
                <c:pt idx="15">
                  <c:v>0.20860615907684074</c:v>
                </c:pt>
                <c:pt idx="16">
                  <c:v>0.21507718578597701</c:v>
                </c:pt>
                <c:pt idx="17">
                  <c:v>0.22250467476792379</c:v>
                </c:pt>
                <c:pt idx="18">
                  <c:v>0.23907162845749538</c:v>
                </c:pt>
                <c:pt idx="19">
                  <c:v>0.2419529467841329</c:v>
                </c:pt>
                <c:pt idx="20">
                  <c:v>0.24972036523708066</c:v>
                </c:pt>
                <c:pt idx="21">
                  <c:v>0.26272417968902506</c:v>
                </c:pt>
                <c:pt idx="22">
                  <c:v>0.27389834667324997</c:v>
                </c:pt>
                <c:pt idx="23">
                  <c:v>0.28268018541954065</c:v>
                </c:pt>
                <c:pt idx="24">
                  <c:v>0.29137319401259576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D-4617-AC8C-477F81B8164D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ПУЛЬТ!$AD$21:$BB$21</c:f>
              <c:numCache>
                <c:formatCode>0.00000</c:formatCode>
                <c:ptCount val="25"/>
                <c:pt idx="0">
                  <c:v>0.1142</c:v>
                </c:pt>
                <c:pt idx="1">
                  <c:v>0.11429</c:v>
                </c:pt>
                <c:pt idx="2">
                  <c:v>0.1158</c:v>
                </c:pt>
                <c:pt idx="3">
                  <c:v>0.1225</c:v>
                </c:pt>
                <c:pt idx="4">
                  <c:v>0.13020000000000001</c:v>
                </c:pt>
                <c:pt idx="5">
                  <c:v>0.13750000000000001</c:v>
                </c:pt>
                <c:pt idx="6">
                  <c:v>0.14369999999999999</c:v>
                </c:pt>
                <c:pt idx="7">
                  <c:v>0.152</c:v>
                </c:pt>
                <c:pt idx="8">
                  <c:v>0.16070588235294117</c:v>
                </c:pt>
                <c:pt idx="9">
                  <c:v>0.16941176470588235</c:v>
                </c:pt>
                <c:pt idx="10">
                  <c:v>0.17811764705882352</c:v>
                </c:pt>
                <c:pt idx="11">
                  <c:v>0.18682352941176469</c:v>
                </c:pt>
                <c:pt idx="12">
                  <c:v>0.19552941176470587</c:v>
                </c:pt>
                <c:pt idx="13">
                  <c:v>0.20423529411764704</c:v>
                </c:pt>
                <c:pt idx="14">
                  <c:v>0.21294117647058822</c:v>
                </c:pt>
                <c:pt idx="15">
                  <c:v>0.22164705882352939</c:v>
                </c:pt>
                <c:pt idx="16">
                  <c:v>0.23035294117647057</c:v>
                </c:pt>
                <c:pt idx="17">
                  <c:v>0.23905882352941174</c:v>
                </c:pt>
                <c:pt idx="18">
                  <c:v>0.24776470588235291</c:v>
                </c:pt>
                <c:pt idx="19">
                  <c:v>0.25647058823529412</c:v>
                </c:pt>
                <c:pt idx="20">
                  <c:v>0.26517647058823529</c:v>
                </c:pt>
                <c:pt idx="21">
                  <c:v>0.27388235294117647</c:v>
                </c:pt>
                <c:pt idx="22">
                  <c:v>0.28258823529411764</c:v>
                </c:pt>
                <c:pt idx="23">
                  <c:v>0.29129411764705881</c:v>
                </c:pt>
                <c:pt idx="2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D-4617-AC8C-477F81B8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66208"/>
        <c:axId val="166368000"/>
      </c:lineChart>
      <c:catAx>
        <c:axId val="1663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6368000"/>
        <c:crosses val="autoZero"/>
        <c:auto val="1"/>
        <c:lblAlgn val="ctr"/>
        <c:lblOffset val="100"/>
        <c:noMultiLvlLbl val="0"/>
      </c:catAx>
      <c:valAx>
        <c:axId val="16636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 м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6366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59275354056204"/>
          <c:y val="0.49151805348655742"/>
          <c:w val="0.17574541315883385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4AA-4E60-91ED-B660304BF2B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4AA-4E60-91ED-B660304BF2B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4AA-4E60-91ED-B660304BF2B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4AA-4E60-91ED-B660304B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15488"/>
        <c:axId val="167217408"/>
      </c:lineChart>
      <c:catAx>
        <c:axId val="1672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217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21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215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C2-419A-8274-8E9543F84BA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5C2-419A-8274-8E9543F84BA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5C2-419A-8274-8E9543F84BA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5C2-419A-8274-8E9543F84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55904"/>
        <c:axId val="167357824"/>
      </c:lineChart>
      <c:catAx>
        <c:axId val="1673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35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35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35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123-4858-B27B-A3D5297A5B93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123-4858-B27B-A3D5297A5B93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123-4858-B27B-A3D5297A5B93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123-4858-B27B-A3D5297A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09920"/>
        <c:axId val="167432576"/>
      </c:lineChart>
      <c:catAx>
        <c:axId val="1674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432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43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409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CD-4F48-8DA6-33DA7933306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0CD-4F48-8DA6-33DA7933306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0CD-4F48-8DA6-33DA7933306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0CD-4F48-8DA6-33DA7933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21280"/>
        <c:axId val="167548032"/>
      </c:lineChart>
      <c:catAx>
        <c:axId val="16752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548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54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521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387-45F0-A236-CBF5A43D99A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387-45F0-A236-CBF5A43D99A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387-45F0-A236-CBF5A43D99A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387-45F0-A236-CBF5A43D9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45888"/>
        <c:axId val="167847808"/>
      </c:lineChart>
      <c:catAx>
        <c:axId val="1678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47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84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4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8A3-433F-B744-E3E606619E5D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8A3-433F-B744-E3E606619E5D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8A3-433F-B744-E3E606619E5D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8A3-433F-B744-E3E606619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87616"/>
        <c:axId val="167889536"/>
      </c:lineChart>
      <c:catAx>
        <c:axId val="16788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895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88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87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89-4A25-AB34-943BFAE417D6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389-4A25-AB34-943BFAE417D6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389-4A25-AB34-943BFAE417D6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389-4A25-AB34-943BFAE41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76800"/>
        <c:axId val="168078720"/>
      </c:lineChart>
      <c:catAx>
        <c:axId val="16807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078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07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076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DF-4AE4-9302-3224EB00767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0DF-4AE4-9302-3224EB00767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0DF-4AE4-9302-3224EB00767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0DF-4AE4-9302-3224EB00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0448"/>
        <c:axId val="168202624"/>
      </c:lineChart>
      <c:catAx>
        <c:axId val="1682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02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0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00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6FB-4743-B244-06C63A15F3A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6FB-4743-B244-06C63A15F3A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6FB-4743-B244-06C63A15F3A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6FB-4743-B244-06C63A15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33984"/>
        <c:axId val="168248448"/>
      </c:lineChart>
      <c:catAx>
        <c:axId val="168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4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33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3996316758747E-2"/>
          <c:y val="0.25752508361204057"/>
          <c:w val="0.93001841620626169"/>
          <c:h val="0.59531772575250697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8-4C0E-B36B-3AD6A8F25BFB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8-4C0E-B36B-3AD6A8F2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2736"/>
        <c:axId val="162005760"/>
      </c:lineChart>
      <c:catAx>
        <c:axId val="1610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05760"/>
        <c:crosses val="autoZero"/>
        <c:auto val="1"/>
        <c:lblAlgn val="ctr"/>
        <c:lblOffset val="100"/>
        <c:noMultiLvlLbl val="0"/>
      </c:catAx>
      <c:valAx>
        <c:axId val="16200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1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0921757708463238"/>
          <c:y val="0.5462186290258868"/>
          <c:w val="0.95927108558943963"/>
          <c:h val="0.6948933891624751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CA-4357-B8B6-CD529D2ADB8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CA-4357-B8B6-CD529D2ADB8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CA-4357-B8B6-CD529D2ADB8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CA-4357-B8B6-CD529D2AD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84160"/>
        <c:axId val="168286080"/>
      </c:lineChart>
      <c:catAx>
        <c:axId val="16828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86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8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84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69-4C52-9FC9-BA4E30DC3C7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C69-4C52-9FC9-BA4E30DC3C7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C69-4C52-9FC9-BA4E30DC3C7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C69-4C52-9FC9-BA4E30DC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25888"/>
        <c:axId val="168327808"/>
      </c:lineChart>
      <c:catAx>
        <c:axId val="1683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327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32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32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59-45C1-BA69-DD6BDEFB854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759-45C1-BA69-DD6BDEFB854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759-45C1-BA69-DD6BDEFB854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759-45C1-BA69-DD6BDEFB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10976"/>
        <c:axId val="168512896"/>
      </c:lineChart>
      <c:catAx>
        <c:axId val="16851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512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51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510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9F-4B37-966A-CCBEDF945F9E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F9F-4B37-966A-CCBEDF945F9E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F9F-4B37-966A-CCBEDF945F9E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F9F-4B37-966A-CCBEDF94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30528"/>
        <c:axId val="168632704"/>
      </c:lineChart>
      <c:catAx>
        <c:axId val="16863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32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63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30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C91-4F67-80E9-91A01F90BAF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C91-4F67-80E9-91A01F90BAF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C91-4F67-80E9-91A01F90BAF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C91-4F67-80E9-91A01F90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80448"/>
        <c:axId val="168703104"/>
      </c:lineChart>
      <c:catAx>
        <c:axId val="1686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03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70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80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8A-45F5-8809-4829C948608F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8A-45F5-8809-4829C948608F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8A-45F5-8809-4829C948608F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8A-45F5-8809-4829C9486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67488"/>
        <c:axId val="168769408"/>
      </c:lineChart>
      <c:catAx>
        <c:axId val="16876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69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76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67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A3B-4E59-BAA7-F00D4C77126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A3B-4E59-BAA7-F00D4C77126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A3B-4E59-BAA7-F00D4C77126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A3B-4E59-BAA7-F00D4C77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41984"/>
        <c:axId val="168843904"/>
      </c:lineChart>
      <c:catAx>
        <c:axId val="16884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43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84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41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D4-4DD1-BB0A-7D85EF96222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D4-4DD1-BB0A-7D85EF96222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8D4-4DD1-BB0A-7D85EF96222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8D4-4DD1-BB0A-7D85EF96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96000"/>
        <c:axId val="168897920"/>
      </c:lineChart>
      <c:catAx>
        <c:axId val="16889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979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89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96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EC-4F84-A0BD-D332733D4F3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EC-4F84-A0BD-D332733D4F3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EC-4F84-A0BD-D332733D4F3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EC-4F84-A0BD-D332733D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45920"/>
        <c:axId val="185590144"/>
      </c:lineChart>
      <c:catAx>
        <c:axId val="16894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559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559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945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41-46F0-9A28-A796494D651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41-46F0-9A28-A796494D651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441-46F0-9A28-A796494D651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441-46F0-9A28-A796494D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9776"/>
        <c:axId val="188662912"/>
      </c:lineChart>
      <c:catAx>
        <c:axId val="18861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8662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866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8619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42768273716953E-2"/>
          <c:y val="0.25838926174496718"/>
          <c:w val="0.94090202177293836"/>
          <c:h val="0.60067114093959828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D-46C7-8DD1-F206CCB97A2C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D-46C7-8DD1-F206CCB9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18816"/>
        <c:axId val="162020352"/>
      </c:lineChart>
      <c:catAx>
        <c:axId val="1620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20352"/>
        <c:crosses val="autoZero"/>
        <c:auto val="1"/>
        <c:lblAlgn val="ctr"/>
        <c:lblOffset val="100"/>
        <c:noMultiLvlLbl val="0"/>
      </c:catAx>
      <c:valAx>
        <c:axId val="1620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18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5177322508092401"/>
          <c:y val="0.53931124381264328"/>
          <c:w val="0.97756889253540125"/>
          <c:h val="0.6887590057954166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A7-4182-819C-7F597B8FA848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9A7-4182-819C-7F597B8FA848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9A7-4182-819C-7F597B8FA848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9A7-4182-819C-7F597B8FA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7984"/>
        <c:axId val="213419904"/>
      </c:lineChart>
      <c:catAx>
        <c:axId val="21341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419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41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417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EC2-4529-8A90-9CF137209E90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EC2-4529-8A90-9CF137209E90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EC2-4529-8A90-9CF137209E90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EC2-4529-8A90-9CF13720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40"/>
        <c:axId val="213637760"/>
      </c:lineChart>
      <c:catAx>
        <c:axId val="21363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637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63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635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13-4DB5-95C6-EB195CD69AB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13-4DB5-95C6-EB195CD69AB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13-4DB5-95C6-EB195CD69AB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13-4DB5-95C6-EB195CD69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7680"/>
        <c:axId val="213769600"/>
      </c:lineChart>
      <c:catAx>
        <c:axId val="2137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769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76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767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BB-41D5-AD77-1A054305745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6BB-41D5-AD77-1A054305745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6BB-41D5-AD77-1A054305745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6BB-41D5-AD77-1A054305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73248"/>
        <c:axId val="231108992"/>
      </c:lineChart>
      <c:catAx>
        <c:axId val="2139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08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10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973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3C-4708-87CB-AA3A8220E3C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03C-4708-87CB-AA3A8220E3C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03C-4708-87CB-AA3A8220E3C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03C-4708-87CB-AA3A8220E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169024"/>
        <c:axId val="231175296"/>
      </c:lineChart>
      <c:catAx>
        <c:axId val="23116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75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17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69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76-4EDA-99FB-71ABC0DEF453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C76-4EDA-99FB-71ABC0DEF453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C76-4EDA-99FB-71ABC0DEF453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C76-4EDA-99FB-71ABC0DE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432192"/>
        <c:axId val="231434112"/>
      </c:lineChart>
      <c:catAx>
        <c:axId val="2314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434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43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432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505-48E1-A98D-C8C4D9A6E99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505-48E1-A98D-C8C4D9A6E99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505-48E1-A98D-C8C4D9A6E99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505-48E1-A98D-C8C4D9A6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02592"/>
        <c:axId val="231504512"/>
      </c:lineChart>
      <c:catAx>
        <c:axId val="2315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50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50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502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42-4710-8C52-312BD8100AC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E42-4710-8C52-312BD8100AC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E42-4710-8C52-312BD8100AC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E42-4710-8C52-312BD810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49824"/>
        <c:axId val="231951744"/>
      </c:lineChart>
      <c:catAx>
        <c:axId val="23194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51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95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49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E0-4F84-B3C4-F492FA98FC7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AE0-4F84-B3C4-F492FA98FC7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AE0-4F84-B3C4-F492FA98FC7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AE0-4F84-B3C4-F492FA98F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95648"/>
        <c:axId val="232194432"/>
      </c:lineChart>
      <c:catAx>
        <c:axId val="23199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194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19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95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A5-439B-BCEB-58C2DEBF757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9A5-439B-BCEB-58C2DEBF757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9A5-439B-BCEB-58C2DEBF757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9A5-439B-BCEB-58C2DEBF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233984"/>
        <c:axId val="232248448"/>
      </c:lineChart>
      <c:catAx>
        <c:axId val="232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24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233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37410071942493E-2"/>
          <c:y val="0.29699248120300803"/>
          <c:w val="0.9453237410071943"/>
          <c:h val="0.54511278195488655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9-46F7-8BD9-B4A73E85F7A0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9-46F7-8BD9-B4A73E85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37760"/>
        <c:axId val="162039296"/>
      </c:lineChart>
      <c:catAx>
        <c:axId val="1620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39296"/>
        <c:crosses val="autoZero"/>
        <c:auto val="1"/>
        <c:lblAlgn val="ctr"/>
        <c:lblOffset val="100"/>
        <c:noMultiLvlLbl val="0"/>
      </c:catAx>
      <c:valAx>
        <c:axId val="1620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37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2006155705357076"/>
          <c:y val="0.55272709332386172"/>
          <c:w val="0.97513276308087393"/>
          <c:h val="0.7200000000000006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706-47EE-8737-39FD63B100CF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706-47EE-8737-39FD63B100CF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706-47EE-8737-39FD63B100CF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706-47EE-8737-39FD63B10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271296"/>
        <c:axId val="233273216"/>
      </c:lineChart>
      <c:catAx>
        <c:axId val="2332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273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27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271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7E-4FE3-ADA8-9D71AB430C2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D7E-4FE3-ADA8-9D71AB430C2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D7E-4FE3-ADA8-9D71AB430C2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D7E-4FE3-ADA8-9D71AB43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99040"/>
        <c:axId val="233400960"/>
      </c:lineChart>
      <c:catAx>
        <c:axId val="2333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400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40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399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D2-445D-A9A9-B4B5B7A3220D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BD2-445D-A9A9-B4B5B7A3220D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BD2-445D-A9A9-B4B5B7A3220D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BD2-445D-A9A9-B4B5B7A3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15904"/>
        <c:axId val="233917824"/>
      </c:lineChart>
      <c:catAx>
        <c:axId val="2339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1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91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1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24-4056-8826-006184F7B68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324-4056-8826-006184F7B68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324-4056-8826-006184F7B68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324-4056-8826-006184F7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53536"/>
        <c:axId val="233959808"/>
      </c:lineChart>
      <c:catAx>
        <c:axId val="23395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59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95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53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DD-42F3-88E2-0B948E6B333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DD-42F3-88E2-0B948E6B333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DD-42F3-88E2-0B948E6B333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DD-42F3-88E2-0B948E6B3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95264"/>
        <c:axId val="234005632"/>
      </c:lineChart>
      <c:catAx>
        <c:axId val="2339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4005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400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95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EC-4435-A5D2-1B377666BC7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2EC-4435-A5D2-1B377666BC7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2EC-4435-A5D2-1B377666BC7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2EC-4435-A5D2-1B377666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25792"/>
        <c:axId val="235427712"/>
      </c:lineChart>
      <c:catAx>
        <c:axId val="2354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4277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42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425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2CB-4A3F-B5CD-F6E6409FE08E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2CB-4A3F-B5CD-F6E6409FE08E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2CB-4A3F-B5CD-F6E6409FE08E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2CB-4A3F-B5CD-F6E6409F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512576"/>
        <c:axId val="235514496"/>
      </c:lineChart>
      <c:catAx>
        <c:axId val="2355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514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51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512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B4-42D5-9780-B88B6925E13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B4-42D5-9780-B88B6925E13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FB4-42D5-9780-B88B6925E13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FB4-42D5-9780-B88B6925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02464"/>
        <c:axId val="235904384"/>
      </c:lineChart>
      <c:catAx>
        <c:axId val="23590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04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90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02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DDB-418A-8312-0057A8F2573C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DDB-418A-8312-0057A8F2573C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DDB-418A-8312-0057A8F2573C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DDB-418A-8312-0057A8F2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56864"/>
        <c:axId val="235963136"/>
      </c:lineChart>
      <c:catAx>
        <c:axId val="23595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63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96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56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EB-427F-BE06-579C90BA031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EEB-427F-BE06-579C90BA031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EEB-427F-BE06-579C90BA031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EEB-427F-BE06-579C90BA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81920"/>
        <c:axId val="236500480"/>
      </c:lineChart>
      <c:catAx>
        <c:axId val="23648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6500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650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6481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01015965166909E-2"/>
          <c:y val="0.18952618453865341"/>
          <c:w val="0.94484760522496369"/>
          <c:h val="0.70822942643391606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2-4493-A783-85E873BA82EE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2-4493-A783-85E873BA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2736"/>
        <c:axId val="162333056"/>
      </c:lineChart>
      <c:catAx>
        <c:axId val="1620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33056"/>
        <c:crosses val="autoZero"/>
        <c:auto val="1"/>
        <c:lblAlgn val="ctr"/>
        <c:lblOffset val="100"/>
        <c:noMultiLvlLbl val="0"/>
      </c:catAx>
      <c:valAx>
        <c:axId val="1623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5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5758690178241415"/>
          <c:y val="0.53734927772432461"/>
          <c:w val="0.97485160508782565"/>
          <c:h val="0.6481926417551926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по отраслям</a:t>
            </a:r>
          </a:p>
        </c:rich>
      </c:tx>
      <c:layout>
        <c:manualLayout>
          <c:xMode val="edge"/>
          <c:yMode val="edge"/>
          <c:x val="0.32590861738349319"/>
          <c:y val="2.50626566416040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5920896466787E-2"/>
          <c:y val="0.16218844836691076"/>
          <c:w val="0.81004477072703041"/>
          <c:h val="0.7584700001586514"/>
        </c:manualLayout>
      </c:layout>
      <c:lineChart>
        <c:grouping val="standard"/>
        <c:varyColors val="0"/>
        <c:ser>
          <c:idx val="0"/>
          <c:order val="0"/>
          <c:tx>
            <c:strRef>
              <c:f>'[2]График-всё'!$A$4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'[2]График-всё'!$C$4:$AB$4</c:f>
              <c:numCache>
                <c:formatCode>General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0.72948865068040558</c:v>
                </c:pt>
                <c:pt idx="10">
                  <c:v>0.73444371019485666</c:v>
                </c:pt>
                <c:pt idx="11">
                  <c:v>0.73900751194184011</c:v>
                </c:pt>
                <c:pt idx="12">
                  <c:v>0.74395178885244417</c:v>
                </c:pt>
                <c:pt idx="13">
                  <c:v>0.76559469179445616</c:v>
                </c:pt>
                <c:pt idx="14">
                  <c:v>0.78821613413092539</c:v>
                </c:pt>
                <c:pt idx="15">
                  <c:v>0.81096486903207377</c:v>
                </c:pt>
                <c:pt idx="16">
                  <c:v>0.82962786058067883</c:v>
                </c:pt>
                <c:pt idx="17">
                  <c:v>0.84849586264037324</c:v>
                </c:pt>
                <c:pt idx="18">
                  <c:v>0.86584998613069852</c:v>
                </c:pt>
                <c:pt idx="19">
                  <c:v>0.8846030882895175</c:v>
                </c:pt>
                <c:pt idx="20">
                  <c:v>0.9038761417880995</c:v>
                </c:pt>
                <c:pt idx="21">
                  <c:v>0.92002224912774366</c:v>
                </c:pt>
                <c:pt idx="22">
                  <c:v>0.93905479341711584</c:v>
                </c:pt>
                <c:pt idx="23">
                  <c:v>0.96136511678723569</c:v>
                </c:pt>
                <c:pt idx="24">
                  <c:v>0.98230729634668978</c:v>
                </c:pt>
                <c:pt idx="25">
                  <c:v>1.0000000173155388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C-4E67-BC9C-7BE87C92CB8A}"/>
            </c:ext>
          </c:extLst>
        </c:ser>
        <c:ser>
          <c:idx val="1"/>
          <c:order val="1"/>
          <c:tx>
            <c:strRef>
              <c:f>'[2]График-всё'!$A$5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'[2]График-всё'!$C$5:$AB$5</c:f>
              <c:numCache>
                <c:formatCode>General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0.76404624076456673</c:v>
                </c:pt>
                <c:pt idx="10">
                  <c:v>0.75775469584019561</c:v>
                </c:pt>
                <c:pt idx="11">
                  <c:v>0.75556205829956513</c:v>
                </c:pt>
                <c:pt idx="12">
                  <c:v>0.84196546728281474</c:v>
                </c:pt>
                <c:pt idx="13">
                  <c:v>0.83064401765421048</c:v>
                </c:pt>
                <c:pt idx="14">
                  <c:v>0.8334681693646232</c:v>
                </c:pt>
                <c:pt idx="15">
                  <c:v>0.84670001202454714</c:v>
                </c:pt>
                <c:pt idx="16">
                  <c:v>0.86887213232092453</c:v>
                </c:pt>
                <c:pt idx="17">
                  <c:v>0.87833260233883159</c:v>
                </c:pt>
                <c:pt idx="18">
                  <c:v>0.89501808116747916</c:v>
                </c:pt>
                <c:pt idx="19">
                  <c:v>0.90185293097320274</c:v>
                </c:pt>
                <c:pt idx="20">
                  <c:v>0.91388097855562023</c:v>
                </c:pt>
                <c:pt idx="21">
                  <c:v>0.95198139005631066</c:v>
                </c:pt>
                <c:pt idx="22">
                  <c:v>1.0033307774625861</c:v>
                </c:pt>
                <c:pt idx="23">
                  <c:v>1.0072261753999128</c:v>
                </c:pt>
                <c:pt idx="24">
                  <c:v>1.0040891405246943</c:v>
                </c:pt>
                <c:pt idx="25">
                  <c:v>1.0054259183530323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C-4E67-BC9C-7BE87C92CB8A}"/>
            </c:ext>
          </c:extLst>
        </c:ser>
        <c:ser>
          <c:idx val="2"/>
          <c:order val="2"/>
          <c:tx>
            <c:strRef>
              <c:f>'[2]График-всё'!$A$6</c:f>
              <c:strCache>
                <c:ptCount val="1"/>
                <c:pt idx="0">
                  <c:v>общее полное образование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'[2]График-всё'!$C$6:$AB$6</c:f>
              <c:numCache>
                <c:formatCode>General</c:formatCode>
                <c:ptCount val="26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0.94515205599174956</c:v>
                </c:pt>
                <c:pt idx="10">
                  <c:v>0.93515238938952172</c:v>
                </c:pt>
                <c:pt idx="11">
                  <c:v>0.92300482815240303</c:v>
                </c:pt>
                <c:pt idx="12">
                  <c:v>0.92997284288541204</c:v>
                </c:pt>
                <c:pt idx="13">
                  <c:v>0.91660453480371273</c:v>
                </c:pt>
                <c:pt idx="14">
                  <c:v>0.91781724280292831</c:v>
                </c:pt>
                <c:pt idx="15">
                  <c:v>0.92869246166117458</c:v>
                </c:pt>
                <c:pt idx="16">
                  <c:v>0.93878463864483241</c:v>
                </c:pt>
                <c:pt idx="17">
                  <c:v>0.94309641124970156</c:v>
                </c:pt>
                <c:pt idx="18">
                  <c:v>0.94640365174809371</c:v>
                </c:pt>
                <c:pt idx="19">
                  <c:v>0.95407166093088069</c:v>
                </c:pt>
                <c:pt idx="20">
                  <c:v>0.96635892725236405</c:v>
                </c:pt>
                <c:pt idx="21">
                  <c:v>0.97792283457581497</c:v>
                </c:pt>
                <c:pt idx="22">
                  <c:v>0.97678433462222602</c:v>
                </c:pt>
                <c:pt idx="23">
                  <c:v>0.98212952339042714</c:v>
                </c:pt>
                <c:pt idx="24">
                  <c:v>0.98738261914848557</c:v>
                </c:pt>
                <c:pt idx="25">
                  <c:v>0.99985913401309134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C-4E67-BC9C-7BE87C92CB8A}"/>
            </c:ext>
          </c:extLst>
        </c:ser>
        <c:ser>
          <c:idx val="3"/>
          <c:order val="3"/>
          <c:tx>
            <c:strRef>
              <c:f>'[2]График-всё'!$A$7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'[2]График-всё'!$C$7:$AB$7</c:f>
              <c:numCache>
                <c:formatCode>General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0.42631001186388079</c:v>
                </c:pt>
                <c:pt idx="10">
                  <c:v>0.43843226252111861</c:v>
                </c:pt>
                <c:pt idx="11">
                  <c:v>0.46478008642591528</c:v>
                </c:pt>
                <c:pt idx="12">
                  <c:v>0.51091830805237948</c:v>
                </c:pt>
                <c:pt idx="13">
                  <c:v>0.52788018701002892</c:v>
                </c:pt>
                <c:pt idx="14">
                  <c:v>0.55886156912966911</c:v>
                </c:pt>
                <c:pt idx="15">
                  <c:v>0.65244800545962534</c:v>
                </c:pt>
                <c:pt idx="16">
                  <c:v>0.66245196980335885</c:v>
                </c:pt>
                <c:pt idx="17">
                  <c:v>0.70782103750762271</c:v>
                </c:pt>
                <c:pt idx="18">
                  <c:v>0.72329643324691284</c:v>
                </c:pt>
                <c:pt idx="19">
                  <c:v>0.76517705914034384</c:v>
                </c:pt>
                <c:pt idx="20">
                  <c:v>0.78959902259820525</c:v>
                </c:pt>
                <c:pt idx="21">
                  <c:v>0.86304700278638335</c:v>
                </c:pt>
                <c:pt idx="22">
                  <c:v>0.89814089978108824</c:v>
                </c:pt>
                <c:pt idx="23">
                  <c:v>0.93315271639550845</c:v>
                </c:pt>
                <c:pt idx="24">
                  <c:v>0.96815110610389132</c:v>
                </c:pt>
                <c:pt idx="25">
                  <c:v>1.0023289318020201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C-4E67-BC9C-7BE87C92CB8A}"/>
            </c:ext>
          </c:extLst>
        </c:ser>
        <c:ser>
          <c:idx val="4"/>
          <c:order val="4"/>
          <c:tx>
            <c:strRef>
              <c:f>'[2]График-всё'!$A$8</c:f>
              <c:strCache>
                <c:ptCount val="1"/>
                <c:pt idx="0">
                  <c:v>поликлиники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'[2]График-всё'!$C$8:$AB$8</c:f>
              <c:numCache>
                <c:formatCode>General</c:formatCode>
                <c:ptCount val="26"/>
                <c:pt idx="0">
                  <c:v>0.45167610597776009</c:v>
                </c:pt>
                <c:pt idx="1">
                  <c:v>0.47687239359465461</c:v>
                </c:pt>
                <c:pt idx="2">
                  <c:v>0.50652474868757458</c:v>
                </c:pt>
                <c:pt idx="3">
                  <c:v>0.48631467035505449</c:v>
                </c:pt>
                <c:pt idx="4">
                  <c:v>0.49669820803197762</c:v>
                </c:pt>
                <c:pt idx="5">
                  <c:v>0.51741281427448782</c:v>
                </c:pt>
                <c:pt idx="6">
                  <c:v>0.51876535327247919</c:v>
                </c:pt>
                <c:pt idx="7">
                  <c:v>0.49598814531294344</c:v>
                </c:pt>
                <c:pt idx="8">
                  <c:v>0.48842340591387812</c:v>
                </c:pt>
                <c:pt idx="9">
                  <c:v>0.50668583019024838</c:v>
                </c:pt>
                <c:pt idx="10">
                  <c:v>0.52480199156843121</c:v>
                </c:pt>
                <c:pt idx="11">
                  <c:v>0.54291134373454009</c:v>
                </c:pt>
                <c:pt idx="12">
                  <c:v>0.63795192729659733</c:v>
                </c:pt>
                <c:pt idx="13">
                  <c:v>0.634891755067435</c:v>
                </c:pt>
                <c:pt idx="14">
                  <c:v>0.65198056027278817</c:v>
                </c:pt>
                <c:pt idx="15">
                  <c:v>0.68930228187033504</c:v>
                </c:pt>
                <c:pt idx="16">
                  <c:v>0.71773706536217186</c:v>
                </c:pt>
                <c:pt idx="17">
                  <c:v>0.74373705964109538</c:v>
                </c:pt>
                <c:pt idx="18">
                  <c:v>0.77016303640284745</c:v>
                </c:pt>
                <c:pt idx="19">
                  <c:v>0.80016660581067167</c:v>
                </c:pt>
                <c:pt idx="20">
                  <c:v>0.83200286160878378</c:v>
                </c:pt>
                <c:pt idx="21">
                  <c:v>0.8776318059816185</c:v>
                </c:pt>
                <c:pt idx="22">
                  <c:v>0.91046159415203753</c:v>
                </c:pt>
                <c:pt idx="23">
                  <c:v>0.94026799102895642</c:v>
                </c:pt>
                <c:pt idx="24">
                  <c:v>0.96987507812983265</c:v>
                </c:pt>
                <c:pt idx="25">
                  <c:v>0.99908890843413989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C-4E67-BC9C-7BE87C92CB8A}"/>
            </c:ext>
          </c:extLst>
        </c:ser>
        <c:ser>
          <c:idx val="5"/>
          <c:order val="5"/>
          <c:tx>
            <c:strRef>
              <c:f>'[2]График-всё'!$A$9</c:f>
              <c:strCache>
                <c:ptCount val="1"/>
                <c:pt idx="0">
                  <c:v>культура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'[2]График-всё'!$C$9:$AB$9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0.39234047080196999</c:v>
                </c:pt>
                <c:pt idx="3">
                  <c:v>0.39797660993906231</c:v>
                </c:pt>
                <c:pt idx="4">
                  <c:v>0.40988502674525507</c:v>
                </c:pt>
                <c:pt idx="5">
                  <c:v>0.4328089962789935</c:v>
                </c:pt>
                <c:pt idx="6">
                  <c:v>0.4523541665417527</c:v>
                </c:pt>
                <c:pt idx="7">
                  <c:v>0.47400052595548187</c:v>
                </c:pt>
                <c:pt idx="8">
                  <c:v>0.48651440946469238</c:v>
                </c:pt>
                <c:pt idx="9">
                  <c:v>0.49034442503067543</c:v>
                </c:pt>
                <c:pt idx="10">
                  <c:v>0.51292986832233589</c:v>
                </c:pt>
                <c:pt idx="11">
                  <c:v>0.51731339399443033</c:v>
                </c:pt>
                <c:pt idx="12">
                  <c:v>0.55120995833779207</c:v>
                </c:pt>
                <c:pt idx="13">
                  <c:v>0.56581310221444669</c:v>
                </c:pt>
                <c:pt idx="14">
                  <c:v>0.64671617816136162</c:v>
                </c:pt>
                <c:pt idx="15">
                  <c:v>0.66240105054887577</c:v>
                </c:pt>
                <c:pt idx="16">
                  <c:v>0.72901947144002432</c:v>
                </c:pt>
                <c:pt idx="17">
                  <c:v>0.73550222212832717</c:v>
                </c:pt>
                <c:pt idx="18">
                  <c:v>0.75360092195468242</c:v>
                </c:pt>
                <c:pt idx="19">
                  <c:v>0.77539329982165095</c:v>
                </c:pt>
                <c:pt idx="20">
                  <c:v>0.84624217967624538</c:v>
                </c:pt>
                <c:pt idx="21">
                  <c:v>0.85610035707545218</c:v>
                </c:pt>
                <c:pt idx="22">
                  <c:v>0.90955741457578776</c:v>
                </c:pt>
                <c:pt idx="23">
                  <c:v>0.94007862517427321</c:v>
                </c:pt>
                <c:pt idx="24">
                  <c:v>0.97000737408396931</c:v>
                </c:pt>
                <c:pt idx="25">
                  <c:v>0.99993728648647751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C-4E67-BC9C-7BE87C92CB8A}"/>
            </c:ext>
          </c:extLst>
        </c:ser>
        <c:ser>
          <c:idx val="6"/>
          <c:order val="6"/>
          <c:tx>
            <c:strRef>
              <c:f>'[2]График-всё'!$A$10</c:f>
              <c:strCache>
                <c:ptCount val="1"/>
                <c:pt idx="0">
                  <c:v>физическая культура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'[2]График-всё'!$C$10:$AB$10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0.38302480298700586</c:v>
                </c:pt>
                <c:pt idx="3">
                  <c:v>0.3858192757888706</c:v>
                </c:pt>
                <c:pt idx="4">
                  <c:v>0.40984283653372461</c:v>
                </c:pt>
                <c:pt idx="5">
                  <c:v>0.43580709095336007</c:v>
                </c:pt>
                <c:pt idx="6">
                  <c:v>0.4556705718942341</c:v>
                </c:pt>
                <c:pt idx="7">
                  <c:v>0.47665083618227422</c:v>
                </c:pt>
                <c:pt idx="8">
                  <c:v>0.50483765798384994</c:v>
                </c:pt>
                <c:pt idx="9">
                  <c:v>0.51190977564081808</c:v>
                </c:pt>
                <c:pt idx="10">
                  <c:v>0.52122630292511229</c:v>
                </c:pt>
                <c:pt idx="11">
                  <c:v>0.53016200436735539</c:v>
                </c:pt>
                <c:pt idx="12">
                  <c:v>0.55519346314801787</c:v>
                </c:pt>
                <c:pt idx="13">
                  <c:v>0.61334637340366738</c:v>
                </c:pt>
                <c:pt idx="14">
                  <c:v>0.64029974146045887</c:v>
                </c:pt>
                <c:pt idx="15">
                  <c:v>0.69535386358946916</c:v>
                </c:pt>
                <c:pt idx="16">
                  <c:v>0.71692395261992337</c:v>
                </c:pt>
                <c:pt idx="17">
                  <c:v>0.74168224922641268</c:v>
                </c:pt>
                <c:pt idx="18">
                  <c:v>0.79690542819165133</c:v>
                </c:pt>
                <c:pt idx="19">
                  <c:v>0.80650982261377635</c:v>
                </c:pt>
                <c:pt idx="20">
                  <c:v>0.83240121745693552</c:v>
                </c:pt>
                <c:pt idx="21">
                  <c:v>0.87574726563008354</c:v>
                </c:pt>
                <c:pt idx="22">
                  <c:v>0.91299448891083324</c:v>
                </c:pt>
                <c:pt idx="23">
                  <c:v>0.94226728473180221</c:v>
                </c:pt>
                <c:pt idx="24">
                  <c:v>0.97124398004198587</c:v>
                </c:pt>
                <c:pt idx="25">
                  <c:v>1.0000449295788294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CC-4E67-BC9C-7BE87C92CB8A}"/>
            </c:ext>
          </c:extLst>
        </c:ser>
        <c:ser>
          <c:idx val="7"/>
          <c:order val="7"/>
          <c:tx>
            <c:v>Эталон</c:v>
          </c:tx>
          <c:marker>
            <c:symbol val="diamond"/>
            <c:size val="15"/>
            <c:spPr>
              <a:solidFill>
                <a:srgbClr val="FF0000"/>
              </a:solidFill>
            </c:spPr>
          </c:marker>
          <c:dLbls>
            <c:dLbl>
              <c:idx val="2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CC-4E67-BC9C-7BE87C92CB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CC-4E67-BC9C-7BE87C92C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431488"/>
        <c:axId val="242433024"/>
      </c:lineChart>
      <c:catAx>
        <c:axId val="2424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433024"/>
        <c:crosses val="autoZero"/>
        <c:auto val="1"/>
        <c:lblAlgn val="ctr"/>
        <c:lblOffset val="100"/>
        <c:noMultiLvlLbl val="0"/>
      </c:catAx>
      <c:valAx>
        <c:axId val="2424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31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125057074497704"/>
          <c:y val="6.6002787387425627E-2"/>
          <c:w val="0.10321493250801059"/>
          <c:h val="0.9233179814787301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69230769230786"/>
          <c:y val="0.14465408805031446"/>
          <c:w val="0.8261538461538469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цены'!$N$5:$AE$5</c:f>
              <c:numCache>
                <c:formatCode>_-* #\ ##0.00_р_._-;\-* #\ ##0.00_р_._-;_-* "-"??_р_._-;_-@_-</c:formatCode>
                <c:ptCount val="18"/>
                <c:pt idx="0">
                  <c:v>22005299.007987153</c:v>
                </c:pt>
                <c:pt idx="1">
                  <c:v>22012778.153153867</c:v>
                </c:pt>
                <c:pt idx="2">
                  <c:v>21982628.814292572</c:v>
                </c:pt>
                <c:pt idx="3">
                  <c:v>21930328.739728644</c:v>
                </c:pt>
                <c:pt idx="4">
                  <c:v>21870370.325704217</c:v>
                </c:pt>
                <c:pt idx="5">
                  <c:v>22268564.93662123</c:v>
                </c:pt>
                <c:pt idx="6">
                  <c:v>22652723.192067247</c:v>
                </c:pt>
                <c:pt idx="7">
                  <c:v>23022303.254680354</c:v>
                </c:pt>
                <c:pt idx="8">
                  <c:v>23226165.347984858</c:v>
                </c:pt>
                <c:pt idx="9">
                  <c:v>23392321.590453926</c:v>
                </c:pt>
                <c:pt idx="10">
                  <c:v>23467658.610891886</c:v>
                </c:pt>
                <c:pt idx="11">
                  <c:v>23525364.52677438</c:v>
                </c:pt>
                <c:pt idx="12">
                  <c:v>23578010.479549527</c:v>
                </c:pt>
                <c:pt idx="13">
                  <c:v>23699773.137530677</c:v>
                </c:pt>
                <c:pt idx="14">
                  <c:v>23927116.136268113</c:v>
                </c:pt>
                <c:pt idx="15">
                  <c:v>24226400.943038341</c:v>
                </c:pt>
                <c:pt idx="16">
                  <c:v>24616620.846448045</c:v>
                </c:pt>
                <c:pt idx="17">
                  <c:v>24892000.431018393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2F3-B7F3-C88B72B9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16672"/>
        <c:axId val="164318208"/>
      </c:lineChart>
      <c:catAx>
        <c:axId val="1643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18208"/>
        <c:crosses val="autoZero"/>
        <c:auto val="1"/>
        <c:lblAlgn val="ctr"/>
        <c:lblOffset val="100"/>
        <c:noMultiLvlLbl val="0"/>
      </c:catAx>
      <c:valAx>
        <c:axId val="16431820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16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904522613065388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цены'!$N$6:$AD$6</c:f>
              <c:numCache>
                <c:formatCode>_-* #\ ##0.00_р_._-;\-* #\ ##0.00_р_._-;_-* "-"??_р_._-;_-@_-</c:formatCode>
                <c:ptCount val="17"/>
                <c:pt idx="0">
                  <c:v>12930988.05730585</c:v>
                </c:pt>
                <c:pt idx="1">
                  <c:v>14746336.656715842</c:v>
                </c:pt>
                <c:pt idx="2">
                  <c:v>17229583.386639513</c:v>
                </c:pt>
                <c:pt idx="3">
                  <c:v>20282538.020059045</c:v>
                </c:pt>
                <c:pt idx="4">
                  <c:v>23261147.44309843</c:v>
                </c:pt>
                <c:pt idx="5">
                  <c:v>26763670.300215431</c:v>
                </c:pt>
                <c:pt idx="6">
                  <c:v>30220165.442651868</c:v>
                </c:pt>
                <c:pt idx="7">
                  <c:v>33784529.482887141</c:v>
                </c:pt>
                <c:pt idx="8">
                  <c:v>37492059.991663545</c:v>
                </c:pt>
                <c:pt idx="9">
                  <c:v>40781093.916084245</c:v>
                </c:pt>
                <c:pt idx="10">
                  <c:v>44594551.970814764</c:v>
                </c:pt>
                <c:pt idx="11">
                  <c:v>49174628.762843773</c:v>
                </c:pt>
                <c:pt idx="12">
                  <c:v>54705987.708984531</c:v>
                </c:pt>
                <c:pt idx="13">
                  <c:v>59387583.147415146</c:v>
                </c:pt>
                <c:pt idx="14">
                  <c:v>64154274.478862472</c:v>
                </c:pt>
                <c:pt idx="15">
                  <c:v>69503699.006806448</c:v>
                </c:pt>
                <c:pt idx="16">
                  <c:v>75566834.900154933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F-41E1-8664-DBAAFEEA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50976"/>
        <c:axId val="164586240"/>
      </c:lineChart>
      <c:catAx>
        <c:axId val="16435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86240"/>
        <c:crosses val="autoZero"/>
        <c:auto val="1"/>
        <c:lblAlgn val="ctr"/>
        <c:lblOffset val="100"/>
        <c:noMultiLvlLbl val="0"/>
      </c:catAx>
      <c:valAx>
        <c:axId val="1645862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509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ЖКХ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94970986460373"/>
          <c:y val="0.29166666666666707"/>
          <c:w val="0.81044487427466161"/>
          <c:h val="0.516025641025641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'!$K$700:$AA$700</c:f>
              <c:numCache>
                <c:formatCode>_-* #\ ##0.00_р_._-;\-* #\ ##0.00_р_._-;_-* "-"??_р_._-;_-@_-</c:formatCode>
                <c:ptCount val="17"/>
                <c:pt idx="0">
                  <c:v>126081</c:v>
                </c:pt>
                <c:pt idx="1">
                  <c:v>167371</c:v>
                </c:pt>
                <c:pt idx="2">
                  <c:v>182106</c:v>
                </c:pt>
                <c:pt idx="3">
                  <c:v>189987</c:v>
                </c:pt>
                <c:pt idx="4">
                  <c:v>258193</c:v>
                </c:pt>
                <c:pt idx="5">
                  <c:v>376729</c:v>
                </c:pt>
                <c:pt idx="6">
                  <c:v>428186</c:v>
                </c:pt>
                <c:pt idx="7">
                  <c:v>355296</c:v>
                </c:pt>
                <c:pt idx="8">
                  <c:v>280431</c:v>
                </c:pt>
                <c:pt idx="9">
                  <c:v>235016</c:v>
                </c:pt>
                <c:pt idx="10">
                  <c:v>225021</c:v>
                </c:pt>
                <c:pt idx="11">
                  <c:v>225908</c:v>
                </c:pt>
                <c:pt idx="12">
                  <c:v>292201</c:v>
                </c:pt>
                <c:pt idx="13">
                  <c:v>369542</c:v>
                </c:pt>
                <c:pt idx="14">
                  <c:v>486989</c:v>
                </c:pt>
                <c:pt idx="15">
                  <c:v>537139</c:v>
                </c:pt>
                <c:pt idx="16">
                  <c:v>351779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9-4DD2-AC4A-6C270CC8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30208"/>
        <c:axId val="164431744"/>
      </c:lineChart>
      <c:catAx>
        <c:axId val="1644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31744"/>
        <c:crosses val="autoZero"/>
        <c:auto val="1"/>
        <c:lblAlgn val="ctr"/>
        <c:lblOffset val="100"/>
        <c:noMultiLvlLbl val="0"/>
      </c:catAx>
      <c:valAx>
        <c:axId val="1644317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30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ЖКХ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16666666666668"/>
          <c:y val="0.12152777777777779"/>
          <c:w val="0.85625000000000062"/>
          <c:h val="0.6770833333333342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'!$K$69:$AA$69</c:f>
              <c:numCache>
                <c:formatCode>_-* #\ ##0.00_р_._-;\-* #\ ##0.00_р_._-;_-* "-"??_р_._-;_-@_-</c:formatCode>
                <c:ptCount val="17"/>
                <c:pt idx="0">
                  <c:v>20.293819721753106</c:v>
                </c:pt>
                <c:pt idx="1">
                  <c:v>20.425682219051357</c:v>
                </c:pt>
                <c:pt idx="2">
                  <c:v>20.564423885455987</c:v>
                </c:pt>
                <c:pt idx="3">
                  <c:v>20.692210334371524</c:v>
                </c:pt>
                <c:pt idx="4">
                  <c:v>20.830650087868438</c:v>
                </c:pt>
                <c:pt idx="5">
                  <c:v>21.436651370244771</c:v>
                </c:pt>
                <c:pt idx="6">
                  <c:v>22.070051755665911</c:v>
                </c:pt>
                <c:pt idx="7">
                  <c:v>22.707016332898064</c:v>
                </c:pt>
                <c:pt idx="8">
                  <c:v>23.229580096259006</c:v>
                </c:pt>
                <c:pt idx="9">
                  <c:v>23.757884153930451</c:v>
                </c:pt>
                <c:pt idx="10">
                  <c:v>24.243799611659558</c:v>
                </c:pt>
                <c:pt idx="11">
                  <c:v>24.768886472106491</c:v>
                </c:pt>
                <c:pt idx="12">
                  <c:v>25.308531970066785</c:v>
                </c:pt>
                <c:pt idx="13">
                  <c:v>25.760622975576823</c:v>
                </c:pt>
                <c:pt idx="14">
                  <c:v>26.293534215679244</c:v>
                </c:pt>
                <c:pt idx="15">
                  <c:v>26.918223270042599</c:v>
                </c:pt>
                <c:pt idx="16">
                  <c:v>27.504604297707314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F-42FE-9149-E4282F110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55936"/>
        <c:axId val="164457472"/>
      </c:lineChart>
      <c:catAx>
        <c:axId val="1644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57472"/>
        <c:crosses val="autoZero"/>
        <c:auto val="1"/>
        <c:lblAlgn val="ctr"/>
        <c:lblOffset val="100"/>
        <c:noMultiLvlLbl val="0"/>
      </c:catAx>
      <c:valAx>
        <c:axId val="16445747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55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465408805031446"/>
          <c:w val="0.8615384615384617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цены'!$N$13:$AE$13</c:f>
              <c:numCache>
                <c:formatCode>_-* #\ ##0.00_р_._-;\-* #\ ##0.00_р_._-;_-* "-"??_р_._-;_-@_-</c:formatCode>
                <c:ptCount val="18"/>
                <c:pt idx="0">
                  <c:v>53151.791279939374</c:v>
                </c:pt>
                <c:pt idx="1">
                  <c:v>53137.276715701468</c:v>
                </c:pt>
                <c:pt idx="2">
                  <c:v>53264.699283755705</c:v>
                </c:pt>
                <c:pt idx="3">
                  <c:v>53333.614571249716</c:v>
                </c:pt>
                <c:pt idx="4">
                  <c:v>53338.358272223653</c:v>
                </c:pt>
                <c:pt idx="5">
                  <c:v>52480.300542143275</c:v>
                </c:pt>
                <c:pt idx="6">
                  <c:v>52303.670890303394</c:v>
                </c:pt>
                <c:pt idx="7">
                  <c:v>52656.234340862924</c:v>
                </c:pt>
                <c:pt idx="8">
                  <c:v>52749.074074229153</c:v>
                </c:pt>
                <c:pt idx="9">
                  <c:v>52562.765432287168</c:v>
                </c:pt>
                <c:pt idx="10">
                  <c:v>52206.144427509935</c:v>
                </c:pt>
                <c:pt idx="11">
                  <c:v>51942.024129554418</c:v>
                </c:pt>
                <c:pt idx="12">
                  <c:v>52038.91918815946</c:v>
                </c:pt>
                <c:pt idx="13">
                  <c:v>51510.34426123491</c:v>
                </c:pt>
                <c:pt idx="14">
                  <c:v>50667.706809746385</c:v>
                </c:pt>
                <c:pt idx="15">
                  <c:v>49768.741507456645</c:v>
                </c:pt>
                <c:pt idx="16">
                  <c:v>48970.474781308287</c:v>
                </c:pt>
                <c:pt idx="17">
                  <c:v>48397.75451999822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A-4471-89CA-9B2491354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82048"/>
        <c:axId val="164483840"/>
      </c:lineChart>
      <c:catAx>
        <c:axId val="1644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83840"/>
        <c:crosses val="autoZero"/>
        <c:auto val="1"/>
        <c:lblAlgn val="ctr"/>
        <c:lblOffset val="100"/>
        <c:noMultiLvlLbl val="0"/>
      </c:catAx>
      <c:valAx>
        <c:axId val="1644838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820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420062695924765"/>
          <c:w val="0.82077051926298161"/>
          <c:h val="0.7366771159874607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цены'!$N$14:$AD$14</c:f>
              <c:numCache>
                <c:formatCode>_-* #\ ##0.00_р_._-;\-* #\ ##0.00_р_._-;_-* "-"??_р_._-;_-@_-</c:formatCode>
                <c:ptCount val="17"/>
                <c:pt idx="0">
                  <c:v>1874017.284698131</c:v>
                </c:pt>
                <c:pt idx="1">
                  <c:v>2135796.3070877576</c:v>
                </c:pt>
                <c:pt idx="2">
                  <c:v>2504873.9683319274</c:v>
                </c:pt>
                <c:pt idx="3">
                  <c:v>2959575.5124150477</c:v>
                </c:pt>
                <c:pt idx="4">
                  <c:v>3403814.5609764922</c:v>
                </c:pt>
                <c:pt idx="5">
                  <c:v>3784434.6008744244</c:v>
                </c:pt>
                <c:pt idx="6">
                  <c:v>4186584.2993653906</c:v>
                </c:pt>
                <c:pt idx="7">
                  <c:v>4636285.2974366238</c:v>
                </c:pt>
                <c:pt idx="8">
                  <c:v>5108905.6331047518</c:v>
                </c:pt>
                <c:pt idx="9">
                  <c:v>5498129.97045484</c:v>
                </c:pt>
                <c:pt idx="10">
                  <c:v>5952301.4020357113</c:v>
                </c:pt>
                <c:pt idx="11">
                  <c:v>6514406.3995808233</c:v>
                </c:pt>
                <c:pt idx="12">
                  <c:v>7244480.1293955855</c:v>
                </c:pt>
                <c:pt idx="13">
                  <c:v>7744567.4311246937</c:v>
                </c:pt>
                <c:pt idx="14">
                  <c:v>8151128.4971611714</c:v>
                </c:pt>
                <c:pt idx="15">
                  <c:v>8566963.7132192161</c:v>
                </c:pt>
                <c:pt idx="16">
                  <c:v>9019622.4880685322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5-48D9-AF1F-DFB725E0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28512"/>
        <c:axId val="164530048"/>
      </c:lineChart>
      <c:catAx>
        <c:axId val="1645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30048"/>
        <c:crosses val="autoZero"/>
        <c:auto val="1"/>
        <c:lblAlgn val="ctr"/>
        <c:lblOffset val="100"/>
        <c:noMultiLvlLbl val="0"/>
      </c:catAx>
      <c:valAx>
        <c:axId val="1645300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285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дошкольное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538461538461653"/>
          <c:w val="0.8375241779497099"/>
          <c:h val="0.4487179487179488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'!$K$701:$AA$701</c:f>
              <c:numCache>
                <c:formatCode>_-* #\ ##0.00_р_._-;\-* #\ ##0.00_р_._-;_-* "-"??_р_._-;_-@_-</c:formatCode>
                <c:ptCount val="17"/>
                <c:pt idx="0">
                  <c:v>1029</c:v>
                </c:pt>
                <c:pt idx="1">
                  <c:v>1211</c:v>
                </c:pt>
                <c:pt idx="2">
                  <c:v>1190</c:v>
                </c:pt>
                <c:pt idx="3">
                  <c:v>1149</c:v>
                </c:pt>
                <c:pt idx="4">
                  <c:v>245</c:v>
                </c:pt>
                <c:pt idx="5">
                  <c:v>795</c:v>
                </c:pt>
                <c:pt idx="6">
                  <c:v>1189</c:v>
                </c:pt>
                <c:pt idx="7">
                  <c:v>839</c:v>
                </c:pt>
                <c:pt idx="8">
                  <c:v>693</c:v>
                </c:pt>
                <c:pt idx="9">
                  <c:v>487</c:v>
                </c:pt>
                <c:pt idx="10">
                  <c:v>635</c:v>
                </c:pt>
                <c:pt idx="11">
                  <c:v>858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7-47D4-903E-E0F94AC0F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50144"/>
        <c:axId val="164551680"/>
      </c:lineChart>
      <c:catAx>
        <c:axId val="16455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51680"/>
        <c:crosses val="autoZero"/>
        <c:auto val="1"/>
        <c:lblAlgn val="ctr"/>
        <c:lblOffset val="100"/>
        <c:noMultiLvlLbl val="0"/>
      </c:catAx>
      <c:valAx>
        <c:axId val="16455168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50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1383647798742175"/>
          <c:w val="0.87083333333333413"/>
          <c:h val="0.600628930817610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'!$K$70:$AA$70</c:f>
              <c:numCache>
                <c:formatCode>_-* #\ ##0.00_р_._-;\-* #\ ##0.00_р_._-;_-* "-"??_р_._-;_-@_-</c:formatCode>
                <c:ptCount val="17"/>
                <c:pt idx="0">
                  <c:v>0.62690827608911326</c:v>
                </c:pt>
                <c:pt idx="1">
                  <c:v>0.61123699261165343</c:v>
                </c:pt>
                <c:pt idx="2">
                  <c:v>0.60620375667215654</c:v>
                </c:pt>
                <c:pt idx="3">
                  <c:v>0.60444964663965217</c:v>
                </c:pt>
                <c:pt idx="4">
                  <c:v>0.67357237382625179</c:v>
                </c:pt>
                <c:pt idx="5">
                  <c:v>0.66451521412336845</c:v>
                </c:pt>
                <c:pt idx="6">
                  <c:v>0.66677453549169863</c:v>
                </c:pt>
                <c:pt idx="7">
                  <c:v>0.67736000961963772</c:v>
                </c:pt>
                <c:pt idx="8">
                  <c:v>0.69509770585673969</c:v>
                </c:pt>
                <c:pt idx="9">
                  <c:v>0.70266608187106527</c:v>
                </c:pt>
                <c:pt idx="10">
                  <c:v>0.71601446493398335</c:v>
                </c:pt>
                <c:pt idx="11">
                  <c:v>0.72148234477856221</c:v>
                </c:pt>
                <c:pt idx="12">
                  <c:v>0.7311047828444962</c:v>
                </c:pt>
                <c:pt idx="13">
                  <c:v>0.76158511204504853</c:v>
                </c:pt>
                <c:pt idx="14">
                  <c:v>0.80266462197006894</c:v>
                </c:pt>
                <c:pt idx="15">
                  <c:v>0.80578094031993031</c:v>
                </c:pt>
                <c:pt idx="16">
                  <c:v>0.80327131241975558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7-4AAC-B1E1-0A8390A3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54144"/>
        <c:axId val="213672320"/>
      </c:lineChart>
      <c:catAx>
        <c:axId val="213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672320"/>
        <c:crosses val="autoZero"/>
        <c:auto val="1"/>
        <c:lblAlgn val="ctr"/>
        <c:lblOffset val="100"/>
        <c:noMultiLvlLbl val="0"/>
      </c:catAx>
      <c:valAx>
        <c:axId val="21367232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654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цены'!$N$22:$AE$22</c:f>
              <c:numCache>
                <c:formatCode>_-* #\ ##0.00_р_._-;\-* #\ ##0.00_р_._-;_-* "-"??_р_._-;_-@_-</c:formatCode>
                <c:ptCount val="18"/>
                <c:pt idx="0">
                  <c:v>150886.75312784433</c:v>
                </c:pt>
                <c:pt idx="1">
                  <c:v>150925.66090898652</c:v>
                </c:pt>
                <c:pt idx="2">
                  <c:v>150217.2689171964</c:v>
                </c:pt>
                <c:pt idx="3">
                  <c:v>149298.79996813563</c:v>
                </c:pt>
                <c:pt idx="4">
                  <c:v>148370.69382483599</c:v>
                </c:pt>
                <c:pt idx="5">
                  <c:v>148521.71991048308</c:v>
                </c:pt>
                <c:pt idx="6">
                  <c:v>150662.02598673329</c:v>
                </c:pt>
                <c:pt idx="7">
                  <c:v>153782.11997964108</c:v>
                </c:pt>
                <c:pt idx="8">
                  <c:v>156140.49946058518</c:v>
                </c:pt>
                <c:pt idx="9">
                  <c:v>157127.33702903311</c:v>
                </c:pt>
                <c:pt idx="10">
                  <c:v>157452.01245589936</c:v>
                </c:pt>
                <c:pt idx="11">
                  <c:v>157422.07902383653</c:v>
                </c:pt>
                <c:pt idx="12">
                  <c:v>156756.73845112318</c:v>
                </c:pt>
                <c:pt idx="13">
                  <c:v>155417.14506170229</c:v>
                </c:pt>
                <c:pt idx="14">
                  <c:v>155136.03705944936</c:v>
                </c:pt>
                <c:pt idx="15">
                  <c:v>155855.15180047657</c:v>
                </c:pt>
                <c:pt idx="16">
                  <c:v>156654.98469078451</c:v>
                </c:pt>
                <c:pt idx="17">
                  <c:v>158616.43484387666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9-4C71-B163-5E43D4DA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0608"/>
        <c:axId val="213702144"/>
      </c:lineChart>
      <c:catAx>
        <c:axId val="2137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702144"/>
        <c:crosses val="autoZero"/>
        <c:auto val="1"/>
        <c:lblAlgn val="ctr"/>
        <c:lblOffset val="100"/>
        <c:noMultiLvlLbl val="0"/>
      </c:catAx>
      <c:valAx>
        <c:axId val="2137021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700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140707151205655E-2"/>
          <c:y val="8.5257548845470835E-2"/>
          <c:w val="0.68919161893976011"/>
          <c:h val="0.81172291296625221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'Графики-прогноз'!$D$4:$AB$4</c:f>
              <c:numCache>
                <c:formatCode>_-* #\ ##0.00_р_._-;\-* #\ ##0.00_р_._-;_-* "-"??_р_._-;_-@_-</c:formatCode>
                <c:ptCount val="25"/>
                <c:pt idx="0">
                  <c:v>132.947</c:v>
                </c:pt>
                <c:pt idx="1">
                  <c:v>173.80799999999999</c:v>
                </c:pt>
                <c:pt idx="2">
                  <c:v>194.47400000000002</c:v>
                </c:pt>
                <c:pt idx="3">
                  <c:v>190.61600000000001</c:v>
                </c:pt>
                <c:pt idx="4">
                  <c:v>195.14500000000001</c:v>
                </c:pt>
                <c:pt idx="5">
                  <c:v>175.90600000000001</c:v>
                </c:pt>
                <c:pt idx="6">
                  <c:v>213.89400000000001</c:v>
                </c:pt>
                <c:pt idx="7">
                  <c:v>190.14099999999999</c:v>
                </c:pt>
                <c:pt idx="8">
                  <c:v>126.081</c:v>
                </c:pt>
                <c:pt idx="9">
                  <c:v>167.37100000000001</c:v>
                </c:pt>
                <c:pt idx="10">
                  <c:v>182.10599999999999</c:v>
                </c:pt>
                <c:pt idx="11">
                  <c:v>189.98699999999999</c:v>
                </c:pt>
                <c:pt idx="12">
                  <c:v>258.19299999999998</c:v>
                </c:pt>
                <c:pt idx="13">
                  <c:v>376.72899999999998</c:v>
                </c:pt>
                <c:pt idx="14">
                  <c:v>428.18600000000004</c:v>
                </c:pt>
                <c:pt idx="15">
                  <c:v>355.29599999999999</c:v>
                </c:pt>
                <c:pt idx="16">
                  <c:v>280.43099999999998</c:v>
                </c:pt>
                <c:pt idx="17">
                  <c:v>235.01599999999999</c:v>
                </c:pt>
                <c:pt idx="18">
                  <c:v>225.02100000000002</c:v>
                </c:pt>
                <c:pt idx="19">
                  <c:v>225.90800000000002</c:v>
                </c:pt>
                <c:pt idx="20">
                  <c:v>292.20100000000002</c:v>
                </c:pt>
                <c:pt idx="21">
                  <c:v>369.54200000000003</c:v>
                </c:pt>
                <c:pt idx="22">
                  <c:v>486.98900000000003</c:v>
                </c:pt>
                <c:pt idx="23">
                  <c:v>537.13900000000001</c:v>
                </c:pt>
                <c:pt idx="24">
                  <c:v>351.779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4-4D8F-B694-396543CB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88992"/>
        <c:axId val="16239116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'Графики-прогноз'!$D$15:$AB$15</c:f>
              <c:numCache>
                <c:formatCode>General</c:formatCode>
                <c:ptCount val="25"/>
                <c:pt idx="0">
                  <c:v>21169</c:v>
                </c:pt>
                <c:pt idx="1">
                  <c:v>21241.429</c:v>
                </c:pt>
                <c:pt idx="2">
                  <c:v>21387.661283999998</c:v>
                </c:pt>
                <c:pt idx="3">
                  <c:v>21475.591993728001</c:v>
                </c:pt>
                <c:pt idx="4">
                  <c:v>21531.01307379072</c:v>
                </c:pt>
                <c:pt idx="5">
                  <c:v>21652.238982274186</c:v>
                </c:pt>
                <c:pt idx="6">
                  <c:v>21822.583787362815</c:v>
                </c:pt>
                <c:pt idx="7">
                  <c:v>21812.319606017238</c:v>
                </c:pt>
                <c:pt idx="8">
                  <c:v>22005.299007987152</c:v>
                </c:pt>
                <c:pt idx="9">
                  <c:v>22012.778153153868</c:v>
                </c:pt>
                <c:pt idx="10">
                  <c:v>21982.628814292573</c:v>
                </c:pt>
                <c:pt idx="11">
                  <c:v>21930.328739728644</c:v>
                </c:pt>
                <c:pt idx="12">
                  <c:v>21870.370325704218</c:v>
                </c:pt>
                <c:pt idx="13">
                  <c:v>22268.564936621231</c:v>
                </c:pt>
                <c:pt idx="14">
                  <c:v>22652.723192067246</c:v>
                </c:pt>
                <c:pt idx="15">
                  <c:v>23022.303254680355</c:v>
                </c:pt>
                <c:pt idx="16">
                  <c:v>23226.165347984857</c:v>
                </c:pt>
                <c:pt idx="17">
                  <c:v>23392.321590453928</c:v>
                </c:pt>
                <c:pt idx="18">
                  <c:v>23467.658610891885</c:v>
                </c:pt>
                <c:pt idx="19">
                  <c:v>23525.364526774381</c:v>
                </c:pt>
                <c:pt idx="20">
                  <c:v>23578.010479549528</c:v>
                </c:pt>
                <c:pt idx="21">
                  <c:v>23699.773137530676</c:v>
                </c:pt>
                <c:pt idx="22">
                  <c:v>23927.116136268112</c:v>
                </c:pt>
                <c:pt idx="23">
                  <c:v>24226.400943038341</c:v>
                </c:pt>
                <c:pt idx="24">
                  <c:v>24616.620846448044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4-4D8F-B694-396543CB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93088"/>
        <c:axId val="162534144"/>
      </c:lineChart>
      <c:catAx>
        <c:axId val="16238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91168"/>
        <c:crosses val="autoZero"/>
        <c:auto val="1"/>
        <c:lblAlgn val="ctr"/>
        <c:lblOffset val="100"/>
        <c:noMultiLvlLbl val="0"/>
      </c:catAx>
      <c:valAx>
        <c:axId val="162391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тысяч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88992"/>
        <c:crosses val="autoZero"/>
        <c:crossBetween val="between"/>
      </c:valAx>
      <c:catAx>
        <c:axId val="162393088"/>
        <c:scaling>
          <c:orientation val="minMax"/>
        </c:scaling>
        <c:delete val="1"/>
        <c:axPos val="b"/>
        <c:majorTickMark val="out"/>
        <c:minorTickMark val="none"/>
        <c:tickLblPos val="none"/>
        <c:crossAx val="162534144"/>
        <c:crosses val="autoZero"/>
        <c:auto val="1"/>
        <c:lblAlgn val="ctr"/>
        <c:lblOffset val="100"/>
        <c:noMultiLvlLbl val="0"/>
      </c:catAx>
      <c:valAx>
        <c:axId val="1625341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тысяч  кв.м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930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437886859887334"/>
          <c:y val="0.49378338737069688"/>
          <c:w val="0.15683815267772216"/>
          <c:h val="8.525764242704864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904522613065388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цены'!$N$23:$AD$23</c:f>
              <c:numCache>
                <c:formatCode>_-* #\ ##0.00_р_._-;\-* #\ ##0.00_р_._-;_-* "-"??_р_._-;_-@_-</c:formatCode>
                <c:ptCount val="17"/>
                <c:pt idx="0">
                  <c:v>13743180.417998951</c:v>
                </c:pt>
                <c:pt idx="1">
                  <c:v>15671265.640101366</c:v>
                </c:pt>
                <c:pt idx="2">
                  <c:v>18249320.967567526</c:v>
                </c:pt>
                <c:pt idx="3">
                  <c:v>21402532.835208081</c:v>
                </c:pt>
                <c:pt idx="4">
                  <c:v>24459908.211608902</c:v>
                </c:pt>
                <c:pt idx="5">
                  <c:v>27667830.643323682</c:v>
                </c:pt>
                <c:pt idx="6">
                  <c:v>31153864.083325144</c:v>
                </c:pt>
                <c:pt idx="7">
                  <c:v>34978940.155660242</c:v>
                </c:pt>
                <c:pt idx="8">
                  <c:v>39066909.117605746</c:v>
                </c:pt>
                <c:pt idx="9">
                  <c:v>42458924.943598807</c:v>
                </c:pt>
                <c:pt idx="10">
                  <c:v>46375857.969607837</c:v>
                </c:pt>
                <c:pt idx="11">
                  <c:v>51003745.526263796</c:v>
                </c:pt>
                <c:pt idx="12">
                  <c:v>56374879.17986457</c:v>
                </c:pt>
                <c:pt idx="13">
                  <c:v>60364566.722023353</c:v>
                </c:pt>
                <c:pt idx="14">
                  <c:v>64473260.22036919</c:v>
                </c:pt>
                <c:pt idx="15">
                  <c:v>69306166.675556302</c:v>
                </c:pt>
                <c:pt idx="16">
                  <c:v>74538167.644120485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A-4EE5-9BD4-E071DA805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44224"/>
        <c:axId val="231045760"/>
      </c:lineChart>
      <c:catAx>
        <c:axId val="2310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45760"/>
        <c:crosses val="autoZero"/>
        <c:auto val="1"/>
        <c:lblAlgn val="ctr"/>
        <c:lblOffset val="100"/>
        <c:noMultiLvlLbl val="0"/>
      </c:catAx>
      <c:valAx>
        <c:axId val="23104576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442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образование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655948553054701"/>
          <c:w val="0.8375241779497099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'!$K$702:$AA$702</c:f>
              <c:numCache>
                <c:formatCode>_-* #\ ##0.00_р_._-;\-* #\ ##0.00_р_._-;_-* "-"??_р_._-;_-@_-</c:formatCode>
                <c:ptCount val="17"/>
                <c:pt idx="0">
                  <c:v>3083</c:v>
                </c:pt>
                <c:pt idx="1">
                  <c:v>2508</c:v>
                </c:pt>
                <c:pt idx="2">
                  <c:v>2376</c:v>
                </c:pt>
                <c:pt idx="3">
                  <c:v>2400</c:v>
                </c:pt>
                <c:pt idx="4">
                  <c:v>3328</c:v>
                </c:pt>
                <c:pt idx="5">
                  <c:v>5141</c:v>
                </c:pt>
                <c:pt idx="6">
                  <c:v>5996</c:v>
                </c:pt>
                <c:pt idx="7">
                  <c:v>5255</c:v>
                </c:pt>
                <c:pt idx="8">
                  <c:v>4064</c:v>
                </c:pt>
                <c:pt idx="9">
                  <c:v>3457</c:v>
                </c:pt>
                <c:pt idx="10">
                  <c:v>3077</c:v>
                </c:pt>
                <c:pt idx="11">
                  <c:v>2356</c:v>
                </c:pt>
                <c:pt idx="12">
                  <c:v>1529</c:v>
                </c:pt>
                <c:pt idx="13">
                  <c:v>2326</c:v>
                </c:pt>
                <c:pt idx="14">
                  <c:v>2890</c:v>
                </c:pt>
                <c:pt idx="15">
                  <c:v>2726</c:v>
                </c:pt>
                <c:pt idx="16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B-4ACA-ADFA-AB4214B1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61760"/>
        <c:axId val="231067648"/>
      </c:lineChart>
      <c:catAx>
        <c:axId val="2310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67648"/>
        <c:crosses val="autoZero"/>
        <c:auto val="1"/>
        <c:lblAlgn val="ctr"/>
        <c:lblOffset val="100"/>
        <c:noMultiLvlLbl val="0"/>
      </c:catAx>
      <c:valAx>
        <c:axId val="2310676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61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1451104100946403"/>
          <c:w val="0.87083333333333413"/>
          <c:h val="0.602523659305993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'!$K$71:$AA$71</c:f>
              <c:numCache>
                <c:formatCode>_-* #\ ##0.00_р_._-;\-* #\ ##0.00_р_._-;_-* "-"??_р_._-;_-@_-</c:formatCode>
                <c:ptCount val="17"/>
                <c:pt idx="0">
                  <c:v>0.93909215069018648</c:v>
                </c:pt>
                <c:pt idx="1">
                  <c:v>0.94515205599174956</c:v>
                </c:pt>
                <c:pt idx="2">
                  <c:v>0.93515238938952172</c:v>
                </c:pt>
                <c:pt idx="3">
                  <c:v>0.92300482815240303</c:v>
                </c:pt>
                <c:pt idx="4">
                  <c:v>0.92997284288541204</c:v>
                </c:pt>
                <c:pt idx="5">
                  <c:v>0.91660453480371273</c:v>
                </c:pt>
                <c:pt idx="6">
                  <c:v>0.91781724280292831</c:v>
                </c:pt>
                <c:pt idx="7">
                  <c:v>0.92869246166117458</c:v>
                </c:pt>
                <c:pt idx="8">
                  <c:v>0.93878463864483241</c:v>
                </c:pt>
                <c:pt idx="9">
                  <c:v>0.94309641124970156</c:v>
                </c:pt>
                <c:pt idx="10">
                  <c:v>0.94640365174809371</c:v>
                </c:pt>
                <c:pt idx="11">
                  <c:v>0.95407166093088069</c:v>
                </c:pt>
                <c:pt idx="12">
                  <c:v>0.96635892725236405</c:v>
                </c:pt>
                <c:pt idx="13">
                  <c:v>0.97792283457581497</c:v>
                </c:pt>
                <c:pt idx="14">
                  <c:v>0.97678433462222602</c:v>
                </c:pt>
                <c:pt idx="15">
                  <c:v>0.98212952339042714</c:v>
                </c:pt>
                <c:pt idx="16">
                  <c:v>0.98738261914848557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4-4E1C-A859-F54FBF921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292288"/>
        <c:axId val="231298176"/>
      </c:lineChart>
      <c:catAx>
        <c:axId val="2312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298176"/>
        <c:crosses val="autoZero"/>
        <c:auto val="1"/>
        <c:lblAlgn val="ctr"/>
        <c:lblOffset val="100"/>
        <c:noMultiLvlLbl val="0"/>
      </c:catAx>
      <c:valAx>
        <c:axId val="23129817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292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511041009463724"/>
          <c:w val="0.8615384615384617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цены'!$N$31:$AE$31</c:f>
              <c:numCache>
                <c:formatCode>_-* #\ ##0.00_р_._-;\-* #\ ##0.00_р_._-;_-* "-"??_р_._-;_-@_-</c:formatCode>
                <c:ptCount val="18"/>
                <c:pt idx="0">
                  <c:v>13277.65034669072</c:v>
                </c:pt>
                <c:pt idx="1">
                  <c:v>13783.041782871485</c:v>
                </c:pt>
                <c:pt idx="2">
                  <c:v>14060.04915220875</c:v>
                </c:pt>
                <c:pt idx="3">
                  <c:v>14777.706086916298</c:v>
                </c:pt>
                <c:pt idx="4">
                  <c:v>15092.593206865935</c:v>
                </c:pt>
                <c:pt idx="5">
                  <c:v>15510.984839225421</c:v>
                </c:pt>
                <c:pt idx="6">
                  <c:v>16324.882202487845</c:v>
                </c:pt>
                <c:pt idx="7">
                  <c:v>19014.633380462965</c:v>
                </c:pt>
                <c:pt idx="8">
                  <c:v>19089.888720913928</c:v>
                </c:pt>
                <c:pt idx="9">
                  <c:v>20173.989833704789</c:v>
                </c:pt>
                <c:pt idx="10">
                  <c:v>20314.354855932383</c:v>
                </c:pt>
                <c:pt idx="11">
                  <c:v>21154.362752393445</c:v>
                </c:pt>
                <c:pt idx="12">
                  <c:v>21458.689368359155</c:v>
                </c:pt>
                <c:pt idx="13">
                  <c:v>23247.102474675565</c:v>
                </c:pt>
                <c:pt idx="14">
                  <c:v>23980.631449928809</c:v>
                </c:pt>
                <c:pt idx="15">
                  <c:v>24688.825135429521</c:v>
                </c:pt>
                <c:pt idx="16">
                  <c:v>25518.936884075229</c:v>
                </c:pt>
                <c:pt idx="17">
                  <c:v>26284.747515234478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9-466A-ADF6-D567B97C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322368"/>
        <c:axId val="231323904"/>
      </c:lineChart>
      <c:catAx>
        <c:axId val="2313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23904"/>
        <c:crosses val="autoZero"/>
        <c:auto val="1"/>
        <c:lblAlgn val="ctr"/>
        <c:lblOffset val="100"/>
        <c:noMultiLvlLbl val="0"/>
      </c:catAx>
      <c:valAx>
        <c:axId val="23132390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22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511041009463724"/>
          <c:w val="0.81239530988274644"/>
          <c:h val="0.6750788643533136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цены'!$N$32:$AD$32</c:f>
              <c:numCache>
                <c:formatCode>_-* #\ ##0.00_р_._-;\-* #\ ##0.00_р_._-;_-* "-"??_р_._-;_-@_-</c:formatCode>
                <c:ptCount val="17"/>
                <c:pt idx="0">
                  <c:v>2340706.2726094564</c:v>
                </c:pt>
                <c:pt idx="1">
                  <c:v>2769973.5063384096</c:v>
                </c:pt>
                <c:pt idx="2">
                  <c:v>3306002.9990233909</c:v>
                </c:pt>
                <c:pt idx="3">
                  <c:v>4100203.7285581501</c:v>
                </c:pt>
                <c:pt idx="4">
                  <c:v>4815707.6993479291</c:v>
                </c:pt>
                <c:pt idx="5">
                  <c:v>5592603.9973861407</c:v>
                </c:pt>
                <c:pt idx="6">
                  <c:v>6533527.604713086</c:v>
                </c:pt>
                <c:pt idx="7">
                  <c:v>8371018.76743731</c:v>
                </c:pt>
                <c:pt idx="8">
                  <c:v>9244564.1684986558</c:v>
                </c:pt>
                <c:pt idx="9">
                  <c:v>10551120.856762458</c:v>
                </c:pt>
                <c:pt idx="10">
                  <c:v>11580740.56381572</c:v>
                </c:pt>
                <c:pt idx="11">
                  <c:v>13265570.451155638</c:v>
                </c:pt>
                <c:pt idx="12">
                  <c:v>14936613.899479462</c:v>
                </c:pt>
                <c:pt idx="13">
                  <c:v>17475980.337106992</c:v>
                </c:pt>
                <c:pt idx="14">
                  <c:v>19289328.518992092</c:v>
                </c:pt>
                <c:pt idx="15">
                  <c:v>21249107.637727767</c:v>
                </c:pt>
                <c:pt idx="16">
                  <c:v>23501015.460754864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8-43F3-B8EE-3EB3FD189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15040"/>
        <c:axId val="231816576"/>
      </c:lineChart>
      <c:catAx>
        <c:axId val="2318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16576"/>
        <c:crosses val="autoZero"/>
        <c:auto val="1"/>
        <c:lblAlgn val="ctr"/>
        <c:lblOffset val="100"/>
        <c:noMultiLvlLbl val="0"/>
      </c:catAx>
      <c:valAx>
        <c:axId val="23181657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15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больницы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50965250965251"/>
          <c:y val="0.36655948553054701"/>
          <c:w val="0.83783783783783783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'!$K$703:$AA$703</c:f>
              <c:numCache>
                <c:formatCode>_-* #\ ##0.00_р_._-;\-* #\ ##0.00_р_._-;_-* "-"??_р_._-;_-@_-</c:formatCode>
                <c:ptCount val="17"/>
                <c:pt idx="0">
                  <c:v>597</c:v>
                </c:pt>
                <c:pt idx="1">
                  <c:v>463</c:v>
                </c:pt>
                <c:pt idx="2">
                  <c:v>889</c:v>
                </c:pt>
                <c:pt idx="3">
                  <c:v>538</c:v>
                </c:pt>
                <c:pt idx="4">
                  <c:v>630</c:v>
                </c:pt>
                <c:pt idx="5">
                  <c:v>1019</c:v>
                </c:pt>
                <c:pt idx="6">
                  <c:v>2755</c:v>
                </c:pt>
                <c:pt idx="7">
                  <c:v>343</c:v>
                </c:pt>
                <c:pt idx="8">
                  <c:v>1218</c:v>
                </c:pt>
                <c:pt idx="9">
                  <c:v>437</c:v>
                </c:pt>
                <c:pt idx="10">
                  <c:v>988</c:v>
                </c:pt>
                <c:pt idx="11">
                  <c:v>598</c:v>
                </c:pt>
                <c:pt idx="12">
                  <c:v>1893</c:v>
                </c:pt>
                <c:pt idx="13">
                  <c:v>854</c:v>
                </c:pt>
                <c:pt idx="14">
                  <c:v>836</c:v>
                </c:pt>
                <c:pt idx="15">
                  <c:v>965</c:v>
                </c:pt>
                <c:pt idx="16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0-4034-B43D-E100EE6B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32576"/>
        <c:axId val="231858944"/>
      </c:lineChart>
      <c:catAx>
        <c:axId val="2318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58944"/>
        <c:crosses val="autoZero"/>
        <c:auto val="1"/>
        <c:lblAlgn val="ctr"/>
        <c:lblOffset val="100"/>
        <c:noMultiLvlLbl val="0"/>
      </c:catAx>
      <c:valAx>
        <c:axId val="2318589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32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75000000000004"/>
          <c:y val="0.21451104100946403"/>
          <c:w val="0.83125000000000004"/>
          <c:h val="0.5867507886435331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'!$K$72:$AA$72</c:f>
              <c:numCache>
                <c:formatCode>_-* #\ ##0.00_р_._-;\-* #\ ##0.00_р_._-;_-* "-"??_р_._-;_-@_-</c:formatCode>
                <c:ptCount val="17"/>
                <c:pt idx="0" formatCode="_-* #\ ##0.0000_р_._-;\-* #\ ##0.0000_р_._-;_-* &quot;-&quot;??_р_._-;_-@_-">
                  <c:v>1.2244970739384711E-2</c:v>
                </c:pt>
                <c:pt idx="1">
                  <c:v>1.2789300355916423E-2</c:v>
                </c:pt>
                <c:pt idx="2">
                  <c:v>1.3152967875633559E-2</c:v>
                </c:pt>
                <c:pt idx="3">
                  <c:v>1.3943402592777458E-2</c:v>
                </c:pt>
                <c:pt idx="4">
                  <c:v>1.5327549241571384E-2</c:v>
                </c:pt>
                <c:pt idx="5">
                  <c:v>1.5836405610300867E-2</c:v>
                </c:pt>
                <c:pt idx="6">
                  <c:v>1.6765847073890072E-2</c:v>
                </c:pt>
                <c:pt idx="7">
                  <c:v>1.9573440163788758E-2</c:v>
                </c:pt>
                <c:pt idx="8">
                  <c:v>1.9873559094100764E-2</c:v>
                </c:pt>
                <c:pt idx="9">
                  <c:v>2.1234631125228682E-2</c:v>
                </c:pt>
                <c:pt idx="10">
                  <c:v>2.1698892997407383E-2</c:v>
                </c:pt>
                <c:pt idx="11">
                  <c:v>2.2955311774210313E-2</c:v>
                </c:pt>
                <c:pt idx="12">
                  <c:v>2.3687970677946157E-2</c:v>
                </c:pt>
                <c:pt idx="13">
                  <c:v>2.5891410083591498E-2</c:v>
                </c:pt>
                <c:pt idx="14">
                  <c:v>2.6944226993432647E-2</c:v>
                </c:pt>
                <c:pt idx="15">
                  <c:v>2.7994581491865251E-2</c:v>
                </c:pt>
                <c:pt idx="16">
                  <c:v>2.9044533183116738E-2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7-4F83-9E77-2264F43E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74944"/>
        <c:axId val="231876480"/>
      </c:lineChart>
      <c:catAx>
        <c:axId val="2318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76480"/>
        <c:crosses val="autoZero"/>
        <c:auto val="1"/>
        <c:lblAlgn val="ctr"/>
        <c:lblOffset val="100"/>
        <c:noMultiLvlLbl val="0"/>
      </c:catAx>
      <c:valAx>
        <c:axId val="231876480"/>
        <c:scaling>
          <c:orientation val="minMax"/>
        </c:scaling>
        <c:delete val="0"/>
        <c:axPos val="l"/>
        <c:majorGridlines/>
        <c:numFmt formatCode="_-* #\ ##0.0000_р_._-;\-* #\ ##0.00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74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465408805031446"/>
          <c:w val="0.8615384615384617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цены'!$N$40:$AE$40</c:f>
              <c:numCache>
                <c:formatCode>_-* #\ ##0.00_р_._-;\-* #\ ##0.00_р_._-;_-* "-"??_р_._-;_-@_-</c:formatCode>
                <c:ptCount val="18"/>
                <c:pt idx="0">
                  <c:v>26480.729692581252</c:v>
                </c:pt>
                <c:pt idx="1">
                  <c:v>27302.791294093044</c:v>
                </c:pt>
                <c:pt idx="2">
                  <c:v>28049.721805747828</c:v>
                </c:pt>
                <c:pt idx="3">
                  <c:v>28769.822199344813</c:v>
                </c:pt>
                <c:pt idx="4">
                  <c:v>29489.701092187624</c:v>
                </c:pt>
                <c:pt idx="5">
                  <c:v>29056.531714904602</c:v>
                </c:pt>
                <c:pt idx="6">
                  <c:v>29618.074952227507</c:v>
                </c:pt>
                <c:pt idx="7">
                  <c:v>31178.894202705233</c:v>
                </c:pt>
                <c:pt idx="8">
                  <c:v>32192.105260678181</c:v>
                </c:pt>
                <c:pt idx="9">
                  <c:v>32998.975688019898</c:v>
                </c:pt>
                <c:pt idx="10">
                  <c:v>33731.982324316334</c:v>
                </c:pt>
                <c:pt idx="11">
                  <c:v>34527.209935310464</c:v>
                </c:pt>
                <c:pt idx="12">
                  <c:v>35352.598006700864</c:v>
                </c:pt>
                <c:pt idx="13">
                  <c:v>37036.072026633854</c:v>
                </c:pt>
                <c:pt idx="14">
                  <c:v>38157.711306367521</c:v>
                </c:pt>
                <c:pt idx="15">
                  <c:v>39109.134193303849</c:v>
                </c:pt>
                <c:pt idx="16">
                  <c:v>40263.04285137081</c:v>
                </c:pt>
                <c:pt idx="17">
                  <c:v>41333.412422857102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9-49B4-B01A-28869B63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17056"/>
        <c:axId val="231918592"/>
      </c:lineChart>
      <c:catAx>
        <c:axId val="2319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18592"/>
        <c:crosses val="autoZero"/>
        <c:auto val="1"/>
        <c:lblAlgn val="ctr"/>
        <c:lblOffset val="100"/>
        <c:noMultiLvlLbl val="0"/>
      </c:catAx>
      <c:valAx>
        <c:axId val="23191859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170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465408805031446"/>
          <c:w val="0.82077051926298161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цены'!$N$41:$AD$41</c:f>
              <c:numCache>
                <c:formatCode>_-* #\ ##0.00_р_._-;\-* #\ ##0.00_р_._-;_-* "-"??_р_._-;_-@_-</c:formatCode>
                <c:ptCount val="17"/>
                <c:pt idx="0">
                  <c:v>1478284.3864801116</c:v>
                </c:pt>
                <c:pt idx="1">
                  <c:v>1737560.5288213415</c:v>
                </c:pt>
                <c:pt idx="2">
                  <c:v>2088561.7168973666</c:v>
                </c:pt>
                <c:pt idx="3">
                  <c:v>2527772.2397059775</c:v>
                </c:pt>
                <c:pt idx="4">
                  <c:v>2979675.5207864996</c:v>
                </c:pt>
                <c:pt idx="5">
                  <c:v>3317575.5386295682</c:v>
                </c:pt>
                <c:pt idx="6">
                  <c:v>3753676.5963285575</c:v>
                </c:pt>
                <c:pt idx="7">
                  <c:v>4346637.4577874616</c:v>
                </c:pt>
                <c:pt idx="8">
                  <c:v>4936677.6970190238</c:v>
                </c:pt>
                <c:pt idx="9">
                  <c:v>5465244.6760823019</c:v>
                </c:pt>
                <c:pt idx="10">
                  <c:v>6089442.2004036568</c:v>
                </c:pt>
                <c:pt idx="11">
                  <c:v>6856300.1113570333</c:v>
                </c:pt>
                <c:pt idx="12">
                  <c:v>7792425.2940131389</c:v>
                </c:pt>
                <c:pt idx="13">
                  <c:v>8816576.6586165521</c:v>
                </c:pt>
                <c:pt idx="14">
                  <c:v>9719438.2187878639</c:v>
                </c:pt>
                <c:pt idx="15">
                  <c:v>10659107.07451093</c:v>
                </c:pt>
                <c:pt idx="16">
                  <c:v>11741754.46000783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4073-8DB8-A2801932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30496"/>
        <c:axId val="232604032"/>
      </c:lineChart>
      <c:catAx>
        <c:axId val="2319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04032"/>
        <c:crosses val="autoZero"/>
        <c:auto val="1"/>
        <c:lblAlgn val="ctr"/>
        <c:lblOffset val="100"/>
        <c:noMultiLvlLbl val="0"/>
      </c:catAx>
      <c:valAx>
        <c:axId val="23260403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304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поликлиники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655948553054701"/>
          <c:w val="0.8375241779497099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'!$K$704:$AA$704</c:f>
              <c:numCache>
                <c:formatCode>_-* #\ ##0.00_р_._-;\-* #\ ##0.00_р_._-;_-* "-"??_р_._-;_-@_-</c:formatCode>
                <c:ptCount val="17"/>
                <c:pt idx="0">
                  <c:v>1112</c:v>
                </c:pt>
                <c:pt idx="1">
                  <c:v>1139</c:v>
                </c:pt>
                <c:pt idx="2">
                  <c:v>1184</c:v>
                </c:pt>
                <c:pt idx="3">
                  <c:v>1235</c:v>
                </c:pt>
                <c:pt idx="4">
                  <c:v>119</c:v>
                </c:pt>
                <c:pt idx="5">
                  <c:v>961</c:v>
                </c:pt>
                <c:pt idx="6">
                  <c:v>1845</c:v>
                </c:pt>
                <c:pt idx="7">
                  <c:v>1304</c:v>
                </c:pt>
                <c:pt idx="8">
                  <c:v>1143</c:v>
                </c:pt>
                <c:pt idx="9">
                  <c:v>1115</c:v>
                </c:pt>
                <c:pt idx="10">
                  <c:v>1166</c:v>
                </c:pt>
                <c:pt idx="11">
                  <c:v>1168</c:v>
                </c:pt>
                <c:pt idx="12">
                  <c:v>2013</c:v>
                </c:pt>
                <c:pt idx="13">
                  <c:v>1469</c:v>
                </c:pt>
                <c:pt idx="14">
                  <c:v>1298</c:v>
                </c:pt>
                <c:pt idx="15">
                  <c:v>1508</c:v>
                </c:pt>
                <c:pt idx="16">
                  <c:v>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0-4615-A682-C9490321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24128"/>
        <c:axId val="232625664"/>
      </c:lineChart>
      <c:catAx>
        <c:axId val="23262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25664"/>
        <c:crosses val="autoZero"/>
        <c:auto val="1"/>
        <c:lblAlgn val="ctr"/>
        <c:lblOffset val="100"/>
        <c:noMultiLvlLbl val="0"/>
      </c:catAx>
      <c:valAx>
        <c:axId val="23262566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24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097985888484196E-2"/>
          <c:y val="4.2689434982937653E-2"/>
          <c:w val="0.79504276685397302"/>
          <c:h val="0.4286730762869983"/>
        </c:manualLayout>
      </c:layout>
      <c:lineChart>
        <c:grouping val="standard"/>
        <c:varyColors val="0"/>
        <c:ser>
          <c:idx val="0"/>
          <c:order val="0"/>
          <c:tx>
            <c:v>Обеспеченность, ЖКХ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'Графики-прогноз'!$D$27:$AB$27</c:f>
              <c:numCache>
                <c:formatCode>_-* #\ ##0.00_р_._-;\-* #\ ##0.00_р_._-;_-* "-"??_р_._-;_-@_-</c:formatCode>
                <c:ptCount val="25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  <c:pt idx="8">
                  <c:v>20.293819721753106</c:v>
                </c:pt>
                <c:pt idx="9">
                  <c:v>20.425682219051357</c:v>
                </c:pt>
                <c:pt idx="10">
                  <c:v>20.564423885455987</c:v>
                </c:pt>
                <c:pt idx="11">
                  <c:v>20.692210334371524</c:v>
                </c:pt>
                <c:pt idx="12">
                  <c:v>20.830650087868438</c:v>
                </c:pt>
                <c:pt idx="13">
                  <c:v>21.436651370244771</c:v>
                </c:pt>
                <c:pt idx="14">
                  <c:v>22.070051755665911</c:v>
                </c:pt>
                <c:pt idx="15">
                  <c:v>22.707016332898064</c:v>
                </c:pt>
                <c:pt idx="16">
                  <c:v>23.229580096259006</c:v>
                </c:pt>
                <c:pt idx="17">
                  <c:v>23.757884153930451</c:v>
                </c:pt>
                <c:pt idx="18">
                  <c:v>24.243799611659558</c:v>
                </c:pt>
                <c:pt idx="19">
                  <c:v>24.768886472106491</c:v>
                </c:pt>
                <c:pt idx="20">
                  <c:v>25.308531970066785</c:v>
                </c:pt>
                <c:pt idx="21">
                  <c:v>25.760622975576823</c:v>
                </c:pt>
                <c:pt idx="22">
                  <c:v>26.293534215679244</c:v>
                </c:pt>
                <c:pt idx="23">
                  <c:v>26.918223270042599</c:v>
                </c:pt>
                <c:pt idx="24">
                  <c:v>27.504604297707314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B-4F24-A530-7975E808EDAF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ПУЛЬТ!$AD$15:$BB$15</c:f>
              <c:numCache>
                <c:formatCode>0.00000</c:formatCode>
                <c:ptCount val="25"/>
                <c:pt idx="0">
                  <c:v>18.8246</c:v>
                </c:pt>
                <c:pt idx="1">
                  <c:v>19.090380499999998</c:v>
                </c:pt>
                <c:pt idx="2">
                  <c:v>19.38</c:v>
                </c:pt>
                <c:pt idx="3">
                  <c:v>19.55</c:v>
                </c:pt>
                <c:pt idx="4">
                  <c:v>19.71</c:v>
                </c:pt>
                <c:pt idx="5">
                  <c:v>19.945</c:v>
                </c:pt>
                <c:pt idx="6">
                  <c:v>20.23</c:v>
                </c:pt>
                <c:pt idx="7">
                  <c:v>20.282354999999999</c:v>
                </c:pt>
                <c:pt idx="8">
                  <c:v>20.736334117647058</c:v>
                </c:pt>
                <c:pt idx="9">
                  <c:v>21.190313235294116</c:v>
                </c:pt>
                <c:pt idx="10">
                  <c:v>21.644292352941175</c:v>
                </c:pt>
                <c:pt idx="11">
                  <c:v>22.098271470588234</c:v>
                </c:pt>
                <c:pt idx="12">
                  <c:v>22.552250588235292</c:v>
                </c:pt>
                <c:pt idx="13">
                  <c:v>23.006229705882351</c:v>
                </c:pt>
                <c:pt idx="14">
                  <c:v>23.46020882352941</c:v>
                </c:pt>
                <c:pt idx="15">
                  <c:v>23.914187941176468</c:v>
                </c:pt>
                <c:pt idx="16">
                  <c:v>24.368167058823527</c:v>
                </c:pt>
                <c:pt idx="17">
                  <c:v>24.822146176470586</c:v>
                </c:pt>
                <c:pt idx="18">
                  <c:v>25.276125294117644</c:v>
                </c:pt>
                <c:pt idx="19">
                  <c:v>25.730104411764703</c:v>
                </c:pt>
                <c:pt idx="20">
                  <c:v>26.184083529411762</c:v>
                </c:pt>
                <c:pt idx="21">
                  <c:v>26.63806264705882</c:v>
                </c:pt>
                <c:pt idx="22">
                  <c:v>27.092041764705879</c:v>
                </c:pt>
                <c:pt idx="23">
                  <c:v>27.546020882352941</c:v>
                </c:pt>
                <c:pt idx="2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B-4F24-A530-7975E808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52064"/>
        <c:axId val="162562048"/>
      </c:lineChart>
      <c:catAx>
        <c:axId val="1625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562048"/>
        <c:crosses val="autoZero"/>
        <c:auto val="1"/>
        <c:lblAlgn val="ctr"/>
        <c:lblOffset val="100"/>
        <c:noMultiLvlLbl val="0"/>
      </c:catAx>
      <c:valAx>
        <c:axId val="16256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кв.м на чел
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552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33150301818976"/>
          <c:y val="0.49448587308939401"/>
          <c:w val="0.11885781013774799"/>
          <c:h val="3.913192836189510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17034700315457421"/>
          <c:w val="0.87083333333333413"/>
          <c:h val="0.6435331230283916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'!$K$73:$AA$73</c:f>
              <c:numCache>
                <c:formatCode>_-* #\ ##0.00_р_._-;\-* #\ ##0.00_р_._-;_-* "-"??_р_._-;_-@_-</c:formatCode>
                <c:ptCount val="17"/>
                <c:pt idx="0">
                  <c:v>2.4421170295693906E-2</c:v>
                </c:pt>
                <c:pt idx="1">
                  <c:v>2.533429150951242E-2</c:v>
                </c:pt>
                <c:pt idx="2" formatCode="_-* #\ ##0.00000_р_._-;\-* #\ ##0.00000_р_._-;_-* &quot;-&quot;??_р_._-;_-@_-">
                  <c:v>2.6240099578421563E-2</c:v>
                </c:pt>
                <c:pt idx="3" formatCode="_-* #\ ##0.0000_р_._-;\-* #\ ##0.0000_р_._-;_-* &quot;-&quot;??_р_._-;_-@_-">
                  <c:v>2.7145567186727004E-2</c:v>
                </c:pt>
                <c:pt idx="4" formatCode="_-* #\ ##0.00000_р_._-;\-* #\ ##0.00000_р_._-;_-* &quot;-&quot;??_р_._-;_-@_-">
                  <c:v>3.1897596364829868E-2</c:v>
                </c:pt>
                <c:pt idx="5">
                  <c:v>3.1744587753371752E-2</c:v>
                </c:pt>
                <c:pt idx="6">
                  <c:v>3.2599028013639411E-2</c:v>
                </c:pt>
                <c:pt idx="7">
                  <c:v>3.4465114093516755E-2</c:v>
                </c:pt>
                <c:pt idx="8">
                  <c:v>3.5886853268108594E-2</c:v>
                </c:pt>
                <c:pt idx="9">
                  <c:v>3.718685298205477E-2</c:v>
                </c:pt>
                <c:pt idx="10">
                  <c:v>3.8508151820142375E-2</c:v>
                </c:pt>
                <c:pt idx="11">
                  <c:v>4.0008330290533585E-2</c:v>
                </c:pt>
                <c:pt idx="12">
                  <c:v>4.1600143080439189E-2</c:v>
                </c:pt>
                <c:pt idx="13">
                  <c:v>4.3881590299080925E-2</c:v>
                </c:pt>
                <c:pt idx="14">
                  <c:v>4.5523079707601881E-2</c:v>
                </c:pt>
                <c:pt idx="15">
                  <c:v>4.7013399551447822E-2</c:v>
                </c:pt>
                <c:pt idx="16">
                  <c:v>4.8493753906491632E-2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4-4715-8FF2-391C5EC8F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53952"/>
        <c:axId val="232655488"/>
      </c:lineChart>
      <c:catAx>
        <c:axId val="2326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55488"/>
        <c:crosses val="autoZero"/>
        <c:auto val="1"/>
        <c:lblAlgn val="ctr"/>
        <c:lblOffset val="100"/>
        <c:noMultiLvlLbl val="0"/>
      </c:catAx>
      <c:valAx>
        <c:axId val="23265548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539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цены'!$N$50:$AE$50</c:f>
              <c:numCache>
                <c:formatCode>_-* #\ ##0.00_р_._-;\-* #\ ##0.00_р_._-;_-* "-"??_р_._-;_-@_-</c:formatCode>
                <c:ptCount val="18"/>
                <c:pt idx="0">
                  <c:v>158263.38065606914</c:v>
                </c:pt>
                <c:pt idx="1">
                  <c:v>158533.40315999518</c:v>
                </c:pt>
                <c:pt idx="2">
                  <c:v>164491.06912839523</c:v>
                </c:pt>
                <c:pt idx="3">
                  <c:v>164480.05227722609</c:v>
                </c:pt>
                <c:pt idx="4">
                  <c:v>168616.75029649184</c:v>
                </c:pt>
                <c:pt idx="5">
                  <c:v>171431.35312555547</c:v>
                </c:pt>
                <c:pt idx="6">
                  <c:v>194335.03959429992</c:v>
                </c:pt>
                <c:pt idx="7">
                  <c:v>196773.58674072404</c:v>
                </c:pt>
                <c:pt idx="8">
                  <c:v>214061.85087331678</c:v>
                </c:pt>
                <c:pt idx="9">
                  <c:v>212735.9108469316</c:v>
                </c:pt>
                <c:pt idx="10">
                  <c:v>214413.33070744757</c:v>
                </c:pt>
                <c:pt idx="11">
                  <c:v>216598.77609499785</c:v>
                </c:pt>
                <c:pt idx="12">
                  <c:v>232259.78833404789</c:v>
                </c:pt>
                <c:pt idx="13">
                  <c:v>232114.95974217405</c:v>
                </c:pt>
                <c:pt idx="14">
                  <c:v>244223.81014475229</c:v>
                </c:pt>
                <c:pt idx="15">
                  <c:v>249817.5720433048</c:v>
                </c:pt>
                <c:pt idx="16">
                  <c:v>256523.39632287176</c:v>
                </c:pt>
                <c:pt idx="17">
                  <c:v>262838.16235964303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0-445F-92A7-74026D69F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00160"/>
        <c:axId val="232706048"/>
      </c:lineChart>
      <c:catAx>
        <c:axId val="2327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06048"/>
        <c:crosses val="autoZero"/>
        <c:auto val="1"/>
        <c:lblAlgn val="ctr"/>
        <c:lblOffset val="100"/>
        <c:noMultiLvlLbl val="0"/>
      </c:catAx>
      <c:valAx>
        <c:axId val="2327060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001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40201005025126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цены'!$N$51:$AD$51</c:f>
              <c:numCache>
                <c:formatCode>_-* #\ ##0.00_р_._-;\-* #\ ##0.00_р_._-;_-* "-"??_р_._-;_-@_-</c:formatCode>
                <c:ptCount val="17"/>
                <c:pt idx="0">
                  <c:v>2325010.3127770172</c:v>
                </c:pt>
                <c:pt idx="1">
                  <c:v>2655033.9512657141</c:v>
                </c:pt>
                <c:pt idx="2">
                  <c:v>3223127.4701578221</c:v>
                </c:pt>
                <c:pt idx="3">
                  <c:v>3803035.687981457</c:v>
                </c:pt>
                <c:pt idx="4">
                  <c:v>4483484.9977517631</c:v>
                </c:pt>
                <c:pt idx="5">
                  <c:v>5150906.9255590765</c:v>
                </c:pt>
                <c:pt idx="6">
                  <c:v>6481380.8455274953</c:v>
                </c:pt>
                <c:pt idx="7">
                  <c:v>7218981.2734570177</c:v>
                </c:pt>
                <c:pt idx="8">
                  <c:v>8638554.4434751533</c:v>
                </c:pt>
                <c:pt idx="9">
                  <c:v>9271849.2326909881</c:v>
                </c:pt>
                <c:pt idx="10">
                  <c:v>10186003.829788724</c:v>
                </c:pt>
                <c:pt idx="11">
                  <c:v>11318809.10159296</c:v>
                </c:pt>
                <c:pt idx="12">
                  <c:v>13472299.896671062</c:v>
                </c:pt>
                <c:pt idx="13">
                  <c:v>14541010.995605186</c:v>
                </c:pt>
                <c:pt idx="14">
                  <c:v>16370549.276674926</c:v>
                </c:pt>
                <c:pt idx="15">
                  <c:v>17917689.64644593</c:v>
                </c:pt>
                <c:pt idx="16">
                  <c:v>19686557.772159137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B-4F08-B1C0-E25EA580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13600"/>
        <c:axId val="232735872"/>
      </c:lineChart>
      <c:catAx>
        <c:axId val="2327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35872"/>
        <c:crosses val="autoZero"/>
        <c:auto val="1"/>
        <c:lblAlgn val="ctr"/>
        <c:lblOffset val="100"/>
        <c:noMultiLvlLbl val="0"/>
      </c:catAx>
      <c:valAx>
        <c:axId val="23273587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13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культура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02316602316602"/>
          <c:y val="0.36655948553054701"/>
          <c:w val="0.82432432432432434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'!$K$705:$AA$705</c:f>
              <c:numCache>
                <c:formatCode>_-* #\ ##0.00_р_._-;\-* #\ ##0.00_р_._-;_-* "-"??_р_._-;_-@_-</c:formatCode>
                <c:ptCount val="17"/>
                <c:pt idx="0">
                  <c:v>2597</c:v>
                </c:pt>
                <c:pt idx="1">
                  <c:v>7493</c:v>
                </c:pt>
                <c:pt idx="2">
                  <c:v>2948</c:v>
                </c:pt>
                <c:pt idx="3">
                  <c:v>5836</c:v>
                </c:pt>
                <c:pt idx="4">
                  <c:v>4976</c:v>
                </c:pt>
                <c:pt idx="5">
                  <c:v>24481</c:v>
                </c:pt>
                <c:pt idx="6">
                  <c:v>4472</c:v>
                </c:pt>
                <c:pt idx="7">
                  <c:v>19191</c:v>
                </c:pt>
                <c:pt idx="8">
                  <c:v>2023</c:v>
                </c:pt>
                <c:pt idx="9">
                  <c:v>4145</c:v>
                </c:pt>
                <c:pt idx="10">
                  <c:v>4650</c:v>
                </c:pt>
                <c:pt idx="11">
                  <c:v>17726</c:v>
                </c:pt>
                <c:pt idx="12">
                  <c:v>2767</c:v>
                </c:pt>
                <c:pt idx="13">
                  <c:v>14387</c:v>
                </c:pt>
                <c:pt idx="14">
                  <c:v>7880</c:v>
                </c:pt>
                <c:pt idx="15">
                  <c:v>9096</c:v>
                </c:pt>
                <c:pt idx="16">
                  <c:v>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E-4E37-90B1-8F1B1E3A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60064"/>
        <c:axId val="232761600"/>
      </c:lineChart>
      <c:catAx>
        <c:axId val="2327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61600"/>
        <c:crosses val="autoZero"/>
        <c:auto val="1"/>
        <c:lblAlgn val="ctr"/>
        <c:lblOffset val="100"/>
        <c:noMultiLvlLbl val="0"/>
      </c:catAx>
      <c:valAx>
        <c:axId val="23276160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600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42411642411651"/>
          <c:y val="0.21451104100946403"/>
          <c:w val="0.87110187110187243"/>
          <c:h val="0.602523659305993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'!$K$74:$AA$74</c:f>
              <c:numCache>
                <c:formatCode>_-* #\ ##0.00_р_._-;\-* #\ ##0.00_р_._-;_-* "-"??_р_._-;_-@_-</c:formatCode>
                <c:ptCount val="17"/>
                <c:pt idx="0">
                  <c:v>0.14595432283940771</c:v>
                </c:pt>
                <c:pt idx="1">
                  <c:v>0.14710332750920263</c:v>
                </c:pt>
                <c:pt idx="2">
                  <c:v>0.15387896049670077</c:v>
                </c:pt>
                <c:pt idx="3">
                  <c:v>0.15519401819832909</c:v>
                </c:pt>
                <c:pt idx="4">
                  <c:v>0.1653629875013376</c:v>
                </c:pt>
                <c:pt idx="5">
                  <c:v>0.16974393066433399</c:v>
                </c:pt>
                <c:pt idx="6">
                  <c:v>0.19401485344840846</c:v>
                </c:pt>
                <c:pt idx="7">
                  <c:v>0.19872031516466271</c:v>
                </c:pt>
                <c:pt idx="8">
                  <c:v>0.2187058414320073</c:v>
                </c:pt>
                <c:pt idx="9">
                  <c:v>0.22065066663849814</c:v>
                </c:pt>
                <c:pt idx="10">
                  <c:v>0.22608027658640473</c:v>
                </c:pt>
                <c:pt idx="11">
                  <c:v>0.23261798994649527</c:v>
                </c:pt>
                <c:pt idx="12">
                  <c:v>0.25387265390287361</c:v>
                </c:pt>
                <c:pt idx="13">
                  <c:v>0.25683010712263565</c:v>
                </c:pt>
                <c:pt idx="14">
                  <c:v>0.27286722437273631</c:v>
                </c:pt>
                <c:pt idx="15">
                  <c:v>0.28202358755228196</c:v>
                </c:pt>
                <c:pt idx="16">
                  <c:v>0.29100221222519079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0-46FB-A732-CE2B42397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65728"/>
        <c:axId val="233467264"/>
      </c:lineChart>
      <c:catAx>
        <c:axId val="2334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67264"/>
        <c:crosses val="autoZero"/>
        <c:auto val="1"/>
        <c:lblAlgn val="ctr"/>
        <c:lblOffset val="100"/>
        <c:noMultiLvlLbl val="0"/>
      </c:catAx>
      <c:valAx>
        <c:axId val="23346726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65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цены'!$N$60:$AE$60</c:f>
              <c:numCache>
                <c:formatCode>_-* #\ ##0.00_р_._-;\-* #\ ##0.00_р_._-;_-* "-"??_р_._-;_-@_-</c:formatCode>
                <c:ptCount val="18"/>
                <c:pt idx="0">
                  <c:v>164223.94256097535</c:v>
                </c:pt>
                <c:pt idx="1">
                  <c:v>165505.70313536559</c:v>
                </c:pt>
                <c:pt idx="2">
                  <c:v>167151.64610401192</c:v>
                </c:pt>
                <c:pt idx="3">
                  <c:v>168565.27436960279</c:v>
                </c:pt>
                <c:pt idx="4">
                  <c:v>169871.45034223745</c:v>
                </c:pt>
                <c:pt idx="5">
                  <c:v>186244.73583881508</c:v>
                </c:pt>
                <c:pt idx="6">
                  <c:v>192359.28848042694</c:v>
                </c:pt>
                <c:pt idx="7">
                  <c:v>206796.69559562267</c:v>
                </c:pt>
                <c:pt idx="8">
                  <c:v>210433.72863966646</c:v>
                </c:pt>
                <c:pt idx="9">
                  <c:v>214561.39135326978</c:v>
                </c:pt>
                <c:pt idx="10">
                  <c:v>226988.77743973711</c:v>
                </c:pt>
                <c:pt idx="11">
                  <c:v>225465.07142460189</c:v>
                </c:pt>
                <c:pt idx="12">
                  <c:v>228391.42071035586</c:v>
                </c:pt>
                <c:pt idx="13">
                  <c:v>237537.50650325231</c:v>
                </c:pt>
                <c:pt idx="14">
                  <c:v>245162.13143821977</c:v>
                </c:pt>
                <c:pt idx="15">
                  <c:v>250408.51012383759</c:v>
                </c:pt>
                <c:pt idx="16">
                  <c:v>256855.42502259923</c:v>
                </c:pt>
                <c:pt idx="17">
                  <c:v>262866.87077237322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B-4A1E-9345-5A378E69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79168"/>
        <c:axId val="233501440"/>
      </c:lineChart>
      <c:catAx>
        <c:axId val="2334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01440"/>
        <c:crosses val="autoZero"/>
        <c:auto val="1"/>
        <c:lblAlgn val="ctr"/>
        <c:lblOffset val="100"/>
        <c:noMultiLvlLbl val="0"/>
      </c:catAx>
      <c:valAx>
        <c:axId val="2335014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791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511041009463724"/>
          <c:w val="0.82077051926298161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цены'!$N$61:$AD$61</c:f>
              <c:numCache>
                <c:formatCode>_-* #\ ##0.00_р_._-;\-* #\ ##0.00_р_._-;_-* "-"??_р_._-;_-@_-</c:formatCode>
                <c:ptCount val="17"/>
                <c:pt idx="0">
                  <c:v>579018.12809965538</c:v>
                </c:pt>
                <c:pt idx="1">
                  <c:v>665232.56630128599</c:v>
                </c:pt>
                <c:pt idx="2">
                  <c:v>786062.46298185829</c:v>
                </c:pt>
                <c:pt idx="3">
                  <c:v>935398.17670023418</c:v>
                </c:pt>
                <c:pt idx="4">
                  <c:v>1084043.3318514989</c:v>
                </c:pt>
                <c:pt idx="5">
                  <c:v>1343039.2266391998</c:v>
                </c:pt>
                <c:pt idx="6">
                  <c:v>1539716.741255638</c:v>
                </c:pt>
                <c:pt idx="7">
                  <c:v>1820807.1491440234</c:v>
                </c:pt>
                <c:pt idx="8">
                  <c:v>2038113.617178482</c:v>
                </c:pt>
                <c:pt idx="9">
                  <c:v>2244338.5666639018</c:v>
                </c:pt>
                <c:pt idx="10">
                  <c:v>2588020.304922109</c:v>
                </c:pt>
                <c:pt idx="11">
                  <c:v>2827712.4905778556</c:v>
                </c:pt>
                <c:pt idx="12">
                  <c:v>3179499.3725332217</c:v>
                </c:pt>
                <c:pt idx="13">
                  <c:v>3571370.4944505743</c:v>
                </c:pt>
                <c:pt idx="14">
                  <c:v>3944026.9982900545</c:v>
                </c:pt>
                <c:pt idx="15">
                  <c:v>4310417.6531986259</c:v>
                </c:pt>
                <c:pt idx="16">
                  <c:v>4730889.3329343852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9-4B89-839E-BF7E9C9EC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30112"/>
        <c:axId val="233531648"/>
      </c:lineChart>
      <c:catAx>
        <c:axId val="2335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31648"/>
        <c:crosses val="autoZero"/>
        <c:auto val="1"/>
        <c:lblAlgn val="ctr"/>
        <c:lblOffset val="100"/>
        <c:noMultiLvlLbl val="0"/>
      </c:catAx>
      <c:valAx>
        <c:axId val="2335316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30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физич. культура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02316602316602"/>
          <c:y val="0.36655948553054701"/>
          <c:w val="0.82432432432432434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'!$K$706:$AA$706</c:f>
              <c:numCache>
                <c:formatCode>_-* #\ ##0.00_р_._-;\-* #\ ##0.00_р_._-;_-* "-"??_р_._-;_-@_-</c:formatCode>
                <c:ptCount val="17"/>
                <c:pt idx="0">
                  <c:v>2874</c:v>
                </c:pt>
                <c:pt idx="1">
                  <c:v>3251</c:v>
                </c:pt>
                <c:pt idx="2">
                  <c:v>3174</c:v>
                </c:pt>
                <c:pt idx="3">
                  <c:v>3264</c:v>
                </c:pt>
                <c:pt idx="4">
                  <c:v>18022</c:v>
                </c:pt>
                <c:pt idx="5">
                  <c:v>7756</c:v>
                </c:pt>
                <c:pt idx="6">
                  <c:v>16266</c:v>
                </c:pt>
                <c:pt idx="7">
                  <c:v>5586</c:v>
                </c:pt>
                <c:pt idx="8">
                  <c:v>6162</c:v>
                </c:pt>
                <c:pt idx="9">
                  <c:v>14470</c:v>
                </c:pt>
                <c:pt idx="10">
                  <c:v>1720</c:v>
                </c:pt>
                <c:pt idx="11">
                  <c:v>5126</c:v>
                </c:pt>
                <c:pt idx="12">
                  <c:v>11341</c:v>
                </c:pt>
                <c:pt idx="13">
                  <c:v>9902</c:v>
                </c:pt>
                <c:pt idx="14">
                  <c:v>7534</c:v>
                </c:pt>
                <c:pt idx="15">
                  <c:v>8800</c:v>
                </c:pt>
                <c:pt idx="16">
                  <c:v>8490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0-45C7-86C2-09818E8C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47648"/>
        <c:axId val="233549184"/>
      </c:lineChart>
      <c:catAx>
        <c:axId val="2335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49184"/>
        <c:crosses val="autoZero"/>
        <c:auto val="1"/>
        <c:lblAlgn val="ctr"/>
        <c:lblOffset val="100"/>
        <c:noMultiLvlLbl val="0"/>
      </c:catAx>
      <c:valAx>
        <c:axId val="23354918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476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8706624605678233"/>
          <c:w val="0.87083333333333413"/>
          <c:h val="0.5268138801261830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'!$K$75:$AA$75</c:f>
              <c:numCache>
                <c:formatCode>_-* #\ ##0.00_р_._-;\-* #\ ##0.00_р_._-;_-* "-"??_р_._-;_-@_-</c:formatCode>
                <c:ptCount val="17"/>
                <c:pt idx="0">
                  <c:v>0.15145129739515498</c:v>
                </c:pt>
                <c:pt idx="1">
                  <c:v>0.15357293269224542</c:v>
                </c:pt>
                <c:pt idx="2">
                  <c:v>0.15636789087753369</c:v>
                </c:pt>
                <c:pt idx="3">
                  <c:v>0.15904860131020659</c:v>
                </c:pt>
                <c:pt idx="4">
                  <c:v>0.16655803894440535</c:v>
                </c:pt>
                <c:pt idx="5">
                  <c:v>0.1840039120211002</c:v>
                </c:pt>
                <c:pt idx="6">
                  <c:v>0.19208992243813766</c:v>
                </c:pt>
                <c:pt idx="7">
                  <c:v>0.20860615907684074</c:v>
                </c:pt>
                <c:pt idx="8">
                  <c:v>0.21507718578597701</c:v>
                </c:pt>
                <c:pt idx="9">
                  <c:v>0.22250467476792379</c:v>
                </c:pt>
                <c:pt idx="10">
                  <c:v>0.23907162845749538</c:v>
                </c:pt>
                <c:pt idx="11">
                  <c:v>0.2419529467841329</c:v>
                </c:pt>
                <c:pt idx="12">
                  <c:v>0.24972036523708066</c:v>
                </c:pt>
                <c:pt idx="13">
                  <c:v>0.26272417968902506</c:v>
                </c:pt>
                <c:pt idx="14">
                  <c:v>0.27389834667324997</c:v>
                </c:pt>
                <c:pt idx="15">
                  <c:v>0.28268018541954065</c:v>
                </c:pt>
                <c:pt idx="16">
                  <c:v>0.29137319401259576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C-45CA-8C09-E304659E0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638912"/>
        <c:axId val="233657088"/>
      </c:lineChart>
      <c:catAx>
        <c:axId val="23363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657088"/>
        <c:crosses val="autoZero"/>
        <c:auto val="1"/>
        <c:lblAlgn val="ctr"/>
        <c:lblOffset val="100"/>
        <c:noMultiLvlLbl val="0"/>
      </c:catAx>
      <c:valAx>
        <c:axId val="23365708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638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796559231917727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'Графики-прогноз'!$D$5:$AB$5</c:f>
              <c:numCache>
                <c:formatCode>_-* #\ ##0.00_р_._-;\-* #\ ##0.00_р_._-;_-* "-"??_р_._-;_-@_-</c:formatCode>
                <c:ptCount val="25"/>
                <c:pt idx="0">
                  <c:v>2999</c:v>
                </c:pt>
                <c:pt idx="1">
                  <c:v>1965</c:v>
                </c:pt>
                <c:pt idx="2">
                  <c:v>977</c:v>
                </c:pt>
                <c:pt idx="3">
                  <c:v>723</c:v>
                </c:pt>
                <c:pt idx="4">
                  <c:v>755</c:v>
                </c:pt>
                <c:pt idx="5">
                  <c:v>1212</c:v>
                </c:pt>
                <c:pt idx="6">
                  <c:v>2227</c:v>
                </c:pt>
                <c:pt idx="7">
                  <c:v>2947</c:v>
                </c:pt>
                <c:pt idx="8">
                  <c:v>1029</c:v>
                </c:pt>
                <c:pt idx="9">
                  <c:v>1211</c:v>
                </c:pt>
                <c:pt idx="10">
                  <c:v>1190</c:v>
                </c:pt>
                <c:pt idx="11">
                  <c:v>1149</c:v>
                </c:pt>
                <c:pt idx="12">
                  <c:v>245</c:v>
                </c:pt>
                <c:pt idx="13">
                  <c:v>795</c:v>
                </c:pt>
                <c:pt idx="14">
                  <c:v>1189</c:v>
                </c:pt>
                <c:pt idx="15">
                  <c:v>839</c:v>
                </c:pt>
                <c:pt idx="16">
                  <c:v>693</c:v>
                </c:pt>
                <c:pt idx="17">
                  <c:v>487</c:v>
                </c:pt>
                <c:pt idx="18">
                  <c:v>635</c:v>
                </c:pt>
                <c:pt idx="19">
                  <c:v>858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B-4C90-98AE-2A3892C3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62272"/>
        <c:axId val="162668544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'Графики-прогноз'!$D$16:$AB$16</c:f>
              <c:numCache>
                <c:formatCode>_-* #\ ##0.00_р_._-;\-* #\ ##0.00_р_._-;_-* "-"??_р_._-;_-@_-</c:formatCode>
                <c:ptCount val="25"/>
                <c:pt idx="0">
                  <c:v>40900</c:v>
                </c:pt>
                <c:pt idx="1">
                  <c:v>43540</c:v>
                </c:pt>
                <c:pt idx="2">
                  <c:v>45250.22</c:v>
                </c:pt>
                <c:pt idx="3">
                  <c:v>45824.717800000006</c:v>
                </c:pt>
                <c:pt idx="4">
                  <c:v>46506.068364400009</c:v>
                </c:pt>
                <c:pt idx="5">
                  <c:v>47218.056227671208</c:v>
                </c:pt>
                <c:pt idx="6">
                  <c:v>48432.838171443538</c:v>
                </c:pt>
                <c:pt idx="7">
                  <c:v>50661.405333272101</c:v>
                </c:pt>
                <c:pt idx="8">
                  <c:v>53151.791279939374</c:v>
                </c:pt>
                <c:pt idx="9">
                  <c:v>53137.276715701468</c:v>
                </c:pt>
                <c:pt idx="10">
                  <c:v>53264.699283755705</c:v>
                </c:pt>
                <c:pt idx="11">
                  <c:v>53333.614571249716</c:v>
                </c:pt>
                <c:pt idx="12">
                  <c:v>53338.358272223653</c:v>
                </c:pt>
                <c:pt idx="13">
                  <c:v>52480.300542143275</c:v>
                </c:pt>
                <c:pt idx="14">
                  <c:v>52303.670890303394</c:v>
                </c:pt>
                <c:pt idx="15">
                  <c:v>52656.234340862924</c:v>
                </c:pt>
                <c:pt idx="16">
                  <c:v>52749.074074229153</c:v>
                </c:pt>
                <c:pt idx="17">
                  <c:v>52562.765432287168</c:v>
                </c:pt>
                <c:pt idx="18">
                  <c:v>52206.144427509935</c:v>
                </c:pt>
                <c:pt idx="19">
                  <c:v>51942.024129554418</c:v>
                </c:pt>
                <c:pt idx="20">
                  <c:v>52038.91918815946</c:v>
                </c:pt>
                <c:pt idx="21">
                  <c:v>51510.34426123491</c:v>
                </c:pt>
                <c:pt idx="22">
                  <c:v>50667.706809746385</c:v>
                </c:pt>
                <c:pt idx="23">
                  <c:v>49768.741507456645</c:v>
                </c:pt>
                <c:pt idx="24">
                  <c:v>48970.474781308287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B-4C90-98AE-2A3892C3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70464"/>
        <c:axId val="162672000"/>
      </c:lineChart>
      <c:catAx>
        <c:axId val="1626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68544"/>
        <c:crosses val="autoZero"/>
        <c:auto val="1"/>
        <c:lblAlgn val="ctr"/>
        <c:lblOffset val="100"/>
        <c:noMultiLvlLbl val="0"/>
      </c:catAx>
      <c:valAx>
        <c:axId val="162668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62272"/>
        <c:crosses val="autoZero"/>
        <c:crossBetween val="between"/>
      </c:valAx>
      <c:catAx>
        <c:axId val="162670464"/>
        <c:scaling>
          <c:orientation val="minMax"/>
        </c:scaling>
        <c:delete val="1"/>
        <c:axPos val="b"/>
        <c:majorTickMark val="out"/>
        <c:minorTickMark val="none"/>
        <c:tickLblPos val="none"/>
        <c:crossAx val="162672000"/>
        <c:crosses val="autoZero"/>
        <c:auto val="1"/>
        <c:lblAlgn val="ctr"/>
        <c:lblOffset val="100"/>
        <c:noMultiLvlLbl val="0"/>
      </c:catAx>
      <c:valAx>
        <c:axId val="162672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7046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26" Type="http://schemas.openxmlformats.org/officeDocument/2006/relationships/chart" Target="../charts/chart47.xml"/><Relationship Id="rId21" Type="http://schemas.openxmlformats.org/officeDocument/2006/relationships/chart" Target="../charts/chart42.xml"/><Relationship Id="rId34" Type="http://schemas.openxmlformats.org/officeDocument/2006/relationships/chart" Target="../charts/chart55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5" Type="http://schemas.openxmlformats.org/officeDocument/2006/relationships/chart" Target="../charts/chart46.xml"/><Relationship Id="rId33" Type="http://schemas.openxmlformats.org/officeDocument/2006/relationships/chart" Target="../charts/chart54.xml"/><Relationship Id="rId38" Type="http://schemas.openxmlformats.org/officeDocument/2006/relationships/chart" Target="../charts/chart59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29" Type="http://schemas.openxmlformats.org/officeDocument/2006/relationships/chart" Target="../charts/chart50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24" Type="http://schemas.openxmlformats.org/officeDocument/2006/relationships/chart" Target="../charts/chart45.xml"/><Relationship Id="rId32" Type="http://schemas.openxmlformats.org/officeDocument/2006/relationships/chart" Target="../charts/chart53.xml"/><Relationship Id="rId37" Type="http://schemas.openxmlformats.org/officeDocument/2006/relationships/chart" Target="../charts/chart58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23" Type="http://schemas.openxmlformats.org/officeDocument/2006/relationships/chart" Target="../charts/chart44.xml"/><Relationship Id="rId28" Type="http://schemas.openxmlformats.org/officeDocument/2006/relationships/chart" Target="../charts/chart49.xml"/><Relationship Id="rId36" Type="http://schemas.openxmlformats.org/officeDocument/2006/relationships/chart" Target="../charts/chart57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31" Type="http://schemas.openxmlformats.org/officeDocument/2006/relationships/chart" Target="../charts/chart52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Relationship Id="rId22" Type="http://schemas.openxmlformats.org/officeDocument/2006/relationships/chart" Target="../charts/chart43.xml"/><Relationship Id="rId27" Type="http://schemas.openxmlformats.org/officeDocument/2006/relationships/chart" Target="../charts/chart48.xml"/><Relationship Id="rId30" Type="http://schemas.openxmlformats.org/officeDocument/2006/relationships/chart" Target="../charts/chart51.xml"/><Relationship Id="rId35" Type="http://schemas.openxmlformats.org/officeDocument/2006/relationships/chart" Target="../charts/chart56.xml"/><Relationship Id="rId8" Type="http://schemas.openxmlformats.org/officeDocument/2006/relationships/chart" Target="../charts/chart29.xml"/><Relationship Id="rId3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26" Type="http://schemas.openxmlformats.org/officeDocument/2006/relationships/chart" Target="../charts/chart86.xml"/><Relationship Id="rId3" Type="http://schemas.openxmlformats.org/officeDocument/2006/relationships/chart" Target="../charts/chart63.xml"/><Relationship Id="rId21" Type="http://schemas.openxmlformats.org/officeDocument/2006/relationships/chart" Target="../charts/chart81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5" Type="http://schemas.openxmlformats.org/officeDocument/2006/relationships/chart" Target="../charts/chart85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24" Type="http://schemas.openxmlformats.org/officeDocument/2006/relationships/chart" Target="../charts/chart84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23" Type="http://schemas.openxmlformats.org/officeDocument/2006/relationships/chart" Target="../charts/chart83.xml"/><Relationship Id="rId28" Type="http://schemas.openxmlformats.org/officeDocument/2006/relationships/chart" Target="../charts/chart88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Relationship Id="rId22" Type="http://schemas.openxmlformats.org/officeDocument/2006/relationships/chart" Target="../charts/chart82.xml"/><Relationship Id="rId27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19050</xdr:colOff>
      <xdr:row>166</xdr:row>
      <xdr:rowOff>57150</xdr:rowOff>
    </xdr:from>
    <xdr:to>
      <xdr:col>39</xdr:col>
      <xdr:colOff>438150</xdr:colOff>
      <xdr:row>180</xdr:row>
      <xdr:rowOff>95250</xdr:rowOff>
    </xdr:to>
    <xdr:graphicFrame macro="">
      <xdr:nvGraphicFramePr>
        <xdr:cNvPr id="63960319" name="Диаграмма 7">
          <a:extLst>
            <a:ext uri="{FF2B5EF4-FFF2-40B4-BE49-F238E27FC236}">
              <a16:creationId xmlns:a16="http://schemas.microsoft.com/office/drawing/2014/main" id="{00000000-0008-0000-0000-0000FFF4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38100</xdr:colOff>
      <xdr:row>166</xdr:row>
      <xdr:rowOff>47625</xdr:rowOff>
    </xdr:from>
    <xdr:to>
      <xdr:col>33</xdr:col>
      <xdr:colOff>809625</xdr:colOff>
      <xdr:row>181</xdr:row>
      <xdr:rowOff>19050</xdr:rowOff>
    </xdr:to>
    <xdr:graphicFrame macro="">
      <xdr:nvGraphicFramePr>
        <xdr:cNvPr id="63960320" name="Диаграмма 11">
          <a:extLst>
            <a:ext uri="{FF2B5EF4-FFF2-40B4-BE49-F238E27FC236}">
              <a16:creationId xmlns:a16="http://schemas.microsoft.com/office/drawing/2014/main" id="{00000000-0008-0000-0000-000000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809625</xdr:colOff>
      <xdr:row>162</xdr:row>
      <xdr:rowOff>123825</xdr:rowOff>
    </xdr:from>
    <xdr:to>
      <xdr:col>29</xdr:col>
      <xdr:colOff>57150</xdr:colOff>
      <xdr:row>180</xdr:row>
      <xdr:rowOff>57150</xdr:rowOff>
    </xdr:to>
    <xdr:graphicFrame macro="">
      <xdr:nvGraphicFramePr>
        <xdr:cNvPr id="63960321" name="Диаграмма 14">
          <a:extLst>
            <a:ext uri="{FF2B5EF4-FFF2-40B4-BE49-F238E27FC236}">
              <a16:creationId xmlns:a16="http://schemas.microsoft.com/office/drawing/2014/main" id="{00000000-0008-0000-0000-000001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609600</xdr:colOff>
      <xdr:row>162</xdr:row>
      <xdr:rowOff>123825</xdr:rowOff>
    </xdr:from>
    <xdr:to>
      <xdr:col>34</xdr:col>
      <xdr:colOff>723900</xdr:colOff>
      <xdr:row>180</xdr:row>
      <xdr:rowOff>47625</xdr:rowOff>
    </xdr:to>
    <xdr:graphicFrame macro="">
      <xdr:nvGraphicFramePr>
        <xdr:cNvPr id="63960322" name="Диаграмма 18">
          <a:extLst>
            <a:ext uri="{FF2B5EF4-FFF2-40B4-BE49-F238E27FC236}">
              <a16:creationId xmlns:a16="http://schemas.microsoft.com/office/drawing/2014/main" id="{00000000-0008-0000-0000-000002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809625</xdr:colOff>
      <xdr:row>163</xdr:row>
      <xdr:rowOff>38100</xdr:rowOff>
    </xdr:from>
    <xdr:to>
      <xdr:col>41</xdr:col>
      <xdr:colOff>171450</xdr:colOff>
      <xdr:row>178</xdr:row>
      <xdr:rowOff>142875</xdr:rowOff>
    </xdr:to>
    <xdr:graphicFrame macro="">
      <xdr:nvGraphicFramePr>
        <xdr:cNvPr id="63960323" name="Диаграмма 22">
          <a:extLst>
            <a:ext uri="{FF2B5EF4-FFF2-40B4-BE49-F238E27FC236}">
              <a16:creationId xmlns:a16="http://schemas.microsoft.com/office/drawing/2014/main" id="{00000000-0008-0000-0000-000003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609600</xdr:colOff>
      <xdr:row>178</xdr:row>
      <xdr:rowOff>38100</xdr:rowOff>
    </xdr:from>
    <xdr:to>
      <xdr:col>35</xdr:col>
      <xdr:colOff>219075</xdr:colOff>
      <xdr:row>201</xdr:row>
      <xdr:rowOff>133350</xdr:rowOff>
    </xdr:to>
    <xdr:graphicFrame macro="">
      <xdr:nvGraphicFramePr>
        <xdr:cNvPr id="63960324" name="Диаграмма 26">
          <a:extLst>
            <a:ext uri="{FF2B5EF4-FFF2-40B4-BE49-F238E27FC236}">
              <a16:creationId xmlns:a16="http://schemas.microsoft.com/office/drawing/2014/main" id="{00000000-0008-0000-0000-000004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35</xdr:row>
      <xdr:rowOff>47625</xdr:rowOff>
    </xdr:from>
    <xdr:to>
      <xdr:col>13</xdr:col>
      <xdr:colOff>619125</xdr:colOff>
      <xdr:row>67</xdr:row>
      <xdr:rowOff>47625</xdr:rowOff>
    </xdr:to>
    <xdr:graphicFrame macro="">
      <xdr:nvGraphicFramePr>
        <xdr:cNvPr id="63524378" name="Диаграмма 1">
          <a:extLst>
            <a:ext uri="{FF2B5EF4-FFF2-40B4-BE49-F238E27FC236}">
              <a16:creationId xmlns:a16="http://schemas.microsoft.com/office/drawing/2014/main" id="{00000000-0008-0000-0100-00001A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35</xdr:row>
      <xdr:rowOff>47625</xdr:rowOff>
    </xdr:from>
    <xdr:to>
      <xdr:col>29</xdr:col>
      <xdr:colOff>342900</xdr:colOff>
      <xdr:row>67</xdr:row>
      <xdr:rowOff>47625</xdr:rowOff>
    </xdr:to>
    <xdr:graphicFrame macro="">
      <xdr:nvGraphicFramePr>
        <xdr:cNvPr id="63524379" name="Диаграмма 2">
          <a:extLst>
            <a:ext uri="{FF2B5EF4-FFF2-40B4-BE49-F238E27FC236}">
              <a16:creationId xmlns:a16="http://schemas.microsoft.com/office/drawing/2014/main" id="{00000000-0008-0000-0100-00001B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13</xdr:col>
      <xdr:colOff>304800</xdr:colOff>
      <xdr:row>102</xdr:row>
      <xdr:rowOff>0</xdr:rowOff>
    </xdr:to>
    <xdr:graphicFrame macro="">
      <xdr:nvGraphicFramePr>
        <xdr:cNvPr id="63524380" name="Диаграмма 3">
          <a:extLst>
            <a:ext uri="{FF2B5EF4-FFF2-40B4-BE49-F238E27FC236}">
              <a16:creationId xmlns:a16="http://schemas.microsoft.com/office/drawing/2014/main" id="{00000000-0008-0000-0100-00001C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26</xdr:col>
      <xdr:colOff>752475</xdr:colOff>
      <xdr:row>96</xdr:row>
      <xdr:rowOff>19050</xdr:rowOff>
    </xdr:to>
    <xdr:graphicFrame macro="">
      <xdr:nvGraphicFramePr>
        <xdr:cNvPr id="63524381" name="Диаграмма 4">
          <a:extLst>
            <a:ext uri="{FF2B5EF4-FFF2-40B4-BE49-F238E27FC236}">
              <a16:creationId xmlns:a16="http://schemas.microsoft.com/office/drawing/2014/main" id="{00000000-0008-0000-0100-00001D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13</xdr:col>
      <xdr:colOff>304800</xdr:colOff>
      <xdr:row>137</xdr:row>
      <xdr:rowOff>0</xdr:rowOff>
    </xdr:to>
    <xdr:graphicFrame macro="">
      <xdr:nvGraphicFramePr>
        <xdr:cNvPr id="63524382" name="Диаграмма 5">
          <a:extLst>
            <a:ext uri="{FF2B5EF4-FFF2-40B4-BE49-F238E27FC236}">
              <a16:creationId xmlns:a16="http://schemas.microsoft.com/office/drawing/2014/main" id="{00000000-0008-0000-0100-00001E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105</xdr:row>
      <xdr:rowOff>0</xdr:rowOff>
    </xdr:from>
    <xdr:to>
      <xdr:col>26</xdr:col>
      <xdr:colOff>752475</xdr:colOff>
      <xdr:row>131</xdr:row>
      <xdr:rowOff>19050</xdr:rowOff>
    </xdr:to>
    <xdr:graphicFrame macro="">
      <xdr:nvGraphicFramePr>
        <xdr:cNvPr id="63524383" name="Диаграмма 6">
          <a:extLst>
            <a:ext uri="{FF2B5EF4-FFF2-40B4-BE49-F238E27FC236}">
              <a16:creationId xmlns:a16="http://schemas.microsoft.com/office/drawing/2014/main" id="{00000000-0008-0000-0100-00001F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13</xdr:col>
      <xdr:colOff>304800</xdr:colOff>
      <xdr:row>172</xdr:row>
      <xdr:rowOff>0</xdr:rowOff>
    </xdr:to>
    <xdr:graphicFrame macro="">
      <xdr:nvGraphicFramePr>
        <xdr:cNvPr id="63524384" name="Диаграмма 7">
          <a:extLst>
            <a:ext uri="{FF2B5EF4-FFF2-40B4-BE49-F238E27FC236}">
              <a16:creationId xmlns:a16="http://schemas.microsoft.com/office/drawing/2014/main" id="{00000000-0008-0000-0100-000020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26</xdr:col>
      <xdr:colOff>752475</xdr:colOff>
      <xdr:row>166</xdr:row>
      <xdr:rowOff>19050</xdr:rowOff>
    </xdr:to>
    <xdr:graphicFrame macro="">
      <xdr:nvGraphicFramePr>
        <xdr:cNvPr id="63524385" name="Диаграмма 8">
          <a:extLst>
            <a:ext uri="{FF2B5EF4-FFF2-40B4-BE49-F238E27FC236}">
              <a16:creationId xmlns:a16="http://schemas.microsoft.com/office/drawing/2014/main" id="{00000000-0008-0000-0100-000021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13</xdr:col>
      <xdr:colOff>304800</xdr:colOff>
      <xdr:row>208</xdr:row>
      <xdr:rowOff>0</xdr:rowOff>
    </xdr:to>
    <xdr:graphicFrame macro="">
      <xdr:nvGraphicFramePr>
        <xdr:cNvPr id="63524386" name="Диаграмма 7">
          <a:extLst>
            <a:ext uri="{FF2B5EF4-FFF2-40B4-BE49-F238E27FC236}">
              <a16:creationId xmlns:a16="http://schemas.microsoft.com/office/drawing/2014/main" id="{00000000-0008-0000-0100-000022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176</xdr:row>
      <xdr:rowOff>0</xdr:rowOff>
    </xdr:from>
    <xdr:to>
      <xdr:col>26</xdr:col>
      <xdr:colOff>752475</xdr:colOff>
      <xdr:row>202</xdr:row>
      <xdr:rowOff>19050</xdr:rowOff>
    </xdr:to>
    <xdr:graphicFrame macro="">
      <xdr:nvGraphicFramePr>
        <xdr:cNvPr id="63524387" name="Диаграмма 8">
          <a:extLst>
            <a:ext uri="{FF2B5EF4-FFF2-40B4-BE49-F238E27FC236}">
              <a16:creationId xmlns:a16="http://schemas.microsoft.com/office/drawing/2014/main" id="{00000000-0008-0000-0100-000023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13</xdr:col>
      <xdr:colOff>304800</xdr:colOff>
      <xdr:row>245</xdr:row>
      <xdr:rowOff>0</xdr:rowOff>
    </xdr:to>
    <xdr:graphicFrame macro="">
      <xdr:nvGraphicFramePr>
        <xdr:cNvPr id="63524388" name="Диаграмма 7">
          <a:extLst>
            <a:ext uri="{FF2B5EF4-FFF2-40B4-BE49-F238E27FC236}">
              <a16:creationId xmlns:a16="http://schemas.microsoft.com/office/drawing/2014/main" id="{00000000-0008-0000-0100-000024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213</xdr:row>
      <xdr:rowOff>0</xdr:rowOff>
    </xdr:from>
    <xdr:to>
      <xdr:col>26</xdr:col>
      <xdr:colOff>752475</xdr:colOff>
      <xdr:row>239</xdr:row>
      <xdr:rowOff>19050</xdr:rowOff>
    </xdr:to>
    <xdr:graphicFrame macro="">
      <xdr:nvGraphicFramePr>
        <xdr:cNvPr id="63524389" name="Диаграмма 8">
          <a:extLst>
            <a:ext uri="{FF2B5EF4-FFF2-40B4-BE49-F238E27FC236}">
              <a16:creationId xmlns:a16="http://schemas.microsoft.com/office/drawing/2014/main" id="{00000000-0008-0000-0100-000025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13</xdr:col>
      <xdr:colOff>304800</xdr:colOff>
      <xdr:row>281</xdr:row>
      <xdr:rowOff>0</xdr:rowOff>
    </xdr:to>
    <xdr:graphicFrame macro="">
      <xdr:nvGraphicFramePr>
        <xdr:cNvPr id="63524390" name="Диаграмма 7">
          <a:extLst>
            <a:ext uri="{FF2B5EF4-FFF2-40B4-BE49-F238E27FC236}">
              <a16:creationId xmlns:a16="http://schemas.microsoft.com/office/drawing/2014/main" id="{00000000-0008-0000-0100-000026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248</xdr:row>
      <xdr:rowOff>0</xdr:rowOff>
    </xdr:from>
    <xdr:to>
      <xdr:col>27</xdr:col>
      <xdr:colOff>752475</xdr:colOff>
      <xdr:row>274</xdr:row>
      <xdr:rowOff>19050</xdr:rowOff>
    </xdr:to>
    <xdr:graphicFrame macro="">
      <xdr:nvGraphicFramePr>
        <xdr:cNvPr id="63524391" name="Диаграмма 8">
          <a:extLst>
            <a:ext uri="{FF2B5EF4-FFF2-40B4-BE49-F238E27FC236}">
              <a16:creationId xmlns:a16="http://schemas.microsoft.com/office/drawing/2014/main" id="{00000000-0008-0000-0100-000027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11</xdr:col>
      <xdr:colOff>19050</xdr:colOff>
      <xdr:row>9</xdr:row>
      <xdr:rowOff>0</xdr:rowOff>
    </xdr:to>
    <xdr:graphicFrame macro="">
      <xdr:nvGraphicFramePr>
        <xdr:cNvPr id="59051115" name="Диаграмма 1">
          <a:extLst>
            <a:ext uri="{FF2B5EF4-FFF2-40B4-BE49-F238E27FC236}">
              <a16:creationId xmlns:a16="http://schemas.microsoft.com/office/drawing/2014/main" id="{00000000-0008-0000-0200-00006B0C8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11</xdr:col>
      <xdr:colOff>19050</xdr:colOff>
      <xdr:row>6</xdr:row>
      <xdr:rowOff>0</xdr:rowOff>
    </xdr:to>
    <xdr:graphicFrame macro="">
      <xdr:nvGraphicFramePr>
        <xdr:cNvPr id="65696291" name="Диаграмма 1">
          <a:extLst>
            <a:ext uri="{FF2B5EF4-FFF2-40B4-BE49-F238E27FC236}">
              <a16:creationId xmlns:a16="http://schemas.microsoft.com/office/drawing/2014/main" id="{00000000-0008-0000-0300-00002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11</xdr:col>
      <xdr:colOff>19050</xdr:colOff>
      <xdr:row>6</xdr:row>
      <xdr:rowOff>0</xdr:rowOff>
    </xdr:to>
    <xdr:graphicFrame macro="">
      <xdr:nvGraphicFramePr>
        <xdr:cNvPr id="65696292" name="Диаграмма 2">
          <a:extLst>
            <a:ext uri="{FF2B5EF4-FFF2-40B4-BE49-F238E27FC236}">
              <a16:creationId xmlns:a16="http://schemas.microsoft.com/office/drawing/2014/main" id="{00000000-0008-0000-0300-00002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293" name="Диаграмма 3">
          <a:extLst>
            <a:ext uri="{FF2B5EF4-FFF2-40B4-BE49-F238E27FC236}">
              <a16:creationId xmlns:a16="http://schemas.microsoft.com/office/drawing/2014/main" id="{00000000-0008-0000-0300-00002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11</xdr:col>
      <xdr:colOff>19050</xdr:colOff>
      <xdr:row>15</xdr:row>
      <xdr:rowOff>0</xdr:rowOff>
    </xdr:to>
    <xdr:graphicFrame macro="">
      <xdr:nvGraphicFramePr>
        <xdr:cNvPr id="65696294" name="Диаграмма 4">
          <a:extLst>
            <a:ext uri="{FF2B5EF4-FFF2-40B4-BE49-F238E27FC236}">
              <a16:creationId xmlns:a16="http://schemas.microsoft.com/office/drawing/2014/main" id="{00000000-0008-0000-0300-00002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295" name="Диаграмма 5">
          <a:extLst>
            <a:ext uri="{FF2B5EF4-FFF2-40B4-BE49-F238E27FC236}">
              <a16:creationId xmlns:a16="http://schemas.microsoft.com/office/drawing/2014/main" id="{00000000-0008-0000-0300-00002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19050</xdr:colOff>
      <xdr:row>24</xdr:row>
      <xdr:rowOff>0</xdr:rowOff>
    </xdr:to>
    <xdr:graphicFrame macro="">
      <xdr:nvGraphicFramePr>
        <xdr:cNvPr id="65696296" name="Диаграмма 6">
          <a:extLst>
            <a:ext uri="{FF2B5EF4-FFF2-40B4-BE49-F238E27FC236}">
              <a16:creationId xmlns:a16="http://schemas.microsoft.com/office/drawing/2014/main" id="{00000000-0008-0000-0300-00002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297" name="Диаграмма 7">
          <a:extLst>
            <a:ext uri="{FF2B5EF4-FFF2-40B4-BE49-F238E27FC236}">
              <a16:creationId xmlns:a16="http://schemas.microsoft.com/office/drawing/2014/main" id="{00000000-0008-0000-0300-000029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11</xdr:col>
      <xdr:colOff>19050</xdr:colOff>
      <xdr:row>33</xdr:row>
      <xdr:rowOff>0</xdr:rowOff>
    </xdr:to>
    <xdr:graphicFrame macro="">
      <xdr:nvGraphicFramePr>
        <xdr:cNvPr id="65696298" name="Диаграмма 8">
          <a:extLst>
            <a:ext uri="{FF2B5EF4-FFF2-40B4-BE49-F238E27FC236}">
              <a16:creationId xmlns:a16="http://schemas.microsoft.com/office/drawing/2014/main" id="{00000000-0008-0000-0300-00002A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299" name="Диаграмма 9">
          <a:extLst>
            <a:ext uri="{FF2B5EF4-FFF2-40B4-BE49-F238E27FC236}">
              <a16:creationId xmlns:a16="http://schemas.microsoft.com/office/drawing/2014/main" id="{00000000-0008-0000-0300-00002B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11</xdr:col>
      <xdr:colOff>19050</xdr:colOff>
      <xdr:row>42</xdr:row>
      <xdr:rowOff>0</xdr:rowOff>
    </xdr:to>
    <xdr:graphicFrame macro="">
      <xdr:nvGraphicFramePr>
        <xdr:cNvPr id="65696300" name="Диаграмма 10">
          <a:extLst>
            <a:ext uri="{FF2B5EF4-FFF2-40B4-BE49-F238E27FC236}">
              <a16:creationId xmlns:a16="http://schemas.microsoft.com/office/drawing/2014/main" id="{00000000-0008-0000-0300-00002C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1" name="Диаграмма 11">
          <a:extLst>
            <a:ext uri="{FF2B5EF4-FFF2-40B4-BE49-F238E27FC236}">
              <a16:creationId xmlns:a16="http://schemas.microsoft.com/office/drawing/2014/main" id="{00000000-0008-0000-0300-00002D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2" name="Диаграмма 12">
          <a:extLst>
            <a:ext uri="{FF2B5EF4-FFF2-40B4-BE49-F238E27FC236}">
              <a16:creationId xmlns:a16="http://schemas.microsoft.com/office/drawing/2014/main" id="{00000000-0008-0000-0300-00002E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03" name="Диаграмма 13">
          <a:extLst>
            <a:ext uri="{FF2B5EF4-FFF2-40B4-BE49-F238E27FC236}">
              <a16:creationId xmlns:a16="http://schemas.microsoft.com/office/drawing/2014/main" id="{00000000-0008-0000-0300-00002F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04" name="Диаграмма 14">
          <a:extLst>
            <a:ext uri="{FF2B5EF4-FFF2-40B4-BE49-F238E27FC236}">
              <a16:creationId xmlns:a16="http://schemas.microsoft.com/office/drawing/2014/main" id="{00000000-0008-0000-0300-000030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05" name="Диаграмма 15">
          <a:extLst>
            <a:ext uri="{FF2B5EF4-FFF2-40B4-BE49-F238E27FC236}">
              <a16:creationId xmlns:a16="http://schemas.microsoft.com/office/drawing/2014/main" id="{00000000-0008-0000-0300-000031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06" name="Диаграмма 16">
          <a:extLst>
            <a:ext uri="{FF2B5EF4-FFF2-40B4-BE49-F238E27FC236}">
              <a16:creationId xmlns:a16="http://schemas.microsoft.com/office/drawing/2014/main" id="{00000000-0008-0000-0300-000032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07" name="Диаграмма 17">
          <a:extLst>
            <a:ext uri="{FF2B5EF4-FFF2-40B4-BE49-F238E27FC236}">
              <a16:creationId xmlns:a16="http://schemas.microsoft.com/office/drawing/2014/main" id="{00000000-0008-0000-0300-00003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08" name="Диаграмма 18">
          <a:extLst>
            <a:ext uri="{FF2B5EF4-FFF2-40B4-BE49-F238E27FC236}">
              <a16:creationId xmlns:a16="http://schemas.microsoft.com/office/drawing/2014/main" id="{00000000-0008-0000-0300-00003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9" name="Диаграмма 19">
          <a:extLst>
            <a:ext uri="{FF2B5EF4-FFF2-40B4-BE49-F238E27FC236}">
              <a16:creationId xmlns:a16="http://schemas.microsoft.com/office/drawing/2014/main" id="{00000000-0008-0000-0300-00003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10" name="Диаграмма 20">
          <a:extLst>
            <a:ext uri="{FF2B5EF4-FFF2-40B4-BE49-F238E27FC236}">
              <a16:creationId xmlns:a16="http://schemas.microsoft.com/office/drawing/2014/main" id="{00000000-0008-0000-0300-00003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11" name="Диаграмма 21">
          <a:extLst>
            <a:ext uri="{FF2B5EF4-FFF2-40B4-BE49-F238E27FC236}">
              <a16:creationId xmlns:a16="http://schemas.microsoft.com/office/drawing/2014/main" id="{00000000-0008-0000-0300-00003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12" name="Диаграмма 22">
          <a:extLst>
            <a:ext uri="{FF2B5EF4-FFF2-40B4-BE49-F238E27FC236}">
              <a16:creationId xmlns:a16="http://schemas.microsoft.com/office/drawing/2014/main" id="{00000000-0008-0000-0300-00003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13" name="Диаграмма 23">
          <a:extLst>
            <a:ext uri="{FF2B5EF4-FFF2-40B4-BE49-F238E27FC236}">
              <a16:creationId xmlns:a16="http://schemas.microsoft.com/office/drawing/2014/main" id="{00000000-0008-0000-0300-000039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14" name="Диаграмма 24">
          <a:extLst>
            <a:ext uri="{FF2B5EF4-FFF2-40B4-BE49-F238E27FC236}">
              <a16:creationId xmlns:a16="http://schemas.microsoft.com/office/drawing/2014/main" id="{00000000-0008-0000-0300-00003A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15" name="Диаграмма 25">
          <a:extLst>
            <a:ext uri="{FF2B5EF4-FFF2-40B4-BE49-F238E27FC236}">
              <a16:creationId xmlns:a16="http://schemas.microsoft.com/office/drawing/2014/main" id="{00000000-0008-0000-0300-00003B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16" name="Диаграмма 26">
          <a:extLst>
            <a:ext uri="{FF2B5EF4-FFF2-40B4-BE49-F238E27FC236}">
              <a16:creationId xmlns:a16="http://schemas.microsoft.com/office/drawing/2014/main" id="{00000000-0008-0000-0300-00003C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17" name="Диаграмма 37">
          <a:extLst>
            <a:ext uri="{FF2B5EF4-FFF2-40B4-BE49-F238E27FC236}">
              <a16:creationId xmlns:a16="http://schemas.microsoft.com/office/drawing/2014/main" id="{00000000-0008-0000-0300-00003D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11</xdr:col>
      <xdr:colOff>19050</xdr:colOff>
      <xdr:row>52</xdr:row>
      <xdr:rowOff>0</xdr:rowOff>
    </xdr:to>
    <xdr:graphicFrame macro="">
      <xdr:nvGraphicFramePr>
        <xdr:cNvPr id="65696318" name="Диаграмма 38">
          <a:extLst>
            <a:ext uri="{FF2B5EF4-FFF2-40B4-BE49-F238E27FC236}">
              <a16:creationId xmlns:a16="http://schemas.microsoft.com/office/drawing/2014/main" id="{00000000-0008-0000-0300-00003E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19" name="Диаграмма 39">
          <a:extLst>
            <a:ext uri="{FF2B5EF4-FFF2-40B4-BE49-F238E27FC236}">
              <a16:creationId xmlns:a16="http://schemas.microsoft.com/office/drawing/2014/main" id="{00000000-0008-0000-0300-00003F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0" name="Диаграмма 40">
          <a:extLst>
            <a:ext uri="{FF2B5EF4-FFF2-40B4-BE49-F238E27FC236}">
              <a16:creationId xmlns:a16="http://schemas.microsoft.com/office/drawing/2014/main" id="{00000000-0008-0000-0300-000040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1" name="Диаграмма 41">
          <a:extLst>
            <a:ext uri="{FF2B5EF4-FFF2-40B4-BE49-F238E27FC236}">
              <a16:creationId xmlns:a16="http://schemas.microsoft.com/office/drawing/2014/main" id="{00000000-0008-0000-0300-000041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2" name="Диаграмма 42">
          <a:extLst>
            <a:ext uri="{FF2B5EF4-FFF2-40B4-BE49-F238E27FC236}">
              <a16:creationId xmlns:a16="http://schemas.microsoft.com/office/drawing/2014/main" id="{00000000-0008-0000-0300-000042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3" name="Диаграмма 43">
          <a:extLst>
            <a:ext uri="{FF2B5EF4-FFF2-40B4-BE49-F238E27FC236}">
              <a16:creationId xmlns:a16="http://schemas.microsoft.com/office/drawing/2014/main" id="{00000000-0008-0000-0300-00004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11</xdr:col>
      <xdr:colOff>19050</xdr:colOff>
      <xdr:row>62</xdr:row>
      <xdr:rowOff>0</xdr:rowOff>
    </xdr:to>
    <xdr:graphicFrame macro="">
      <xdr:nvGraphicFramePr>
        <xdr:cNvPr id="65696324" name="Диаграмма 44">
          <a:extLst>
            <a:ext uri="{FF2B5EF4-FFF2-40B4-BE49-F238E27FC236}">
              <a16:creationId xmlns:a16="http://schemas.microsoft.com/office/drawing/2014/main" id="{00000000-0008-0000-0300-00004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5" name="Диаграмма 45">
          <a:extLst>
            <a:ext uri="{FF2B5EF4-FFF2-40B4-BE49-F238E27FC236}">
              <a16:creationId xmlns:a16="http://schemas.microsoft.com/office/drawing/2014/main" id="{00000000-0008-0000-0300-00004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6" name="Диаграмма 46">
          <a:extLst>
            <a:ext uri="{FF2B5EF4-FFF2-40B4-BE49-F238E27FC236}">
              <a16:creationId xmlns:a16="http://schemas.microsoft.com/office/drawing/2014/main" id="{00000000-0008-0000-0300-00004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7" name="Диаграмма 47">
          <a:extLst>
            <a:ext uri="{FF2B5EF4-FFF2-40B4-BE49-F238E27FC236}">
              <a16:creationId xmlns:a16="http://schemas.microsoft.com/office/drawing/2014/main" id="{00000000-0008-0000-0300-00004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8" name="Диаграмма 48">
          <a:extLst>
            <a:ext uri="{FF2B5EF4-FFF2-40B4-BE49-F238E27FC236}">
              <a16:creationId xmlns:a16="http://schemas.microsoft.com/office/drawing/2014/main" id="{00000000-0008-0000-0300-00004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793750</xdr:colOff>
      <xdr:row>112</xdr:row>
      <xdr:rowOff>105833</xdr:rowOff>
    </xdr:from>
    <xdr:to>
      <xdr:col>19</xdr:col>
      <xdr:colOff>588697</xdr:colOff>
      <xdr:row>134</xdr:row>
      <xdr:rowOff>147108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47625</xdr:rowOff>
    </xdr:from>
    <xdr:to>
      <xdr:col>11</xdr:col>
      <xdr:colOff>85725</xdr:colOff>
      <xdr:row>21</xdr:row>
      <xdr:rowOff>133350</xdr:rowOff>
    </xdr:to>
    <xdr:graphicFrame macro="">
      <xdr:nvGraphicFramePr>
        <xdr:cNvPr id="65456619" name="Диаграмма 1">
          <a:extLst>
            <a:ext uri="{FF2B5EF4-FFF2-40B4-BE49-F238E27FC236}">
              <a16:creationId xmlns:a16="http://schemas.microsoft.com/office/drawing/2014/main" id="{00000000-0008-0000-0900-0000EB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3</xdr:row>
      <xdr:rowOff>85725</xdr:rowOff>
    </xdr:from>
    <xdr:to>
      <xdr:col>20</xdr:col>
      <xdr:colOff>466725</xdr:colOff>
      <xdr:row>22</xdr:row>
      <xdr:rowOff>9525</xdr:rowOff>
    </xdr:to>
    <xdr:graphicFrame macro="">
      <xdr:nvGraphicFramePr>
        <xdr:cNvPr id="65456620" name="Диаграмма 2">
          <a:extLst>
            <a:ext uri="{FF2B5EF4-FFF2-40B4-BE49-F238E27FC236}">
              <a16:creationId xmlns:a16="http://schemas.microsoft.com/office/drawing/2014/main" id="{00000000-0008-0000-0900-0000EC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9525</xdr:colOff>
      <xdr:row>3</xdr:row>
      <xdr:rowOff>104775</xdr:rowOff>
    </xdr:from>
    <xdr:to>
      <xdr:col>29</xdr:col>
      <xdr:colOff>57150</xdr:colOff>
      <xdr:row>21</xdr:row>
      <xdr:rowOff>133350</xdr:rowOff>
    </xdr:to>
    <xdr:graphicFrame macro="">
      <xdr:nvGraphicFramePr>
        <xdr:cNvPr id="65456621" name="Диаграмма 3">
          <a:extLst>
            <a:ext uri="{FF2B5EF4-FFF2-40B4-BE49-F238E27FC236}">
              <a16:creationId xmlns:a16="http://schemas.microsoft.com/office/drawing/2014/main" id="{00000000-0008-0000-0900-0000ED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152400</xdr:rowOff>
    </xdr:to>
    <xdr:graphicFrame macro="">
      <xdr:nvGraphicFramePr>
        <xdr:cNvPr id="65456622" name="Диаграмма 4">
          <a:extLst>
            <a:ext uri="{FF2B5EF4-FFF2-40B4-BE49-F238E27FC236}">
              <a16:creationId xmlns:a16="http://schemas.microsoft.com/office/drawing/2014/main" id="{00000000-0008-0000-0900-0000EE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27</xdr:row>
      <xdr:rowOff>28575</xdr:rowOff>
    </xdr:from>
    <xdr:to>
      <xdr:col>11</xdr:col>
      <xdr:colOff>133350</xdr:colOff>
      <xdr:row>45</xdr:row>
      <xdr:rowOff>114300</xdr:rowOff>
    </xdr:to>
    <xdr:graphicFrame macro="">
      <xdr:nvGraphicFramePr>
        <xdr:cNvPr id="65456623" name="Диаграмма 1">
          <a:extLst>
            <a:ext uri="{FF2B5EF4-FFF2-40B4-BE49-F238E27FC236}">
              <a16:creationId xmlns:a16="http://schemas.microsoft.com/office/drawing/2014/main" id="{00000000-0008-0000-0900-0000EF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457200</xdr:colOff>
      <xdr:row>27</xdr:row>
      <xdr:rowOff>38100</xdr:rowOff>
    </xdr:from>
    <xdr:to>
      <xdr:col>21</xdr:col>
      <xdr:colOff>47625</xdr:colOff>
      <xdr:row>45</xdr:row>
      <xdr:rowOff>133350</xdr:rowOff>
    </xdr:to>
    <xdr:graphicFrame macro="">
      <xdr:nvGraphicFramePr>
        <xdr:cNvPr id="65456624" name="Диаграмма 2">
          <a:extLst>
            <a:ext uri="{FF2B5EF4-FFF2-40B4-BE49-F238E27FC236}">
              <a16:creationId xmlns:a16="http://schemas.microsoft.com/office/drawing/2014/main" id="{00000000-0008-0000-0900-0000F0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352425</xdr:colOff>
      <xdr:row>27</xdr:row>
      <xdr:rowOff>19050</xdr:rowOff>
    </xdr:from>
    <xdr:to>
      <xdr:col>29</xdr:col>
      <xdr:colOff>400050</xdr:colOff>
      <xdr:row>45</xdr:row>
      <xdr:rowOff>47625</xdr:rowOff>
    </xdr:to>
    <xdr:graphicFrame macro="">
      <xdr:nvGraphicFramePr>
        <xdr:cNvPr id="65456625" name="Диаграмма 7">
          <a:extLst>
            <a:ext uri="{FF2B5EF4-FFF2-40B4-BE49-F238E27FC236}">
              <a16:creationId xmlns:a16="http://schemas.microsoft.com/office/drawing/2014/main" id="{00000000-0008-0000-0900-0000F1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19050</xdr:colOff>
      <xdr:row>27</xdr:row>
      <xdr:rowOff>38100</xdr:rowOff>
    </xdr:from>
    <xdr:to>
      <xdr:col>37</xdr:col>
      <xdr:colOff>323850</xdr:colOff>
      <xdr:row>45</xdr:row>
      <xdr:rowOff>123825</xdr:rowOff>
    </xdr:to>
    <xdr:graphicFrame macro="">
      <xdr:nvGraphicFramePr>
        <xdr:cNvPr id="65456626" name="Диаграмма 8">
          <a:extLst>
            <a:ext uri="{FF2B5EF4-FFF2-40B4-BE49-F238E27FC236}">
              <a16:creationId xmlns:a16="http://schemas.microsoft.com/office/drawing/2014/main" id="{00000000-0008-0000-0900-0000F2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600075</xdr:colOff>
      <xdr:row>50</xdr:row>
      <xdr:rowOff>38100</xdr:rowOff>
    </xdr:from>
    <xdr:to>
      <xdr:col>11</xdr:col>
      <xdr:colOff>85725</xdr:colOff>
      <xdr:row>68</xdr:row>
      <xdr:rowOff>142875</xdr:rowOff>
    </xdr:to>
    <xdr:graphicFrame macro="">
      <xdr:nvGraphicFramePr>
        <xdr:cNvPr id="65456627" name="Диаграмма 1">
          <a:extLst>
            <a:ext uri="{FF2B5EF4-FFF2-40B4-BE49-F238E27FC236}">
              <a16:creationId xmlns:a16="http://schemas.microsoft.com/office/drawing/2014/main" id="{00000000-0008-0000-0900-0000F3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600075</xdr:colOff>
      <xdr:row>50</xdr:row>
      <xdr:rowOff>0</xdr:rowOff>
    </xdr:from>
    <xdr:to>
      <xdr:col>21</xdr:col>
      <xdr:colOff>190500</xdr:colOff>
      <xdr:row>68</xdr:row>
      <xdr:rowOff>114300</xdr:rowOff>
    </xdr:to>
    <xdr:graphicFrame macro="">
      <xdr:nvGraphicFramePr>
        <xdr:cNvPr id="65456628" name="Диаграмма 2">
          <a:extLst>
            <a:ext uri="{FF2B5EF4-FFF2-40B4-BE49-F238E27FC236}">
              <a16:creationId xmlns:a16="http://schemas.microsoft.com/office/drawing/2014/main" id="{00000000-0008-0000-0900-0000F4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581025</xdr:colOff>
      <xdr:row>50</xdr:row>
      <xdr:rowOff>47625</xdr:rowOff>
    </xdr:from>
    <xdr:to>
      <xdr:col>30</xdr:col>
      <xdr:colOff>19050</xdr:colOff>
      <xdr:row>68</xdr:row>
      <xdr:rowOff>95250</xdr:rowOff>
    </xdr:to>
    <xdr:graphicFrame macro="">
      <xdr:nvGraphicFramePr>
        <xdr:cNvPr id="65456629" name="Диаграмма 11">
          <a:extLst>
            <a:ext uri="{FF2B5EF4-FFF2-40B4-BE49-F238E27FC236}">
              <a16:creationId xmlns:a16="http://schemas.microsoft.com/office/drawing/2014/main" id="{00000000-0008-0000-0900-0000F5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476250</xdr:colOff>
      <xdr:row>50</xdr:row>
      <xdr:rowOff>47625</xdr:rowOff>
    </xdr:from>
    <xdr:to>
      <xdr:col>38</xdr:col>
      <xdr:colOff>171450</xdr:colOff>
      <xdr:row>68</xdr:row>
      <xdr:rowOff>152400</xdr:rowOff>
    </xdr:to>
    <xdr:graphicFrame macro="">
      <xdr:nvGraphicFramePr>
        <xdr:cNvPr id="65456630" name="Диаграмма 12">
          <a:extLst>
            <a:ext uri="{FF2B5EF4-FFF2-40B4-BE49-F238E27FC236}">
              <a16:creationId xmlns:a16="http://schemas.microsoft.com/office/drawing/2014/main" id="{00000000-0008-0000-0900-0000F6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73</xdr:row>
      <xdr:rowOff>28575</xdr:rowOff>
    </xdr:from>
    <xdr:to>
      <xdr:col>11</xdr:col>
      <xdr:colOff>95250</xdr:colOff>
      <xdr:row>91</xdr:row>
      <xdr:rowOff>133350</xdr:rowOff>
    </xdr:to>
    <xdr:graphicFrame macro="">
      <xdr:nvGraphicFramePr>
        <xdr:cNvPr id="65456631" name="Диаграмма 1">
          <a:extLst>
            <a:ext uri="{FF2B5EF4-FFF2-40B4-BE49-F238E27FC236}">
              <a16:creationId xmlns:a16="http://schemas.microsoft.com/office/drawing/2014/main" id="{00000000-0008-0000-0900-0000F7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9525</xdr:colOff>
      <xdr:row>72</xdr:row>
      <xdr:rowOff>123825</xdr:rowOff>
    </xdr:from>
    <xdr:to>
      <xdr:col>21</xdr:col>
      <xdr:colOff>209550</xdr:colOff>
      <xdr:row>91</xdr:row>
      <xdr:rowOff>66675</xdr:rowOff>
    </xdr:to>
    <xdr:graphicFrame macro="">
      <xdr:nvGraphicFramePr>
        <xdr:cNvPr id="65456632" name="Диаграмма 2">
          <a:extLst>
            <a:ext uri="{FF2B5EF4-FFF2-40B4-BE49-F238E27FC236}">
              <a16:creationId xmlns:a16="http://schemas.microsoft.com/office/drawing/2014/main" id="{00000000-0008-0000-0900-0000F8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600075</xdr:colOff>
      <xdr:row>72</xdr:row>
      <xdr:rowOff>152400</xdr:rowOff>
    </xdr:from>
    <xdr:to>
      <xdr:col>30</xdr:col>
      <xdr:colOff>47625</xdr:colOff>
      <xdr:row>91</xdr:row>
      <xdr:rowOff>38100</xdr:rowOff>
    </xdr:to>
    <xdr:graphicFrame macro="">
      <xdr:nvGraphicFramePr>
        <xdr:cNvPr id="65456633" name="Диаграмма 15">
          <a:extLst>
            <a:ext uri="{FF2B5EF4-FFF2-40B4-BE49-F238E27FC236}">
              <a16:creationId xmlns:a16="http://schemas.microsoft.com/office/drawing/2014/main" id="{00000000-0008-0000-0900-0000F9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561975</xdr:colOff>
      <xdr:row>73</xdr:row>
      <xdr:rowOff>38100</xdr:rowOff>
    </xdr:from>
    <xdr:to>
      <xdr:col>38</xdr:col>
      <xdr:colOff>257175</xdr:colOff>
      <xdr:row>91</xdr:row>
      <xdr:rowOff>142875</xdr:rowOff>
    </xdr:to>
    <xdr:graphicFrame macro="">
      <xdr:nvGraphicFramePr>
        <xdr:cNvPr id="65456634" name="Диаграмма 16">
          <a:extLst>
            <a:ext uri="{FF2B5EF4-FFF2-40B4-BE49-F238E27FC236}">
              <a16:creationId xmlns:a16="http://schemas.microsoft.com/office/drawing/2014/main" id="{00000000-0008-0000-0900-0000FA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38100</xdr:colOff>
      <xdr:row>95</xdr:row>
      <xdr:rowOff>0</xdr:rowOff>
    </xdr:from>
    <xdr:to>
      <xdr:col>11</xdr:col>
      <xdr:colOff>133350</xdr:colOff>
      <xdr:row>113</xdr:row>
      <xdr:rowOff>114300</xdr:rowOff>
    </xdr:to>
    <xdr:graphicFrame macro="">
      <xdr:nvGraphicFramePr>
        <xdr:cNvPr id="65456635" name="Диаграмма 1">
          <a:extLst>
            <a:ext uri="{FF2B5EF4-FFF2-40B4-BE49-F238E27FC236}">
              <a16:creationId xmlns:a16="http://schemas.microsoft.com/office/drawing/2014/main" id="{00000000-0008-0000-0900-0000FB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581025</xdr:colOff>
      <xdr:row>95</xdr:row>
      <xdr:rowOff>38100</xdr:rowOff>
    </xdr:from>
    <xdr:to>
      <xdr:col>21</xdr:col>
      <xdr:colOff>171450</xdr:colOff>
      <xdr:row>113</xdr:row>
      <xdr:rowOff>152400</xdr:rowOff>
    </xdr:to>
    <xdr:graphicFrame macro="">
      <xdr:nvGraphicFramePr>
        <xdr:cNvPr id="65456636" name="Диаграмма 2">
          <a:extLst>
            <a:ext uri="{FF2B5EF4-FFF2-40B4-BE49-F238E27FC236}">
              <a16:creationId xmlns:a16="http://schemas.microsoft.com/office/drawing/2014/main" id="{00000000-0008-0000-0900-0000FC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581025</xdr:colOff>
      <xdr:row>95</xdr:row>
      <xdr:rowOff>57150</xdr:rowOff>
    </xdr:from>
    <xdr:to>
      <xdr:col>30</xdr:col>
      <xdr:colOff>19050</xdr:colOff>
      <xdr:row>113</xdr:row>
      <xdr:rowOff>104775</xdr:rowOff>
    </xdr:to>
    <xdr:graphicFrame macro="">
      <xdr:nvGraphicFramePr>
        <xdr:cNvPr id="65456637" name="Диаграмма 19">
          <a:extLst>
            <a:ext uri="{FF2B5EF4-FFF2-40B4-BE49-F238E27FC236}">
              <a16:creationId xmlns:a16="http://schemas.microsoft.com/office/drawing/2014/main" id="{00000000-0008-0000-0900-0000FD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581025</xdr:colOff>
      <xdr:row>94</xdr:row>
      <xdr:rowOff>142875</xdr:rowOff>
    </xdr:from>
    <xdr:to>
      <xdr:col>38</xdr:col>
      <xdr:colOff>276225</xdr:colOff>
      <xdr:row>113</xdr:row>
      <xdr:rowOff>85725</xdr:rowOff>
    </xdr:to>
    <xdr:graphicFrame macro="">
      <xdr:nvGraphicFramePr>
        <xdr:cNvPr id="65456638" name="Диаграмма 21">
          <a:extLst>
            <a:ext uri="{FF2B5EF4-FFF2-40B4-BE49-F238E27FC236}">
              <a16:creationId xmlns:a16="http://schemas.microsoft.com/office/drawing/2014/main" id="{00000000-0008-0000-0900-0000FE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76200</xdr:colOff>
      <xdr:row>117</xdr:row>
      <xdr:rowOff>152400</xdr:rowOff>
    </xdr:from>
    <xdr:to>
      <xdr:col>11</xdr:col>
      <xdr:colOff>171450</xdr:colOff>
      <xdr:row>136</xdr:row>
      <xdr:rowOff>95250</xdr:rowOff>
    </xdr:to>
    <xdr:graphicFrame macro="">
      <xdr:nvGraphicFramePr>
        <xdr:cNvPr id="65456639" name="Диаграмма 1">
          <a:extLst>
            <a:ext uri="{FF2B5EF4-FFF2-40B4-BE49-F238E27FC236}">
              <a16:creationId xmlns:a16="http://schemas.microsoft.com/office/drawing/2014/main" id="{00000000-0008-0000-0900-0000FF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590550</xdr:colOff>
      <xdr:row>118</xdr:row>
      <xdr:rowOff>9525</xdr:rowOff>
    </xdr:from>
    <xdr:to>
      <xdr:col>21</xdr:col>
      <xdr:colOff>180975</xdr:colOff>
      <xdr:row>136</xdr:row>
      <xdr:rowOff>123825</xdr:rowOff>
    </xdr:to>
    <xdr:graphicFrame macro="">
      <xdr:nvGraphicFramePr>
        <xdr:cNvPr id="65456640" name="Диаграмма 2">
          <a:extLst>
            <a:ext uri="{FF2B5EF4-FFF2-40B4-BE49-F238E27FC236}">
              <a16:creationId xmlns:a16="http://schemas.microsoft.com/office/drawing/2014/main" id="{00000000-0008-0000-0900-000000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600075</xdr:colOff>
      <xdr:row>117</xdr:row>
      <xdr:rowOff>161925</xdr:rowOff>
    </xdr:from>
    <xdr:to>
      <xdr:col>30</xdr:col>
      <xdr:colOff>47625</xdr:colOff>
      <xdr:row>136</xdr:row>
      <xdr:rowOff>47625</xdr:rowOff>
    </xdr:to>
    <xdr:graphicFrame macro="">
      <xdr:nvGraphicFramePr>
        <xdr:cNvPr id="65456641" name="Диаграмма 24">
          <a:extLst>
            <a:ext uri="{FF2B5EF4-FFF2-40B4-BE49-F238E27FC236}">
              <a16:creationId xmlns:a16="http://schemas.microsoft.com/office/drawing/2014/main" id="{00000000-0008-0000-0900-000001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590550</xdr:colOff>
      <xdr:row>117</xdr:row>
      <xdr:rowOff>142875</xdr:rowOff>
    </xdr:from>
    <xdr:to>
      <xdr:col>38</xdr:col>
      <xdr:colOff>295275</xdr:colOff>
      <xdr:row>136</xdr:row>
      <xdr:rowOff>85725</xdr:rowOff>
    </xdr:to>
    <xdr:graphicFrame macro="">
      <xdr:nvGraphicFramePr>
        <xdr:cNvPr id="65456642" name="Диаграмма 25">
          <a:extLst>
            <a:ext uri="{FF2B5EF4-FFF2-40B4-BE49-F238E27FC236}">
              <a16:creationId xmlns:a16="http://schemas.microsoft.com/office/drawing/2014/main" id="{00000000-0008-0000-0900-000002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76200</xdr:colOff>
      <xdr:row>141</xdr:row>
      <xdr:rowOff>57150</xdr:rowOff>
    </xdr:from>
    <xdr:to>
      <xdr:col>11</xdr:col>
      <xdr:colOff>171450</xdr:colOff>
      <xdr:row>160</xdr:row>
      <xdr:rowOff>0</xdr:rowOff>
    </xdr:to>
    <xdr:graphicFrame macro="">
      <xdr:nvGraphicFramePr>
        <xdr:cNvPr id="65456643" name="Диаграмма 1">
          <a:extLst>
            <a:ext uri="{FF2B5EF4-FFF2-40B4-BE49-F238E27FC236}">
              <a16:creationId xmlns:a16="http://schemas.microsoft.com/office/drawing/2014/main" id="{00000000-0008-0000-0900-000003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590550</xdr:colOff>
      <xdr:row>141</xdr:row>
      <xdr:rowOff>66675</xdr:rowOff>
    </xdr:from>
    <xdr:to>
      <xdr:col>21</xdr:col>
      <xdr:colOff>180975</xdr:colOff>
      <xdr:row>160</xdr:row>
      <xdr:rowOff>9525</xdr:rowOff>
    </xdr:to>
    <xdr:graphicFrame macro="">
      <xdr:nvGraphicFramePr>
        <xdr:cNvPr id="65456644" name="Диаграмма 2">
          <a:extLst>
            <a:ext uri="{FF2B5EF4-FFF2-40B4-BE49-F238E27FC236}">
              <a16:creationId xmlns:a16="http://schemas.microsoft.com/office/drawing/2014/main" id="{00000000-0008-0000-0900-000004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600075</xdr:colOff>
      <xdr:row>141</xdr:row>
      <xdr:rowOff>123825</xdr:rowOff>
    </xdr:from>
    <xdr:to>
      <xdr:col>30</xdr:col>
      <xdr:colOff>47625</xdr:colOff>
      <xdr:row>160</xdr:row>
      <xdr:rowOff>9525</xdr:rowOff>
    </xdr:to>
    <xdr:graphicFrame macro="">
      <xdr:nvGraphicFramePr>
        <xdr:cNvPr id="65456645" name="Диаграмма 28">
          <a:extLst>
            <a:ext uri="{FF2B5EF4-FFF2-40B4-BE49-F238E27FC236}">
              <a16:creationId xmlns:a16="http://schemas.microsoft.com/office/drawing/2014/main" id="{00000000-0008-0000-0900-000005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30</xdr:col>
      <xdr:colOff>581025</xdr:colOff>
      <xdr:row>141</xdr:row>
      <xdr:rowOff>152400</xdr:rowOff>
    </xdr:from>
    <xdr:to>
      <xdr:col>38</xdr:col>
      <xdr:colOff>276225</xdr:colOff>
      <xdr:row>160</xdr:row>
      <xdr:rowOff>95250</xdr:rowOff>
    </xdr:to>
    <xdr:graphicFrame macro="">
      <xdr:nvGraphicFramePr>
        <xdr:cNvPr id="65456646" name="Диаграмма 29">
          <a:extLst>
            <a:ext uri="{FF2B5EF4-FFF2-40B4-BE49-F238E27FC236}">
              <a16:creationId xmlns:a16="http://schemas.microsoft.com/office/drawing/2014/main" id="{00000000-0008-0000-0900-000006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44;_&#1057;&#1086;&#1094;_&#1089;&#1092;&#1077;&#1088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0;&#1077;&#1084;&#1087;&#1099;%20&#1088;&#1086;&#1089;&#1090;&#1072;%20&#1089;&#1088;&#1072;&#1074;&#1085;&#1077;&#1085;&#1080;&#107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3;&#1088;&#1072;&#1092;&#1080;&#1082;&#1080;%20&#1056;&#1077;&#1090;&#1088;&#1086;-&#1052;&#1086;&#1076;&#1077;&#1083;&#110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76;&#1077;&#1083;&#1100;%20&#1044;&#1086;&#1084;&#1086;&#1093;&#1086;&#1079;&#1103;&#1081;&#1089;&#1090;&#107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ка"/>
      <sheetName val="Комментарии"/>
      <sheetName val="НачСост_НС_БД "/>
      <sheetName val="ГрСцЭкс"/>
      <sheetName val="Графики(МОИТ)"/>
      <sheetName val="МОИТ 2"/>
      <sheetName val="интерфейс"/>
      <sheetName val="Графики-2"/>
      <sheetName val="гипотезы"/>
      <sheetName val="Сценарии"/>
      <sheetName val="Графики-1"/>
      <sheetName val="индексы_цен"/>
      <sheetName val="КраевойБюджет"/>
      <sheetName val="модель внешнего мира"/>
      <sheetName val="Демография"/>
      <sheetName val="Лист1"/>
      <sheetName val="Лист2"/>
      <sheetName val="БД_Соц_сфера"/>
    </sheetNames>
    <definedNames>
      <definedName name="explzaNS" refersTo="='НачСост_НС_БД '!$E$33:$AE$39"/>
      <definedName name="KumIndPotrS" refersTo="='Сценарии'!$G$45:$AF$47"/>
      <definedName name="KumIndPPP" refersTo="='Сценарии'!$G$39:$AF$41"/>
      <definedName name="RashodKBnaNS" refersTo="='Сценарии'!$D$92:$AC$92"/>
      <definedName name="ScenTempRostTarif_1" refersTo="='Сценарии'!$D$187:$AC$189"/>
      <definedName name="ScenTempRostTarif_2" refersTo="='Сценарии'!$D$196:$AC$198"/>
      <definedName name="ScenTempRostTarif_3" refersTo="='Сценарии'!$D$205:$AC$207"/>
      <definedName name="ScenTempRostTarif_4" refersTo="='Сценарии'!$D$214:$AC$216"/>
      <definedName name="ScenTempRostTarif_5" refersTo="='Сценарии'!$D$223:$AC$225"/>
      <definedName name="ScenTempRostTarif_6" refersTo="='Сценарии'!$D$232:$AC$234"/>
      <definedName name="ScenTempRostTarif_7" refersTo="='Сценарии'!$D$241:$AC$243"/>
      <definedName name="ScenTempRostZarPl_2" refersTo="='Сценарии'!$D$125:$AC$127"/>
      <definedName name="ScenTempRostZarPl_3" refersTo="='Сценарии'!$D$135:$AC$137"/>
      <definedName name="ScenTempRostZarPl_4" refersTo="='Сценарии'!$D$145:$AC$147"/>
      <definedName name="ScenTempRostZarPl_5" refersTo="='Сценарии'!$D$154:$AC$156"/>
      <definedName name="ScenTempRostZarPl_6" refersTo="='Сценарии'!$D$163:$AC$165"/>
      <definedName name="ScenTempRostZarPl_7" refersTo="='Сценарии'!$D$172:$AC$174"/>
      <definedName name="ScenVvodGKHNaselen" refersTo="='Сценарии'!$D$110:$AC$112"/>
      <definedName name="spotrnepr" refersTo="='НачСост_НС_БД '!$C$11:$D$17"/>
    </definedNames>
    <sheetDataSet>
      <sheetData sheetId="0"/>
      <sheetData sheetId="1"/>
      <sheetData sheetId="2">
        <row r="11">
          <cell r="C11">
            <v>1</v>
          </cell>
          <cell r="D11" t="str">
            <v>жилой фонд</v>
          </cell>
        </row>
        <row r="12">
          <cell r="C12">
            <v>2</v>
          </cell>
          <cell r="D12" t="str">
            <v>дошкольные учреждения</v>
          </cell>
        </row>
        <row r="13">
          <cell r="C13">
            <v>3</v>
          </cell>
          <cell r="D13" t="str">
            <v>общее полное образование</v>
          </cell>
        </row>
        <row r="14">
          <cell r="C14">
            <v>4</v>
          </cell>
          <cell r="D14" t="str">
            <v>больницы</v>
          </cell>
        </row>
        <row r="15">
          <cell r="C15">
            <v>5</v>
          </cell>
          <cell r="D15" t="str">
            <v>поликлиники</v>
          </cell>
        </row>
        <row r="16">
          <cell r="C16">
            <v>6</v>
          </cell>
          <cell r="D16" t="str">
            <v>культура</v>
          </cell>
        </row>
        <row r="17">
          <cell r="C17">
            <v>7</v>
          </cell>
          <cell r="D17" t="str">
            <v>физическая культура</v>
          </cell>
        </row>
        <row r="21">
          <cell r="C21">
            <v>1</v>
          </cell>
          <cell r="D21" t="str">
            <v>кв.м.</v>
          </cell>
          <cell r="E21">
            <v>21169000</v>
          </cell>
        </row>
        <row r="22">
          <cell r="C22">
            <v>2</v>
          </cell>
          <cell r="D22" t="str">
            <v>мест</v>
          </cell>
          <cell r="E22">
            <v>40900</v>
          </cell>
        </row>
        <row r="23">
          <cell r="C23">
            <v>3</v>
          </cell>
          <cell r="D23" t="str">
            <v>мест</v>
          </cell>
          <cell r="E23">
            <v>198878</v>
          </cell>
        </row>
        <row r="24">
          <cell r="C24">
            <v>4</v>
          </cell>
          <cell r="D24" t="str">
            <v>мест(коек)</v>
          </cell>
          <cell r="E24">
            <v>15560</v>
          </cell>
        </row>
        <row r="25">
          <cell r="C25">
            <v>5</v>
          </cell>
          <cell r="D25" t="str">
            <v>посещений в смену</v>
          </cell>
          <cell r="E25">
            <v>25612</v>
          </cell>
        </row>
        <row r="26">
          <cell r="C26">
            <v>6</v>
          </cell>
          <cell r="D26" t="str">
            <v>кв.м.</v>
          </cell>
          <cell r="E26">
            <v>125500</v>
          </cell>
        </row>
        <row r="27">
          <cell r="C27">
            <v>7</v>
          </cell>
          <cell r="D27" t="str">
            <v xml:space="preserve">кв. м. </v>
          </cell>
          <cell r="E27">
            <v>125500</v>
          </cell>
        </row>
        <row r="33">
          <cell r="E33">
            <v>0.17599999999999999</v>
          </cell>
          <cell r="F33">
            <v>0.19</v>
          </cell>
          <cell r="G33">
            <v>0.19</v>
          </cell>
          <cell r="H33">
            <v>0.21</v>
          </cell>
          <cell r="I33">
            <v>0.2</v>
          </cell>
          <cell r="J33">
            <v>0.2</v>
          </cell>
          <cell r="K33">
            <v>0.19</v>
          </cell>
          <cell r="L33">
            <v>0.17699999999999999</v>
          </cell>
          <cell r="M33">
            <v>0.2</v>
          </cell>
          <cell r="N33">
            <v>0.2</v>
          </cell>
          <cell r="O33">
            <v>0.2</v>
          </cell>
          <cell r="P33">
            <v>0.2</v>
          </cell>
          <cell r="Q33">
            <v>0.2</v>
          </cell>
          <cell r="R33">
            <v>0.2</v>
          </cell>
          <cell r="S33">
            <v>0.2</v>
          </cell>
          <cell r="T33">
            <v>0.2</v>
          </cell>
          <cell r="U33">
            <v>0.2</v>
          </cell>
          <cell r="V33">
            <v>0.2</v>
          </cell>
          <cell r="W33">
            <v>0.2</v>
          </cell>
          <cell r="X33">
            <v>0.2</v>
          </cell>
          <cell r="Y33">
            <v>0.2</v>
          </cell>
          <cell r="Z33">
            <v>0.2</v>
          </cell>
          <cell r="AA33">
            <v>0.2</v>
          </cell>
          <cell r="AB33">
            <v>0.2</v>
          </cell>
          <cell r="AC33">
            <v>0.2</v>
          </cell>
          <cell r="AD33">
            <v>0.2</v>
          </cell>
        </row>
        <row r="34">
          <cell r="E34">
            <v>11.8</v>
          </cell>
          <cell r="F34">
            <v>10.9</v>
          </cell>
          <cell r="G34">
            <v>12.75</v>
          </cell>
          <cell r="H34">
            <v>13.5</v>
          </cell>
          <cell r="I34">
            <v>8.5</v>
          </cell>
          <cell r="J34">
            <v>10.5</v>
          </cell>
          <cell r="K34">
            <v>11</v>
          </cell>
          <cell r="L34">
            <v>10.6</v>
          </cell>
          <cell r="M34">
            <v>12</v>
          </cell>
          <cell r="N34">
            <v>12</v>
          </cell>
          <cell r="O34">
            <v>12</v>
          </cell>
          <cell r="P34">
            <v>12</v>
          </cell>
          <cell r="Q34">
            <v>12</v>
          </cell>
          <cell r="R34">
            <v>12</v>
          </cell>
          <cell r="S34">
            <v>12</v>
          </cell>
          <cell r="T34">
            <v>12</v>
          </cell>
          <cell r="U34">
            <v>12</v>
          </cell>
          <cell r="V34">
            <v>12</v>
          </cell>
          <cell r="W34">
            <v>12</v>
          </cell>
          <cell r="X34">
            <v>12</v>
          </cell>
          <cell r="Y34">
            <v>12</v>
          </cell>
          <cell r="Z34">
            <v>12</v>
          </cell>
          <cell r="AA34">
            <v>12</v>
          </cell>
          <cell r="AB34">
            <v>12</v>
          </cell>
          <cell r="AC34">
            <v>12</v>
          </cell>
          <cell r="AD34">
            <v>12</v>
          </cell>
        </row>
        <row r="35">
          <cell r="E35">
            <v>10.8</v>
          </cell>
          <cell r="F35">
            <v>11.7</v>
          </cell>
          <cell r="G35">
            <v>7.8</v>
          </cell>
          <cell r="H35">
            <v>9</v>
          </cell>
          <cell r="I35">
            <v>11</v>
          </cell>
          <cell r="J35">
            <v>9</v>
          </cell>
          <cell r="K35">
            <v>36</v>
          </cell>
          <cell r="L35">
            <v>35</v>
          </cell>
          <cell r="M35">
            <v>31</v>
          </cell>
          <cell r="N35">
            <v>31</v>
          </cell>
          <cell r="O35">
            <v>31</v>
          </cell>
          <cell r="P35">
            <v>31</v>
          </cell>
          <cell r="Q35">
            <v>31</v>
          </cell>
          <cell r="R35">
            <v>31</v>
          </cell>
          <cell r="S35">
            <v>31</v>
          </cell>
          <cell r="T35">
            <v>31</v>
          </cell>
          <cell r="U35">
            <v>31</v>
          </cell>
          <cell r="V35">
            <v>31</v>
          </cell>
          <cell r="W35">
            <v>31</v>
          </cell>
          <cell r="X35">
            <v>31</v>
          </cell>
          <cell r="Y35">
            <v>31</v>
          </cell>
          <cell r="Z35">
            <v>31</v>
          </cell>
          <cell r="AA35">
            <v>31</v>
          </cell>
          <cell r="AB35">
            <v>31</v>
          </cell>
          <cell r="AC35">
            <v>31</v>
          </cell>
          <cell r="AD35">
            <v>31</v>
          </cell>
        </row>
        <row r="36">
          <cell r="E36">
            <v>215</v>
          </cell>
          <cell r="F36">
            <v>225</v>
          </cell>
          <cell r="G36">
            <v>150</v>
          </cell>
          <cell r="H36">
            <v>77</v>
          </cell>
          <cell r="I36">
            <v>86</v>
          </cell>
          <cell r="J36">
            <v>90</v>
          </cell>
          <cell r="K36">
            <v>66</v>
          </cell>
          <cell r="L36">
            <v>61</v>
          </cell>
          <cell r="M36">
            <v>60</v>
          </cell>
          <cell r="N36">
            <v>60</v>
          </cell>
          <cell r="O36">
            <v>60</v>
          </cell>
          <cell r="P36">
            <v>60</v>
          </cell>
          <cell r="Q36">
            <v>60</v>
          </cell>
          <cell r="R36">
            <v>60</v>
          </cell>
          <cell r="S36">
            <v>60</v>
          </cell>
          <cell r="T36">
            <v>60</v>
          </cell>
          <cell r="U36">
            <v>60</v>
          </cell>
          <cell r="V36">
            <v>60</v>
          </cell>
          <cell r="W36">
            <v>60</v>
          </cell>
          <cell r="X36">
            <v>60</v>
          </cell>
          <cell r="Y36">
            <v>60</v>
          </cell>
          <cell r="Z36">
            <v>60</v>
          </cell>
          <cell r="AA36">
            <v>60</v>
          </cell>
          <cell r="AB36">
            <v>60</v>
          </cell>
          <cell r="AC36">
            <v>60</v>
          </cell>
          <cell r="AD36">
            <v>60</v>
          </cell>
        </row>
        <row r="37">
          <cell r="E37">
            <v>16</v>
          </cell>
          <cell r="F37">
            <v>14</v>
          </cell>
          <cell r="G37">
            <v>21</v>
          </cell>
          <cell r="H37">
            <v>21</v>
          </cell>
          <cell r="I37">
            <v>21.5</v>
          </cell>
          <cell r="J37">
            <v>19</v>
          </cell>
          <cell r="K37">
            <v>19</v>
          </cell>
          <cell r="L37">
            <v>18.5</v>
          </cell>
          <cell r="M37">
            <v>19</v>
          </cell>
          <cell r="N37">
            <v>19</v>
          </cell>
          <cell r="O37">
            <v>19</v>
          </cell>
          <cell r="P37">
            <v>19</v>
          </cell>
          <cell r="Q37">
            <v>19</v>
          </cell>
          <cell r="R37">
            <v>19</v>
          </cell>
          <cell r="S37">
            <v>19</v>
          </cell>
          <cell r="T37">
            <v>19</v>
          </cell>
          <cell r="U37">
            <v>19</v>
          </cell>
          <cell r="V37">
            <v>19</v>
          </cell>
          <cell r="W37">
            <v>19</v>
          </cell>
          <cell r="X37">
            <v>19</v>
          </cell>
          <cell r="Y37">
            <v>19</v>
          </cell>
          <cell r="Z37">
            <v>19</v>
          </cell>
          <cell r="AA37">
            <v>19</v>
          </cell>
          <cell r="AB37">
            <v>19</v>
          </cell>
          <cell r="AC37">
            <v>19</v>
          </cell>
          <cell r="AD37">
            <v>19</v>
          </cell>
        </row>
        <row r="38">
          <cell r="E38">
            <v>2.2999999999999998</v>
          </cell>
          <cell r="F38">
            <v>2.35</v>
          </cell>
          <cell r="G38">
            <v>1.1499999999999999</v>
          </cell>
          <cell r="H38">
            <v>1.6</v>
          </cell>
          <cell r="I38">
            <v>2.2000000000000002</v>
          </cell>
          <cell r="J38">
            <v>2.2999999999999998</v>
          </cell>
          <cell r="K38">
            <v>5</v>
          </cell>
          <cell r="L38">
            <v>5</v>
          </cell>
          <cell r="M38">
            <v>5</v>
          </cell>
          <cell r="N38">
            <v>5</v>
          </cell>
          <cell r="O38">
            <v>5</v>
          </cell>
          <cell r="P38">
            <v>5</v>
          </cell>
          <cell r="Q38">
            <v>5</v>
          </cell>
          <cell r="R38">
            <v>5</v>
          </cell>
          <cell r="S38">
            <v>5</v>
          </cell>
          <cell r="T38">
            <v>5</v>
          </cell>
          <cell r="U38">
            <v>5</v>
          </cell>
          <cell r="V38">
            <v>5</v>
          </cell>
          <cell r="W38">
            <v>5</v>
          </cell>
          <cell r="X38">
            <v>5</v>
          </cell>
          <cell r="Y38">
            <v>5</v>
          </cell>
          <cell r="Z38">
            <v>5</v>
          </cell>
          <cell r="AA38">
            <v>5</v>
          </cell>
          <cell r="AB38">
            <v>5</v>
          </cell>
          <cell r="AC38">
            <v>5</v>
          </cell>
          <cell r="AD38">
            <v>5</v>
          </cell>
        </row>
        <row r="39">
          <cell r="E39">
            <v>1.7</v>
          </cell>
          <cell r="F39">
            <v>1.6</v>
          </cell>
          <cell r="G39">
            <v>1.3</v>
          </cell>
          <cell r="H39">
            <v>0.92</v>
          </cell>
          <cell r="I39">
            <v>0.7</v>
          </cell>
          <cell r="J39">
            <v>0.7</v>
          </cell>
          <cell r="K39">
            <v>0.9</v>
          </cell>
          <cell r="L39">
            <v>0.94</v>
          </cell>
          <cell r="M39">
            <v>1.2</v>
          </cell>
          <cell r="N39">
            <v>1.2</v>
          </cell>
          <cell r="O39">
            <v>1.2</v>
          </cell>
          <cell r="P39">
            <v>1.2</v>
          </cell>
          <cell r="Q39">
            <v>1.2</v>
          </cell>
          <cell r="R39">
            <v>1.2</v>
          </cell>
          <cell r="S39">
            <v>1.2</v>
          </cell>
          <cell r="T39">
            <v>1.2</v>
          </cell>
          <cell r="U39">
            <v>1.2</v>
          </cell>
          <cell r="V39">
            <v>1.2</v>
          </cell>
          <cell r="W39">
            <v>1.2</v>
          </cell>
          <cell r="X39">
            <v>1.2</v>
          </cell>
          <cell r="Y39">
            <v>1.2</v>
          </cell>
          <cell r="Z39">
            <v>1.2</v>
          </cell>
          <cell r="AA39">
            <v>1.2</v>
          </cell>
          <cell r="AB39">
            <v>1.2</v>
          </cell>
          <cell r="AC39">
            <v>1.2</v>
          </cell>
          <cell r="AD39">
            <v>1.2</v>
          </cell>
        </row>
        <row r="43">
          <cell r="E43">
            <v>7.369266380084085E-3</v>
          </cell>
          <cell r="F43">
            <v>7.369266380084085E-3</v>
          </cell>
          <cell r="G43">
            <v>7.369266380084085E-3</v>
          </cell>
          <cell r="H43">
            <v>7.369266380084085E-3</v>
          </cell>
          <cell r="I43">
            <v>7.369266380084085E-3</v>
          </cell>
          <cell r="J43">
            <v>7.369266380084085E-3</v>
          </cell>
          <cell r="K43">
            <v>7.369266380084085E-3</v>
          </cell>
          <cell r="L43">
            <v>7.369266380084085E-3</v>
          </cell>
          <cell r="M43">
            <v>7.369266380084085E-3</v>
          </cell>
          <cell r="N43">
            <v>7.369266380084085E-3</v>
          </cell>
          <cell r="O43">
            <v>7.369266380084085E-3</v>
          </cell>
          <cell r="P43">
            <v>7.369266380084085E-3</v>
          </cell>
          <cell r="Q43">
            <v>7.369266380084085E-3</v>
          </cell>
          <cell r="R43">
            <v>7.369266380084085E-3</v>
          </cell>
          <cell r="S43">
            <v>7.369266380084085E-3</v>
          </cell>
          <cell r="T43">
            <v>7.369266380084085E-3</v>
          </cell>
          <cell r="U43">
            <v>7.369266380084085E-3</v>
          </cell>
          <cell r="V43">
            <v>7.369266380084085E-3</v>
          </cell>
          <cell r="W43">
            <v>7.369266380084085E-3</v>
          </cell>
          <cell r="X43">
            <v>7.369266380084085E-3</v>
          </cell>
          <cell r="Y43">
            <v>7.369266380084085E-3</v>
          </cell>
          <cell r="Z43">
            <v>7.369266380084085E-3</v>
          </cell>
          <cell r="AA43">
            <v>7.369266380084085E-3</v>
          </cell>
          <cell r="AB43">
            <v>7.369266380084085E-3</v>
          </cell>
          <cell r="AC43">
            <v>7.369266380084085E-3</v>
          </cell>
          <cell r="AD43">
            <v>7.369266380084085E-3</v>
          </cell>
        </row>
        <row r="44">
          <cell r="E44">
            <v>0.14176039119804401</v>
          </cell>
          <cell r="F44">
            <v>0.14176039119804401</v>
          </cell>
          <cell r="G44">
            <v>0.14176039119804401</v>
          </cell>
          <cell r="H44">
            <v>0.14176039119804401</v>
          </cell>
          <cell r="I44">
            <v>0.14176039119804401</v>
          </cell>
          <cell r="J44">
            <v>0.14176039119804401</v>
          </cell>
          <cell r="K44">
            <v>0.14176039119804401</v>
          </cell>
          <cell r="L44">
            <v>0.14176039119804401</v>
          </cell>
          <cell r="M44">
            <v>0.14199999999999999</v>
          </cell>
          <cell r="N44">
            <v>0.14199999999999999</v>
          </cell>
          <cell r="O44">
            <v>0.14199999999999999</v>
          </cell>
          <cell r="P44">
            <v>0.14199999999999999</v>
          </cell>
          <cell r="Q44">
            <v>0.14199999999999999</v>
          </cell>
          <cell r="R44">
            <v>0.14199999999999999</v>
          </cell>
          <cell r="S44">
            <v>0.14199999999999999</v>
          </cell>
          <cell r="T44">
            <v>0.14199999999999999</v>
          </cell>
          <cell r="U44">
            <v>0.14199999999999999</v>
          </cell>
          <cell r="V44">
            <v>0.14199999999999999</v>
          </cell>
          <cell r="W44">
            <v>0.14199999999999999</v>
          </cell>
          <cell r="X44">
            <v>0.14199999999999999</v>
          </cell>
          <cell r="Y44">
            <v>0.14199999999999999</v>
          </cell>
          <cell r="Z44">
            <v>0.14199999999999999</v>
          </cell>
          <cell r="AA44">
            <v>0.14199999999999999</v>
          </cell>
          <cell r="AB44">
            <v>0.14199999999999999</v>
          </cell>
          <cell r="AC44">
            <v>0.14199999999999999</v>
          </cell>
          <cell r="AD44">
            <v>0.14199999999999999</v>
          </cell>
        </row>
        <row r="45">
          <cell r="E45">
            <v>0.14950874405414374</v>
          </cell>
          <cell r="F45">
            <v>0.14950874405414374</v>
          </cell>
          <cell r="G45">
            <v>0.14950874405414374</v>
          </cell>
          <cell r="H45">
            <v>0.14950874405414374</v>
          </cell>
          <cell r="I45">
            <v>0.14950874405414374</v>
          </cell>
          <cell r="J45">
            <v>0.14950874405414374</v>
          </cell>
          <cell r="K45">
            <v>0.14950874405414374</v>
          </cell>
          <cell r="L45">
            <v>0.14950874405414374</v>
          </cell>
          <cell r="M45">
            <v>0.14950874405414374</v>
          </cell>
          <cell r="N45">
            <v>0.14950874405414374</v>
          </cell>
          <cell r="O45">
            <v>0.14950874405414374</v>
          </cell>
          <cell r="P45">
            <v>0.14950874405414374</v>
          </cell>
          <cell r="Q45">
            <v>0.14950874405414374</v>
          </cell>
          <cell r="R45">
            <v>0.14950874405414374</v>
          </cell>
          <cell r="S45">
            <v>0.14950874405414374</v>
          </cell>
          <cell r="T45">
            <v>0.14950874405414374</v>
          </cell>
          <cell r="U45">
            <v>0.14950874405414374</v>
          </cell>
          <cell r="V45">
            <v>0.14950874405414374</v>
          </cell>
          <cell r="W45">
            <v>0.14950874405414374</v>
          </cell>
          <cell r="X45">
            <v>0.14950874405414374</v>
          </cell>
          <cell r="Y45">
            <v>0.14950874405414374</v>
          </cell>
          <cell r="Z45">
            <v>0.14950874405414374</v>
          </cell>
          <cell r="AA45">
            <v>0.14950874405414374</v>
          </cell>
          <cell r="AB45">
            <v>0.14950874405414374</v>
          </cell>
          <cell r="AC45">
            <v>0.14950874405414374</v>
          </cell>
          <cell r="AD45">
            <v>0.14950874405414374</v>
          </cell>
        </row>
        <row r="46">
          <cell r="E46">
            <v>1.0652313624678664</v>
          </cell>
          <cell r="F46">
            <v>1.0652313624678664</v>
          </cell>
          <cell r="G46">
            <v>1.0652313624678664</v>
          </cell>
          <cell r="H46">
            <v>1.0652313624678664</v>
          </cell>
          <cell r="I46">
            <v>1.0652313624678664</v>
          </cell>
          <cell r="J46">
            <v>1.0652313624678664</v>
          </cell>
          <cell r="K46">
            <v>1.0652313624678664</v>
          </cell>
          <cell r="L46">
            <v>1.0652313624678664</v>
          </cell>
          <cell r="M46">
            <v>1.0652313624678664</v>
          </cell>
          <cell r="N46">
            <v>1.0652313624678664</v>
          </cell>
          <cell r="O46">
            <v>1.0652313624678664</v>
          </cell>
          <cell r="P46">
            <v>1.0652313624678664</v>
          </cell>
          <cell r="Q46">
            <v>1.0652313624678664</v>
          </cell>
          <cell r="R46">
            <v>1.0652313624678664</v>
          </cell>
          <cell r="S46">
            <v>1.0652313624678664</v>
          </cell>
          <cell r="T46">
            <v>1.0652313624678664</v>
          </cell>
          <cell r="U46">
            <v>1.0652313624678664</v>
          </cell>
          <cell r="V46">
            <v>1.0652313624678664</v>
          </cell>
          <cell r="W46">
            <v>1.0652313624678664</v>
          </cell>
          <cell r="X46">
            <v>1.0652313624678664</v>
          </cell>
          <cell r="Y46">
            <v>1.0652313624678664</v>
          </cell>
          <cell r="Z46">
            <v>1.0652313624678664</v>
          </cell>
          <cell r="AA46">
            <v>1.0652313624678664</v>
          </cell>
          <cell r="AB46">
            <v>1.0652313624678664</v>
          </cell>
          <cell r="AC46">
            <v>1.0652313624678664</v>
          </cell>
          <cell r="AD46">
            <v>1.0652313624678664</v>
          </cell>
        </row>
        <row r="47">
          <cell r="E47">
            <v>0.11420427924410433</v>
          </cell>
          <cell r="F47">
            <v>0.11420427924410433</v>
          </cell>
          <cell r="G47">
            <v>0.11420427924410433</v>
          </cell>
          <cell r="H47">
            <v>0.11420427924410433</v>
          </cell>
          <cell r="I47">
            <v>0.11420427924410433</v>
          </cell>
          <cell r="J47">
            <v>0.11420427924410433</v>
          </cell>
          <cell r="K47">
            <v>0.11420427924410433</v>
          </cell>
          <cell r="L47">
            <v>0.11420427924410433</v>
          </cell>
          <cell r="M47">
            <v>0.11420427924410433</v>
          </cell>
          <cell r="N47">
            <v>0.11420427924410433</v>
          </cell>
          <cell r="O47">
            <v>0.11420427924410433</v>
          </cell>
          <cell r="P47">
            <v>0.11420427924410433</v>
          </cell>
          <cell r="Q47">
            <v>0.11420427924410433</v>
          </cell>
          <cell r="R47">
            <v>0.11420427924410433</v>
          </cell>
          <cell r="S47">
            <v>0.11420427924410433</v>
          </cell>
          <cell r="T47">
            <v>0.11420427924410433</v>
          </cell>
          <cell r="U47">
            <v>0.11420427924410433</v>
          </cell>
          <cell r="V47">
            <v>0.11420427924410433</v>
          </cell>
          <cell r="W47">
            <v>0.11420427924410433</v>
          </cell>
          <cell r="X47">
            <v>0.11420427924410433</v>
          </cell>
          <cell r="Y47">
            <v>0.11420427924410433</v>
          </cell>
          <cell r="Z47">
            <v>0.11420427924410433</v>
          </cell>
          <cell r="AA47">
            <v>0.11420427924410433</v>
          </cell>
          <cell r="AB47">
            <v>0.11420427924410433</v>
          </cell>
          <cell r="AC47">
            <v>0.11420427924410433</v>
          </cell>
          <cell r="AD47">
            <v>0.11420427924410433</v>
          </cell>
        </row>
        <row r="48">
          <cell r="E48">
            <v>2.4143426294820716E-2</v>
          </cell>
          <cell r="F48">
            <v>2.4143426294820716E-2</v>
          </cell>
          <cell r="G48">
            <v>2.4143426294820716E-2</v>
          </cell>
          <cell r="H48">
            <v>2.4143426294820716E-2</v>
          </cell>
          <cell r="I48">
            <v>2.4143426294820716E-2</v>
          </cell>
          <cell r="J48">
            <v>2.4143426294820716E-2</v>
          </cell>
          <cell r="K48">
            <v>2.4143426294820716E-2</v>
          </cell>
          <cell r="L48">
            <v>2.4143426294820716E-2</v>
          </cell>
          <cell r="M48">
            <v>2.4143426294820716E-2</v>
          </cell>
          <cell r="N48">
            <v>2.4143426294820716E-2</v>
          </cell>
          <cell r="O48">
            <v>2.4143426294820716E-2</v>
          </cell>
          <cell r="P48">
            <v>2.4143426294820716E-2</v>
          </cell>
          <cell r="Q48">
            <v>2.4143426294820716E-2</v>
          </cell>
          <cell r="R48">
            <v>2.4143426294820716E-2</v>
          </cell>
          <cell r="S48">
            <v>2.4143426294820716E-2</v>
          </cell>
          <cell r="T48">
            <v>2.4143426294820716E-2</v>
          </cell>
          <cell r="U48">
            <v>2.4143426294820716E-2</v>
          </cell>
          <cell r="V48">
            <v>2.4143426294820716E-2</v>
          </cell>
          <cell r="W48">
            <v>2.4143426294820716E-2</v>
          </cell>
          <cell r="X48">
            <v>2.4143426294820716E-2</v>
          </cell>
          <cell r="Y48">
            <v>2.4143426294820716E-2</v>
          </cell>
          <cell r="Z48">
            <v>2.4143426294820716E-2</v>
          </cell>
          <cell r="AA48">
            <v>2.4143426294820716E-2</v>
          </cell>
          <cell r="AB48">
            <v>2.4143426294820716E-2</v>
          </cell>
          <cell r="AC48">
            <v>2.4143426294820716E-2</v>
          </cell>
          <cell r="AD48">
            <v>2.4143426294820716E-2</v>
          </cell>
        </row>
        <row r="49">
          <cell r="E49">
            <v>2.0613545816733067E-2</v>
          </cell>
          <cell r="F49">
            <v>2.0613545816733067E-2</v>
          </cell>
          <cell r="G49">
            <v>2.0613545816733067E-2</v>
          </cell>
          <cell r="H49">
            <v>2.0613545816733067E-2</v>
          </cell>
          <cell r="I49">
            <v>2.0613545816733067E-2</v>
          </cell>
          <cell r="J49">
            <v>2.0613545816733067E-2</v>
          </cell>
          <cell r="K49">
            <v>2.0613545816733067E-2</v>
          </cell>
          <cell r="L49">
            <v>2.0613545816733067E-2</v>
          </cell>
          <cell r="M49">
            <v>2.0613545816733067E-2</v>
          </cell>
          <cell r="N49">
            <v>2.0613545816733067E-2</v>
          </cell>
          <cell r="O49">
            <v>2.0613545816733067E-2</v>
          </cell>
          <cell r="P49">
            <v>2.0613545816733067E-2</v>
          </cell>
          <cell r="Q49">
            <v>2.0613545816733067E-2</v>
          </cell>
          <cell r="R49">
            <v>2.0613545816733067E-2</v>
          </cell>
          <cell r="S49">
            <v>2.0613545816733067E-2</v>
          </cell>
          <cell r="T49">
            <v>2.0613545816733067E-2</v>
          </cell>
          <cell r="U49">
            <v>2.0613545816733067E-2</v>
          </cell>
          <cell r="V49">
            <v>2.0613545816733067E-2</v>
          </cell>
          <cell r="W49">
            <v>2.0613545816733067E-2</v>
          </cell>
          <cell r="X49">
            <v>2.0613545816733067E-2</v>
          </cell>
          <cell r="Y49">
            <v>2.0613545816733067E-2</v>
          </cell>
          <cell r="Z49">
            <v>2.0613545816733067E-2</v>
          </cell>
          <cell r="AA49">
            <v>2.0613545816733067E-2</v>
          </cell>
          <cell r="AB49">
            <v>2.0613545816733067E-2</v>
          </cell>
          <cell r="AC49">
            <v>2.0613545816733067E-2</v>
          </cell>
          <cell r="AD49">
            <v>2.0613545816733067E-2</v>
          </cell>
        </row>
        <row r="53">
          <cell r="C53">
            <v>1</v>
          </cell>
          <cell r="D53">
            <v>92.867399999999989</v>
          </cell>
        </row>
        <row r="54">
          <cell r="C54">
            <v>2</v>
          </cell>
          <cell r="D54">
            <v>51.9</v>
          </cell>
        </row>
        <row r="55">
          <cell r="C55">
            <v>3</v>
          </cell>
          <cell r="D55">
            <v>93.600000000000009</v>
          </cell>
        </row>
        <row r="56">
          <cell r="C56">
            <v>4</v>
          </cell>
          <cell r="D56">
            <v>70.606799999999993</v>
          </cell>
        </row>
        <row r="57">
          <cell r="C57">
            <v>5</v>
          </cell>
          <cell r="D57">
            <v>70.606799999999993</v>
          </cell>
        </row>
        <row r="58">
          <cell r="C58">
            <v>6</v>
          </cell>
          <cell r="D58">
            <v>70.815600000000003</v>
          </cell>
        </row>
        <row r="59">
          <cell r="C59">
            <v>7</v>
          </cell>
          <cell r="D59">
            <v>60.559200000000004</v>
          </cell>
        </row>
        <row r="63">
          <cell r="C63">
            <v>1</v>
          </cell>
          <cell r="D63">
            <v>0.12822995890216829</v>
          </cell>
        </row>
        <row r="64">
          <cell r="C64">
            <v>2</v>
          </cell>
          <cell r="D64">
            <v>4.8410757946210268</v>
          </cell>
        </row>
        <row r="65">
          <cell r="C65">
            <v>3</v>
          </cell>
          <cell r="D65">
            <v>2.9968121159705952</v>
          </cell>
        </row>
        <row r="66">
          <cell r="C66">
            <v>4</v>
          </cell>
          <cell r="D66">
            <v>6.5571979434447307</v>
          </cell>
        </row>
        <row r="67">
          <cell r="C67">
            <v>5</v>
          </cell>
          <cell r="D67">
            <v>9.2952522255192864</v>
          </cell>
        </row>
        <row r="68">
          <cell r="C68">
            <v>6</v>
          </cell>
          <cell r="D68">
            <v>0.57211155378486056</v>
          </cell>
        </row>
        <row r="69">
          <cell r="C69">
            <v>7</v>
          </cell>
          <cell r="D69">
            <v>0.11792828685258963</v>
          </cell>
        </row>
        <row r="76">
          <cell r="D76">
            <v>20</v>
          </cell>
          <cell r="E76">
            <v>20</v>
          </cell>
          <cell r="F76">
            <v>32</v>
          </cell>
          <cell r="G76">
            <v>31.5</v>
          </cell>
          <cell r="H76">
            <v>31.5</v>
          </cell>
          <cell r="I76">
            <v>30</v>
          </cell>
          <cell r="J76">
            <v>30</v>
          </cell>
          <cell r="K76">
            <v>30</v>
          </cell>
          <cell r="L76">
            <v>32</v>
          </cell>
          <cell r="M76">
            <v>32</v>
          </cell>
          <cell r="N76">
            <v>32</v>
          </cell>
          <cell r="O76">
            <v>32</v>
          </cell>
          <cell r="P76">
            <v>32</v>
          </cell>
          <cell r="Q76">
            <v>32</v>
          </cell>
          <cell r="R76">
            <v>32</v>
          </cell>
          <cell r="S76">
            <v>32</v>
          </cell>
          <cell r="T76">
            <v>32</v>
          </cell>
          <cell r="U76">
            <v>32</v>
          </cell>
          <cell r="V76">
            <v>32</v>
          </cell>
          <cell r="W76">
            <v>32</v>
          </cell>
          <cell r="X76">
            <v>32</v>
          </cell>
          <cell r="Y76">
            <v>32</v>
          </cell>
          <cell r="Z76">
            <v>32</v>
          </cell>
          <cell r="AA76">
            <v>32</v>
          </cell>
          <cell r="AB76">
            <v>32</v>
          </cell>
          <cell r="AC76">
            <v>32</v>
          </cell>
        </row>
        <row r="77">
          <cell r="D77">
            <v>200</v>
          </cell>
          <cell r="E77">
            <v>200</v>
          </cell>
          <cell r="F77">
            <v>250</v>
          </cell>
          <cell r="G77">
            <v>250</v>
          </cell>
          <cell r="H77">
            <v>220</v>
          </cell>
          <cell r="I77">
            <v>200</v>
          </cell>
          <cell r="J77">
            <v>200</v>
          </cell>
          <cell r="K77">
            <v>200</v>
          </cell>
          <cell r="L77">
            <v>250</v>
          </cell>
          <cell r="M77">
            <v>250</v>
          </cell>
          <cell r="N77">
            <v>250</v>
          </cell>
          <cell r="O77">
            <v>250</v>
          </cell>
          <cell r="P77">
            <v>250</v>
          </cell>
          <cell r="Q77">
            <v>250</v>
          </cell>
          <cell r="R77">
            <v>250</v>
          </cell>
          <cell r="S77">
            <v>250</v>
          </cell>
          <cell r="T77">
            <v>250</v>
          </cell>
          <cell r="U77">
            <v>250</v>
          </cell>
          <cell r="V77">
            <v>250</v>
          </cell>
          <cell r="W77">
            <v>250</v>
          </cell>
          <cell r="X77">
            <v>250</v>
          </cell>
          <cell r="Y77">
            <v>250</v>
          </cell>
          <cell r="Z77">
            <v>250</v>
          </cell>
          <cell r="AA77">
            <v>250</v>
          </cell>
          <cell r="AB77">
            <v>250</v>
          </cell>
          <cell r="AC77">
            <v>250</v>
          </cell>
        </row>
        <row r="78">
          <cell r="D78">
            <v>100</v>
          </cell>
          <cell r="E78">
            <v>150</v>
          </cell>
          <cell r="F78">
            <v>200</v>
          </cell>
          <cell r="G78">
            <v>160</v>
          </cell>
          <cell r="H78">
            <v>150</v>
          </cell>
          <cell r="I78">
            <v>120</v>
          </cell>
          <cell r="J78">
            <v>100</v>
          </cell>
          <cell r="K78">
            <v>50</v>
          </cell>
          <cell r="L78">
            <v>110</v>
          </cell>
          <cell r="M78">
            <v>110</v>
          </cell>
          <cell r="N78">
            <v>110</v>
          </cell>
          <cell r="O78">
            <v>110</v>
          </cell>
          <cell r="P78">
            <v>110</v>
          </cell>
          <cell r="Q78">
            <v>110</v>
          </cell>
          <cell r="R78">
            <v>110</v>
          </cell>
          <cell r="S78">
            <v>110</v>
          </cell>
          <cell r="T78">
            <v>110</v>
          </cell>
          <cell r="U78">
            <v>110</v>
          </cell>
          <cell r="V78">
            <v>110</v>
          </cell>
          <cell r="W78">
            <v>110</v>
          </cell>
          <cell r="X78">
            <v>110</v>
          </cell>
          <cell r="Y78">
            <v>110</v>
          </cell>
          <cell r="Z78">
            <v>110</v>
          </cell>
          <cell r="AA78">
            <v>110</v>
          </cell>
          <cell r="AB78">
            <v>110</v>
          </cell>
          <cell r="AC78">
            <v>110</v>
          </cell>
        </row>
        <row r="79">
          <cell r="D79">
            <v>400</v>
          </cell>
          <cell r="E79">
            <v>400</v>
          </cell>
          <cell r="F79">
            <v>500</v>
          </cell>
          <cell r="G79">
            <v>500</v>
          </cell>
          <cell r="H79">
            <v>500</v>
          </cell>
          <cell r="I79">
            <v>400</v>
          </cell>
          <cell r="J79">
            <v>400</v>
          </cell>
          <cell r="K79">
            <v>400</v>
          </cell>
          <cell r="L79">
            <v>450</v>
          </cell>
          <cell r="M79">
            <v>450</v>
          </cell>
          <cell r="N79">
            <v>450</v>
          </cell>
          <cell r="O79">
            <v>450</v>
          </cell>
          <cell r="P79">
            <v>450</v>
          </cell>
          <cell r="Q79">
            <v>450</v>
          </cell>
          <cell r="R79">
            <v>450</v>
          </cell>
          <cell r="S79">
            <v>450</v>
          </cell>
          <cell r="T79">
            <v>450</v>
          </cell>
          <cell r="U79">
            <v>450</v>
          </cell>
          <cell r="V79">
            <v>450</v>
          </cell>
          <cell r="W79">
            <v>450</v>
          </cell>
          <cell r="X79">
            <v>450</v>
          </cell>
          <cell r="Y79">
            <v>450</v>
          </cell>
          <cell r="Z79">
            <v>450</v>
          </cell>
          <cell r="AA79">
            <v>450</v>
          </cell>
          <cell r="AB79">
            <v>450</v>
          </cell>
          <cell r="AC79">
            <v>450</v>
          </cell>
        </row>
        <row r="80">
          <cell r="D80">
            <v>100</v>
          </cell>
          <cell r="E80">
            <v>100</v>
          </cell>
          <cell r="F80">
            <v>150</v>
          </cell>
          <cell r="G80">
            <v>150</v>
          </cell>
          <cell r="H80">
            <v>150</v>
          </cell>
          <cell r="I80">
            <v>150</v>
          </cell>
          <cell r="J80">
            <v>150</v>
          </cell>
          <cell r="K80">
            <v>100</v>
          </cell>
          <cell r="L80">
            <v>150</v>
          </cell>
          <cell r="M80">
            <v>150</v>
          </cell>
          <cell r="N80">
            <v>150</v>
          </cell>
          <cell r="O80">
            <v>150</v>
          </cell>
          <cell r="P80">
            <v>150</v>
          </cell>
          <cell r="Q80">
            <v>150</v>
          </cell>
          <cell r="R80">
            <v>150</v>
          </cell>
          <cell r="S80">
            <v>150</v>
          </cell>
          <cell r="T80">
            <v>150</v>
          </cell>
          <cell r="U80">
            <v>150</v>
          </cell>
          <cell r="V80">
            <v>150</v>
          </cell>
          <cell r="W80">
            <v>150</v>
          </cell>
          <cell r="X80">
            <v>150</v>
          </cell>
          <cell r="Y80">
            <v>150</v>
          </cell>
          <cell r="Z80">
            <v>150</v>
          </cell>
          <cell r="AA80">
            <v>150</v>
          </cell>
          <cell r="AB80">
            <v>150</v>
          </cell>
          <cell r="AC80">
            <v>150</v>
          </cell>
        </row>
        <row r="81">
          <cell r="D81">
            <v>80</v>
          </cell>
          <cell r="E81">
            <v>80</v>
          </cell>
          <cell r="F81">
            <v>100</v>
          </cell>
          <cell r="G81">
            <v>100</v>
          </cell>
          <cell r="H81">
            <v>100</v>
          </cell>
          <cell r="I81">
            <v>100</v>
          </cell>
          <cell r="J81">
            <v>100</v>
          </cell>
          <cell r="K81">
            <v>80</v>
          </cell>
          <cell r="L81">
            <v>100</v>
          </cell>
          <cell r="M81">
            <v>100</v>
          </cell>
          <cell r="N81">
            <v>100</v>
          </cell>
          <cell r="O81">
            <v>100</v>
          </cell>
          <cell r="P81">
            <v>100</v>
          </cell>
          <cell r="Q81">
            <v>100</v>
          </cell>
          <cell r="R81">
            <v>100</v>
          </cell>
          <cell r="S81">
            <v>100</v>
          </cell>
          <cell r="T81">
            <v>100</v>
          </cell>
          <cell r="U81">
            <v>100</v>
          </cell>
          <cell r="V81">
            <v>100</v>
          </cell>
          <cell r="W81">
            <v>100</v>
          </cell>
          <cell r="X81">
            <v>100</v>
          </cell>
          <cell r="Y81">
            <v>100</v>
          </cell>
          <cell r="Z81">
            <v>100</v>
          </cell>
          <cell r="AA81">
            <v>100</v>
          </cell>
          <cell r="AB81">
            <v>100</v>
          </cell>
          <cell r="AC81">
            <v>100</v>
          </cell>
        </row>
        <row r="82">
          <cell r="D82">
            <v>80</v>
          </cell>
          <cell r="E82">
            <v>80</v>
          </cell>
          <cell r="F82">
            <v>100</v>
          </cell>
          <cell r="G82">
            <v>100</v>
          </cell>
          <cell r="H82">
            <v>100</v>
          </cell>
          <cell r="I82">
            <v>100</v>
          </cell>
          <cell r="J82">
            <v>100</v>
          </cell>
          <cell r="K82">
            <v>80</v>
          </cell>
          <cell r="L82">
            <v>100</v>
          </cell>
          <cell r="M82">
            <v>100</v>
          </cell>
          <cell r="N82">
            <v>100</v>
          </cell>
          <cell r="O82">
            <v>100</v>
          </cell>
          <cell r="P82">
            <v>100</v>
          </cell>
          <cell r="Q82">
            <v>100</v>
          </cell>
          <cell r="R82">
            <v>100</v>
          </cell>
          <cell r="S82">
            <v>100</v>
          </cell>
          <cell r="T82">
            <v>100</v>
          </cell>
          <cell r="U82">
            <v>100</v>
          </cell>
          <cell r="V82">
            <v>100</v>
          </cell>
          <cell r="W82">
            <v>100</v>
          </cell>
          <cell r="X82">
            <v>100</v>
          </cell>
          <cell r="Y82">
            <v>100</v>
          </cell>
          <cell r="Z82">
            <v>100</v>
          </cell>
          <cell r="AA82">
            <v>100</v>
          </cell>
          <cell r="AB82">
            <v>100</v>
          </cell>
          <cell r="AC82">
            <v>100</v>
          </cell>
        </row>
        <row r="92">
          <cell r="D92">
            <v>0.5</v>
          </cell>
          <cell r="E92">
            <v>0.4</v>
          </cell>
          <cell r="F92">
            <v>0.8</v>
          </cell>
          <cell r="G92">
            <v>1</v>
          </cell>
          <cell r="H92">
            <v>0.7</v>
          </cell>
          <cell r="I92">
            <v>0.5</v>
          </cell>
          <cell r="J92">
            <v>0.75</v>
          </cell>
          <cell r="K92">
            <v>0.5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  <cell r="Y92">
            <v>1</v>
          </cell>
          <cell r="Z92">
            <v>1</v>
          </cell>
          <cell r="AA92">
            <v>1</v>
          </cell>
          <cell r="AB92">
            <v>1</v>
          </cell>
          <cell r="AC92">
            <v>1</v>
          </cell>
        </row>
        <row r="93">
          <cell r="D93">
            <v>1</v>
          </cell>
          <cell r="E93">
            <v>0.7</v>
          </cell>
          <cell r="F93">
            <v>1</v>
          </cell>
          <cell r="G93">
            <v>0.2</v>
          </cell>
          <cell r="H93">
            <v>0.2</v>
          </cell>
          <cell r="I93">
            <v>0.1</v>
          </cell>
          <cell r="J93">
            <v>0.1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1</v>
          </cell>
          <cell r="AB93">
            <v>1</v>
          </cell>
          <cell r="AC93">
            <v>1</v>
          </cell>
        </row>
        <row r="94">
          <cell r="D94">
            <v>5</v>
          </cell>
          <cell r="E94">
            <v>4.5</v>
          </cell>
          <cell r="F94">
            <v>2</v>
          </cell>
          <cell r="G94">
            <v>3</v>
          </cell>
          <cell r="H94">
            <v>1</v>
          </cell>
          <cell r="I94">
            <v>0.2</v>
          </cell>
          <cell r="J94">
            <v>0.2</v>
          </cell>
          <cell r="K94">
            <v>5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</row>
        <row r="95">
          <cell r="D95">
            <v>1</v>
          </cell>
          <cell r="E95">
            <v>8.5</v>
          </cell>
          <cell r="F95">
            <v>8</v>
          </cell>
          <cell r="G95">
            <v>4</v>
          </cell>
          <cell r="H95">
            <v>5</v>
          </cell>
          <cell r="I95">
            <v>5</v>
          </cell>
          <cell r="J95">
            <v>10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</row>
        <row r="96">
          <cell r="D96">
            <v>1.3</v>
          </cell>
          <cell r="E96">
            <v>0.15</v>
          </cell>
          <cell r="F96">
            <v>8</v>
          </cell>
          <cell r="G96">
            <v>1</v>
          </cell>
          <cell r="H96">
            <v>0.5</v>
          </cell>
          <cell r="I96">
            <v>0.5</v>
          </cell>
          <cell r="J96">
            <v>5</v>
          </cell>
          <cell r="K96">
            <v>1</v>
          </cell>
          <cell r="L96">
            <v>1</v>
          </cell>
          <cell r="M96">
            <v>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V96">
            <v>1</v>
          </cell>
          <cell r="W96">
            <v>1</v>
          </cell>
          <cell r="X96">
            <v>1</v>
          </cell>
          <cell r="Y96">
            <v>1</v>
          </cell>
          <cell r="Z96">
            <v>1</v>
          </cell>
          <cell r="AA96">
            <v>1</v>
          </cell>
          <cell r="AB96">
            <v>1</v>
          </cell>
          <cell r="AC96">
            <v>1</v>
          </cell>
        </row>
        <row r="97">
          <cell r="D97">
            <v>1</v>
          </cell>
          <cell r="E97">
            <v>0.3</v>
          </cell>
          <cell r="F97">
            <v>0.5</v>
          </cell>
          <cell r="G97">
            <v>0.2</v>
          </cell>
          <cell r="H97">
            <v>0.2</v>
          </cell>
          <cell r="I97">
            <v>1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</row>
        <row r="98">
          <cell r="D98">
            <v>1</v>
          </cell>
          <cell r="E98">
            <v>0.2</v>
          </cell>
          <cell r="F98">
            <v>0.5</v>
          </cell>
          <cell r="G98">
            <v>0.2</v>
          </cell>
          <cell r="H98">
            <v>0.2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</row>
        <row r="103">
          <cell r="D103">
            <v>5</v>
          </cell>
          <cell r="E103">
            <v>5</v>
          </cell>
          <cell r="F103">
            <v>5</v>
          </cell>
          <cell r="G103">
            <v>5</v>
          </cell>
          <cell r="H103">
            <v>5</v>
          </cell>
          <cell r="I103">
            <v>5</v>
          </cell>
          <cell r="J103">
            <v>5</v>
          </cell>
          <cell r="K103">
            <v>5</v>
          </cell>
          <cell r="L103">
            <v>2.5</v>
          </cell>
          <cell r="M103">
            <v>2.5</v>
          </cell>
          <cell r="N103">
            <v>2.5</v>
          </cell>
          <cell r="O103">
            <v>2.5</v>
          </cell>
          <cell r="P103">
            <v>2.5</v>
          </cell>
          <cell r="Q103">
            <v>2.5</v>
          </cell>
          <cell r="R103">
            <v>2.5</v>
          </cell>
          <cell r="S103">
            <v>2.5</v>
          </cell>
          <cell r="T103">
            <v>2.5</v>
          </cell>
          <cell r="U103">
            <v>2.5</v>
          </cell>
          <cell r="V103">
            <v>2.5</v>
          </cell>
          <cell r="W103">
            <v>2.5</v>
          </cell>
          <cell r="X103">
            <v>2.5</v>
          </cell>
          <cell r="Y103">
            <v>2.5</v>
          </cell>
          <cell r="Z103">
            <v>2.5</v>
          </cell>
          <cell r="AA103">
            <v>2.5</v>
          </cell>
          <cell r="AB103">
            <v>2.5</v>
          </cell>
          <cell r="AC103">
            <v>2.5</v>
          </cell>
        </row>
        <row r="104">
          <cell r="D104">
            <v>5</v>
          </cell>
          <cell r="E104">
            <v>5</v>
          </cell>
          <cell r="F104">
            <v>5</v>
          </cell>
          <cell r="G104">
            <v>5</v>
          </cell>
          <cell r="H104">
            <v>5</v>
          </cell>
          <cell r="I104">
            <v>5</v>
          </cell>
          <cell r="J104">
            <v>5</v>
          </cell>
          <cell r="K104">
            <v>5</v>
          </cell>
          <cell r="L104">
            <v>2.5</v>
          </cell>
          <cell r="M104">
            <v>2.5</v>
          </cell>
          <cell r="N104">
            <v>2.5</v>
          </cell>
          <cell r="O104">
            <v>2.5</v>
          </cell>
          <cell r="P104">
            <v>2.5</v>
          </cell>
          <cell r="Q104">
            <v>2.5</v>
          </cell>
          <cell r="R104">
            <v>2.5</v>
          </cell>
          <cell r="S104">
            <v>2.5</v>
          </cell>
          <cell r="T104">
            <v>2.5</v>
          </cell>
          <cell r="U104">
            <v>2.5</v>
          </cell>
          <cell r="V104">
            <v>2.5</v>
          </cell>
          <cell r="W104">
            <v>2.5</v>
          </cell>
          <cell r="X104">
            <v>2.5</v>
          </cell>
          <cell r="Y104">
            <v>2.5</v>
          </cell>
          <cell r="Z104">
            <v>2.5</v>
          </cell>
          <cell r="AA104">
            <v>2.5</v>
          </cell>
          <cell r="AB104">
            <v>2.5</v>
          </cell>
          <cell r="AC104">
            <v>2.5</v>
          </cell>
        </row>
        <row r="105">
          <cell r="D105">
            <v>10</v>
          </cell>
          <cell r="E105">
            <v>10</v>
          </cell>
          <cell r="F105">
            <v>10</v>
          </cell>
          <cell r="G105">
            <v>10</v>
          </cell>
          <cell r="H105">
            <v>10</v>
          </cell>
          <cell r="I105">
            <v>10</v>
          </cell>
          <cell r="J105">
            <v>9</v>
          </cell>
          <cell r="K105">
            <v>10</v>
          </cell>
          <cell r="L105">
            <v>2.5</v>
          </cell>
          <cell r="M105">
            <v>2.5</v>
          </cell>
          <cell r="N105">
            <v>2.5</v>
          </cell>
          <cell r="O105">
            <v>2.5</v>
          </cell>
          <cell r="P105">
            <v>2.5</v>
          </cell>
          <cell r="Q105">
            <v>2.5</v>
          </cell>
          <cell r="R105">
            <v>2.5</v>
          </cell>
          <cell r="S105">
            <v>2.5</v>
          </cell>
          <cell r="T105">
            <v>2.5</v>
          </cell>
          <cell r="U105">
            <v>2.5</v>
          </cell>
          <cell r="V105">
            <v>2.5</v>
          </cell>
          <cell r="W105">
            <v>2.5</v>
          </cell>
          <cell r="X105">
            <v>2.5</v>
          </cell>
          <cell r="Y105">
            <v>2.5</v>
          </cell>
          <cell r="Z105">
            <v>2.5</v>
          </cell>
          <cell r="AA105">
            <v>2.5</v>
          </cell>
          <cell r="AB105">
            <v>2.5</v>
          </cell>
          <cell r="AC105">
            <v>2.5</v>
          </cell>
        </row>
        <row r="106">
          <cell r="D106">
            <v>5</v>
          </cell>
          <cell r="E106">
            <v>10</v>
          </cell>
          <cell r="F106">
            <v>10</v>
          </cell>
          <cell r="G106">
            <v>5</v>
          </cell>
          <cell r="H106">
            <v>5</v>
          </cell>
          <cell r="I106">
            <v>5</v>
          </cell>
          <cell r="J106">
            <v>5</v>
          </cell>
          <cell r="K106">
            <v>5</v>
          </cell>
          <cell r="L106">
            <v>2.5</v>
          </cell>
          <cell r="M106">
            <v>2.5</v>
          </cell>
          <cell r="N106">
            <v>2.5</v>
          </cell>
          <cell r="O106">
            <v>2.5</v>
          </cell>
          <cell r="P106">
            <v>2.5</v>
          </cell>
          <cell r="Q106">
            <v>2.5</v>
          </cell>
          <cell r="R106">
            <v>2.5</v>
          </cell>
          <cell r="S106">
            <v>2.5</v>
          </cell>
          <cell r="T106">
            <v>2.5</v>
          </cell>
          <cell r="U106">
            <v>2.5</v>
          </cell>
          <cell r="V106">
            <v>2.5</v>
          </cell>
          <cell r="W106">
            <v>2.5</v>
          </cell>
          <cell r="X106">
            <v>2.5</v>
          </cell>
          <cell r="Y106">
            <v>2.5</v>
          </cell>
          <cell r="Z106">
            <v>2.5</v>
          </cell>
          <cell r="AA106">
            <v>2.5</v>
          </cell>
          <cell r="AB106">
            <v>2.5</v>
          </cell>
          <cell r="AC106">
            <v>2.5</v>
          </cell>
        </row>
        <row r="107">
          <cell r="D107">
            <v>5</v>
          </cell>
          <cell r="E107">
            <v>5</v>
          </cell>
          <cell r="F107">
            <v>10</v>
          </cell>
          <cell r="G107">
            <v>5</v>
          </cell>
          <cell r="H107">
            <v>5</v>
          </cell>
          <cell r="I107">
            <v>5</v>
          </cell>
          <cell r="J107">
            <v>5</v>
          </cell>
          <cell r="K107">
            <v>5</v>
          </cell>
          <cell r="L107">
            <v>2.5</v>
          </cell>
          <cell r="M107">
            <v>2.5</v>
          </cell>
          <cell r="N107">
            <v>2.5</v>
          </cell>
          <cell r="O107">
            <v>2.5</v>
          </cell>
          <cell r="P107">
            <v>2.5</v>
          </cell>
          <cell r="Q107">
            <v>2.5</v>
          </cell>
          <cell r="R107">
            <v>2.5</v>
          </cell>
          <cell r="S107">
            <v>2.5</v>
          </cell>
          <cell r="T107">
            <v>2.5</v>
          </cell>
          <cell r="U107">
            <v>2.5</v>
          </cell>
          <cell r="V107">
            <v>2.5</v>
          </cell>
          <cell r="W107">
            <v>2.5</v>
          </cell>
          <cell r="X107">
            <v>2.5</v>
          </cell>
          <cell r="Y107">
            <v>2.5</v>
          </cell>
          <cell r="Z107">
            <v>2.5</v>
          </cell>
          <cell r="AA107">
            <v>2.5</v>
          </cell>
          <cell r="AB107">
            <v>2.5</v>
          </cell>
          <cell r="AC107">
            <v>2.5</v>
          </cell>
        </row>
        <row r="108">
          <cell r="D108">
            <v>5</v>
          </cell>
          <cell r="E108">
            <v>5</v>
          </cell>
          <cell r="F108">
            <v>5</v>
          </cell>
          <cell r="G108">
            <v>5</v>
          </cell>
          <cell r="H108">
            <v>5</v>
          </cell>
          <cell r="I108">
            <v>5</v>
          </cell>
          <cell r="J108">
            <v>5</v>
          </cell>
          <cell r="K108">
            <v>5</v>
          </cell>
          <cell r="L108">
            <v>2.5</v>
          </cell>
          <cell r="M108">
            <v>2.5</v>
          </cell>
          <cell r="N108">
            <v>2.5</v>
          </cell>
          <cell r="O108">
            <v>2.5</v>
          </cell>
          <cell r="P108">
            <v>2.5</v>
          </cell>
          <cell r="Q108">
            <v>2.5</v>
          </cell>
          <cell r="R108">
            <v>2.5</v>
          </cell>
          <cell r="S108">
            <v>2.5</v>
          </cell>
          <cell r="T108">
            <v>2.5</v>
          </cell>
          <cell r="U108">
            <v>2.5</v>
          </cell>
          <cell r="V108">
            <v>2.5</v>
          </cell>
          <cell r="W108">
            <v>2.5</v>
          </cell>
          <cell r="X108">
            <v>2.5</v>
          </cell>
          <cell r="Y108">
            <v>2.5</v>
          </cell>
          <cell r="Z108">
            <v>2.5</v>
          </cell>
          <cell r="AA108">
            <v>2.5</v>
          </cell>
          <cell r="AB108">
            <v>2.5</v>
          </cell>
          <cell r="AC108">
            <v>2.5</v>
          </cell>
        </row>
        <row r="109">
          <cell r="D109">
            <v>5</v>
          </cell>
          <cell r="E109">
            <v>5</v>
          </cell>
          <cell r="F109">
            <v>5</v>
          </cell>
          <cell r="G109">
            <v>5</v>
          </cell>
          <cell r="H109">
            <v>5</v>
          </cell>
          <cell r="I109">
            <v>5</v>
          </cell>
          <cell r="J109">
            <v>5</v>
          </cell>
          <cell r="K109">
            <v>5</v>
          </cell>
          <cell r="L109">
            <v>2.5</v>
          </cell>
          <cell r="M109">
            <v>2.5</v>
          </cell>
          <cell r="N109">
            <v>2.5</v>
          </cell>
          <cell r="O109">
            <v>2.5</v>
          </cell>
          <cell r="P109">
            <v>2.5</v>
          </cell>
          <cell r="Q109">
            <v>2.5</v>
          </cell>
          <cell r="R109">
            <v>2.5</v>
          </cell>
          <cell r="S109">
            <v>2.5</v>
          </cell>
          <cell r="T109">
            <v>2.5</v>
          </cell>
          <cell r="U109">
            <v>2.5</v>
          </cell>
          <cell r="V109">
            <v>2.5</v>
          </cell>
          <cell r="W109">
            <v>2.5</v>
          </cell>
          <cell r="X109">
            <v>2.5</v>
          </cell>
          <cell r="Y109">
            <v>2.5</v>
          </cell>
          <cell r="Z109">
            <v>2.5</v>
          </cell>
          <cell r="AA109">
            <v>2.5</v>
          </cell>
          <cell r="AB109">
            <v>2.5</v>
          </cell>
          <cell r="AC109">
            <v>2.5</v>
          </cell>
        </row>
      </sheetData>
      <sheetData sheetId="3"/>
      <sheetData sheetId="4"/>
      <sheetData sheetId="5"/>
      <sheetData sheetId="6">
        <row r="4">
          <cell r="L4">
            <v>2.2680776441803925</v>
          </cell>
          <cell r="M4">
            <v>2.525504456794867</v>
          </cell>
          <cell r="N4">
            <v>2.8954908597153151</v>
          </cell>
          <cell r="O4">
            <v>3.3783139605728438</v>
          </cell>
          <cell r="P4">
            <v>3.9644514327322322</v>
          </cell>
          <cell r="Q4">
            <v>4.5333502133293075</v>
          </cell>
          <cell r="R4">
            <v>5.0637521882888361</v>
          </cell>
          <cell r="S4">
            <v>5.5549361505528534</v>
          </cell>
          <cell r="T4">
            <v>6.0021085106723584</v>
          </cell>
          <cell r="U4">
            <v>6.4462645404621135</v>
          </cell>
          <cell r="V4">
            <v>7.0038664232120862</v>
          </cell>
          <cell r="W4">
            <v>7.6797395330520528</v>
          </cell>
          <cell r="X4">
            <v>8.3977951793924195</v>
          </cell>
          <cell r="Y4">
            <v>9.1752630571005689</v>
          </cell>
          <cell r="Z4">
            <v>9.8496448917974604</v>
          </cell>
          <cell r="AA4">
            <v>10.475097342426597</v>
          </cell>
        </row>
      </sheetData>
      <sheetData sheetId="7"/>
      <sheetData sheetId="8"/>
      <sheetData sheetId="9">
        <row r="39">
          <cell r="G39">
            <v>1.073</v>
          </cell>
          <cell r="H39">
            <v>1.211417</v>
          </cell>
          <cell r="I39">
            <v>1.4440090639999998</v>
          </cell>
          <cell r="J39">
            <v>1.553753752864</v>
          </cell>
          <cell r="K39">
            <v>1.7899243232993278</v>
          </cell>
          <cell r="L39">
            <v>2.108530852846608</v>
          </cell>
          <cell r="M39">
            <v>2.3693561193437334</v>
          </cell>
          <cell r="N39">
            <v>2.6233510953373815</v>
          </cell>
          <cell r="O39">
            <v>2.9381532267778674</v>
          </cell>
          <cell r="P39">
            <v>3.3494946785267694</v>
          </cell>
          <cell r="Q39">
            <v>3.8184239335205175</v>
          </cell>
          <cell r="R39">
            <v>4.4102796432161977</v>
          </cell>
          <cell r="S39">
            <v>4.9836159968343026</v>
          </cell>
          <cell r="T39">
            <v>5.5318137564860761</v>
          </cell>
          <cell r="U39">
            <v>6.0296769945698232</v>
          </cell>
          <cell r="V39">
            <v>6.5120511541354098</v>
          </cell>
          <cell r="W39">
            <v>7.0330152464662428</v>
          </cell>
          <cell r="X39">
            <v>7.4549961612542175</v>
          </cell>
          <cell r="Y39">
            <v>7.9611904006033791</v>
          </cell>
          <cell r="Z39">
            <v>8.5980856326516495</v>
          </cell>
          <cell r="AA39">
            <v>9.3719133395902983</v>
          </cell>
          <cell r="AB39">
            <v>9.9735901759919958</v>
          </cell>
          <cell r="AC39">
            <v>10.572005586551516</v>
          </cell>
          <cell r="AD39">
            <v>11.199982718392677</v>
          </cell>
          <cell r="AE39">
            <v>11.871981681496239</v>
          </cell>
          <cell r="AF39">
            <v>12.584300582386014</v>
          </cell>
        </row>
        <row r="40">
          <cell r="G40">
            <v>1.073</v>
          </cell>
          <cell r="H40">
            <v>1.211417</v>
          </cell>
          <cell r="I40">
            <v>1.4440090639999998</v>
          </cell>
          <cell r="J40">
            <v>1.553753752864</v>
          </cell>
          <cell r="K40">
            <v>1.7899243232993278</v>
          </cell>
          <cell r="L40">
            <v>2.108530852846608</v>
          </cell>
          <cell r="M40">
            <v>2.3693561193437334</v>
          </cell>
          <cell r="N40">
            <v>2.6233510953373815</v>
          </cell>
          <cell r="O40">
            <v>2.9381532267778674</v>
          </cell>
          <cell r="P40">
            <v>3.3494946785267694</v>
          </cell>
          <cell r="Q40">
            <v>3.91890877387632</v>
          </cell>
          <cell r="R40">
            <v>4.6243123531740578</v>
          </cell>
          <cell r="S40">
            <v>5.3179592061501664</v>
          </cell>
          <cell r="T40">
            <v>6.009293902949687</v>
          </cell>
          <cell r="U40">
            <v>6.6703162322741534</v>
          </cell>
          <cell r="V40">
            <v>7.3373478555015694</v>
          </cell>
          <cell r="W40">
            <v>8.0710826410517278</v>
          </cell>
          <cell r="X40">
            <v>8.7167692523358671</v>
          </cell>
          <cell r="Y40">
            <v>9.501278485046095</v>
          </cell>
          <cell r="Z40">
            <v>10.451406333550706</v>
          </cell>
          <cell r="AA40">
            <v>11.601061030241285</v>
          </cell>
          <cell r="AB40">
            <v>12.529145912660589</v>
          </cell>
          <cell r="AC40">
            <v>13.40618612654683</v>
          </cell>
          <cell r="AD40">
            <v>14.344619155405109</v>
          </cell>
          <cell r="AE40">
            <v>15.348742496283467</v>
          </cell>
          <cell r="AF40">
            <v>16.423154471023309</v>
          </cell>
        </row>
        <row r="41">
          <cell r="G41">
            <v>1.073</v>
          </cell>
          <cell r="H41">
            <v>1.211417</v>
          </cell>
          <cell r="I41">
            <v>1.4440090639999998</v>
          </cell>
          <cell r="J41">
            <v>1.553753752864</v>
          </cell>
          <cell r="K41">
            <v>1.7899243232993278</v>
          </cell>
          <cell r="L41">
            <v>2.108530852846608</v>
          </cell>
          <cell r="M41">
            <v>2.3693561193437334</v>
          </cell>
          <cell r="N41">
            <v>2.6233510953373815</v>
          </cell>
          <cell r="O41">
            <v>2.9381532267778674</v>
          </cell>
          <cell r="P41">
            <v>3.3494946785267694</v>
          </cell>
          <cell r="Q41">
            <v>3.9858986674468553</v>
          </cell>
          <cell r="R41">
            <v>4.8229373876106951</v>
          </cell>
          <cell r="S41">
            <v>5.6910661173806201</v>
          </cell>
          <cell r="T41">
            <v>6.6016366961615187</v>
          </cell>
          <cell r="U41">
            <v>7.459849466662515</v>
          </cell>
          <cell r="V41">
            <v>8.3550314026620178</v>
          </cell>
          <cell r="W41">
            <v>9.348444636438531</v>
          </cell>
          <cell r="X41">
            <v>10.283289100082385</v>
          </cell>
          <cell r="Y41">
            <v>11.473065648961915</v>
          </cell>
          <cell r="Z41">
            <v>12.964564183326964</v>
          </cell>
          <cell r="AA41">
            <v>14.77960316899274</v>
          </cell>
          <cell r="AB41">
            <v>16.47334569215931</v>
          </cell>
          <cell r="AC41">
            <v>17.955946804453649</v>
          </cell>
          <cell r="AD41">
            <v>19.571982016854481</v>
          </cell>
          <cell r="AE41">
            <v>21.333460398371386</v>
          </cell>
          <cell r="AF41">
            <v>23.253471834224811</v>
          </cell>
        </row>
        <row r="45">
          <cell r="G45">
            <v>1.0900000000000001</v>
          </cell>
          <cell r="H45">
            <v>1.2088100000000002</v>
          </cell>
          <cell r="I45">
            <v>1.36112006</v>
          </cell>
          <cell r="J45">
            <v>1.51628774684</v>
          </cell>
          <cell r="K45">
            <v>1.6527536440556001</v>
          </cell>
          <cell r="L45">
            <v>1.7717519064276035</v>
          </cell>
          <cell r="M45">
            <v>1.9297921764809456</v>
          </cell>
          <cell r="N45">
            <v>2.0903508855641602</v>
          </cell>
          <cell r="O45">
            <v>2.320289482976218</v>
          </cell>
          <cell r="P45">
            <v>2.6683329054226506</v>
          </cell>
          <cell r="Q45">
            <v>3.0685828412360481</v>
          </cell>
          <cell r="R45">
            <v>3.5595560958338157</v>
          </cell>
          <cell r="S45">
            <v>4.022298388292211</v>
          </cell>
          <cell r="T45">
            <v>4.3843052432385106</v>
          </cell>
          <cell r="U45">
            <v>4.6912066102652066</v>
          </cell>
          <cell r="V45">
            <v>4.9726790068811191</v>
          </cell>
          <cell r="W45">
            <v>5.2213129572251749</v>
          </cell>
          <cell r="X45">
            <v>5.5868048642309374</v>
          </cell>
          <cell r="Y45">
            <v>6.0337492533694128</v>
          </cell>
          <cell r="Z45">
            <v>6.4561117011052724</v>
          </cell>
          <cell r="AA45">
            <v>6.8383135138107036</v>
          </cell>
          <cell r="AB45">
            <v>7.1802291895012393</v>
          </cell>
          <cell r="AC45">
            <v>7.5392406489763015</v>
          </cell>
          <cell r="AD45">
            <v>7.9162026814251165</v>
          </cell>
          <cell r="AE45">
            <v>8.3120128154963719</v>
          </cell>
          <cell r="AF45">
            <v>8.7276134562711913</v>
          </cell>
        </row>
        <row r="46">
          <cell r="G46">
            <v>1.0900000000000001</v>
          </cell>
          <cell r="H46">
            <v>1.2088100000000002</v>
          </cell>
          <cell r="I46">
            <v>1.36112006</v>
          </cell>
          <cell r="J46">
            <v>1.51628774684</v>
          </cell>
          <cell r="K46">
            <v>1.6527536440556001</v>
          </cell>
          <cell r="L46">
            <v>1.7717519064276035</v>
          </cell>
          <cell r="M46">
            <v>1.9297921764809456</v>
          </cell>
          <cell r="N46">
            <v>2.0903508855641602</v>
          </cell>
          <cell r="O46">
            <v>2.320289482976218</v>
          </cell>
          <cell r="P46">
            <v>2.6683329054226506</v>
          </cell>
          <cell r="Q46">
            <v>3.1086078348173878</v>
          </cell>
          <cell r="R46">
            <v>3.6370711667363436</v>
          </cell>
          <cell r="S46">
            <v>4.1462611300794325</v>
          </cell>
          <cell r="T46">
            <v>4.6023498543881702</v>
          </cell>
          <cell r="U46">
            <v>5.016561341283106</v>
          </cell>
          <cell r="V46">
            <v>5.3677206351729234</v>
          </cell>
          <cell r="W46">
            <v>5.6897838732832993</v>
          </cell>
          <cell r="X46">
            <v>6.2018644218787964</v>
          </cell>
          <cell r="Y46">
            <v>6.8220508640666768</v>
          </cell>
          <cell r="Z46">
            <v>7.4360354418326784</v>
          </cell>
          <cell r="AA46">
            <v>8.0547135905931562</v>
          </cell>
          <cell r="AB46">
            <v>8.6185435419346774</v>
          </cell>
          <cell r="AC46">
            <v>9.1356561544507588</v>
          </cell>
          <cell r="AD46">
            <v>9.6837955237178051</v>
          </cell>
          <cell r="AE46">
            <v>10.264823255140874</v>
          </cell>
          <cell r="AF46">
            <v>10.880712650449327</v>
          </cell>
        </row>
        <row r="47">
          <cell r="G47">
            <v>1.0900000000000001</v>
          </cell>
          <cell r="H47">
            <v>1.2088100000000002</v>
          </cell>
          <cell r="I47">
            <v>1.36112006</v>
          </cell>
          <cell r="J47">
            <v>1.51628774684</v>
          </cell>
          <cell r="K47">
            <v>1.6527536440556001</v>
          </cell>
          <cell r="L47">
            <v>1.7717519064276035</v>
          </cell>
          <cell r="M47">
            <v>1.9297921764809456</v>
          </cell>
          <cell r="N47">
            <v>2.0903508855641602</v>
          </cell>
          <cell r="O47">
            <v>2.320289482976218</v>
          </cell>
          <cell r="P47">
            <v>2.6683329054226506</v>
          </cell>
          <cell r="Q47">
            <v>3.1486328283987275</v>
          </cell>
          <cell r="R47">
            <v>3.7153867375104981</v>
          </cell>
          <cell r="S47">
            <v>4.3098486155121778</v>
          </cell>
          <cell r="T47">
            <v>4.9132274216838834</v>
          </cell>
          <cell r="U47">
            <v>5.5028147122859501</v>
          </cell>
          <cell r="V47">
            <v>6.0530961835145458</v>
          </cell>
          <cell r="W47">
            <v>6.5373438781957098</v>
          </cell>
          <cell r="X47">
            <v>7.2564517047972386</v>
          </cell>
          <cell r="Y47">
            <v>8.163508167896893</v>
          </cell>
          <cell r="Z47">
            <v>9.0614940663655528</v>
          </cell>
          <cell r="AA47">
            <v>9.9241483014835534</v>
          </cell>
          <cell r="AB47">
            <v>10.718080165602238</v>
          </cell>
          <cell r="AC47">
            <v>11.575526578850418</v>
          </cell>
          <cell r="AD47">
            <v>12.501568705158453</v>
          </cell>
          <cell r="AE47">
            <v>13.50169420157113</v>
          </cell>
          <cell r="AF47">
            <v>14.581829737696822</v>
          </cell>
        </row>
        <row r="83">
          <cell r="D83">
            <v>2006</v>
          </cell>
          <cell r="E83">
            <v>2007</v>
          </cell>
          <cell r="F83">
            <v>2008</v>
          </cell>
          <cell r="G83">
            <v>2009</v>
          </cell>
          <cell r="H83">
            <v>2010</v>
          </cell>
          <cell r="I83">
            <v>2011</v>
          </cell>
          <cell r="J83">
            <v>2012</v>
          </cell>
          <cell r="K83">
            <v>2013</v>
          </cell>
          <cell r="L83">
            <v>2014</v>
          </cell>
          <cell r="M83">
            <v>2015</v>
          </cell>
          <cell r="N83">
            <v>2016</v>
          </cell>
          <cell r="O83">
            <v>2017</v>
          </cell>
          <cell r="P83">
            <v>2018</v>
          </cell>
          <cell r="Q83">
            <v>2019</v>
          </cell>
          <cell r="R83">
            <v>2020</v>
          </cell>
          <cell r="S83">
            <v>2021</v>
          </cell>
          <cell r="T83">
            <v>2022</v>
          </cell>
          <cell r="U83">
            <v>2023</v>
          </cell>
          <cell r="V83">
            <v>2024</v>
          </cell>
          <cell r="W83">
            <v>2025</v>
          </cell>
          <cell r="X83">
            <v>2026</v>
          </cell>
          <cell r="Y83">
            <v>2027</v>
          </cell>
          <cell r="Z83">
            <v>2028</v>
          </cell>
          <cell r="AA83">
            <v>2029</v>
          </cell>
          <cell r="AB83">
            <v>2030</v>
          </cell>
          <cell r="AC83">
            <v>2031</v>
          </cell>
        </row>
        <row r="91">
          <cell r="C91"/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</row>
        <row r="92">
          <cell r="C92">
            <v>13314182.053560002</v>
          </cell>
          <cell r="D92">
            <v>16709238.932039998</v>
          </cell>
          <cell r="E92">
            <v>19374981.762139998</v>
          </cell>
          <cell r="F92">
            <v>23529017.37799</v>
          </cell>
          <cell r="G92">
            <v>24880386.637880005</v>
          </cell>
          <cell r="H92">
            <v>27975769.610169999</v>
          </cell>
          <cell r="I92">
            <v>29060796.29377</v>
          </cell>
          <cell r="J92">
            <v>37764372.420560002</v>
          </cell>
          <cell r="K92">
            <v>42168282.307270013</v>
          </cell>
          <cell r="L92">
            <v>33582285.649451211</v>
          </cell>
          <cell r="M92">
            <v>39643696.07053148</v>
          </cell>
          <cell r="N92">
            <v>44752790.395170771</v>
          </cell>
          <cell r="O92">
            <v>51982952.70743037</v>
          </cell>
          <cell r="P92">
            <v>86237514.197193623</v>
          </cell>
          <cell r="Q92">
            <v>141272996.66551444</v>
          </cell>
          <cell r="R92">
            <v>179903821.16752481</v>
          </cell>
          <cell r="S92">
            <v>170654285.12107277</v>
          </cell>
          <cell r="T92">
            <v>160004927.39167422</v>
          </cell>
          <cell r="U92">
            <v>156297361.91023088</v>
          </cell>
          <cell r="V92">
            <v>169891429.07345724</v>
          </cell>
          <cell r="W92">
            <v>200650975.37294602</v>
          </cell>
          <cell r="X92">
            <v>258506768.37983179</v>
          </cell>
          <cell r="Y92">
            <v>329527852.14610976</v>
          </cell>
          <cell r="Z92">
            <v>402815838.12587315</v>
          </cell>
          <cell r="AA92">
            <v>469517146.51610816</v>
          </cell>
          <cell r="AB92">
            <v>501096373.98180282</v>
          </cell>
          <cell r="AC92">
            <v>534797603.24000859</v>
          </cell>
        </row>
        <row r="93"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</row>
        <row r="110">
          <cell r="D110">
            <v>45327</v>
          </cell>
          <cell r="E110">
            <v>57390</v>
          </cell>
          <cell r="F110">
            <v>64558</v>
          </cell>
          <cell r="G110">
            <v>79561</v>
          </cell>
          <cell r="H110">
            <v>76798</v>
          </cell>
          <cell r="I110">
            <v>102700</v>
          </cell>
          <cell r="J110">
            <v>87400</v>
          </cell>
          <cell r="K110">
            <v>111900</v>
          </cell>
          <cell r="L110">
            <v>155652.9</v>
          </cell>
          <cell r="M110">
            <v>79382.978999999992</v>
          </cell>
          <cell r="N110">
            <v>63506.383199999997</v>
          </cell>
          <cell r="O110">
            <v>60331.064039999997</v>
          </cell>
          <cell r="P110">
            <v>358705.31417405262</v>
          </cell>
          <cell r="Q110">
            <v>230114.90481222825</v>
          </cell>
          <cell r="R110">
            <v>167921.29453377827</v>
          </cell>
          <cell r="S110">
            <v>78789.125851305231</v>
          </cell>
          <cell r="T110">
            <v>117986.89594891602</v>
          </cell>
          <cell r="U110">
            <v>74244.236342498218</v>
          </cell>
          <cell r="V110">
            <v>67361.501991412762</v>
          </cell>
          <cell r="W110">
            <v>61991.598042885198</v>
          </cell>
          <cell r="X110">
            <v>65341.762776644195</v>
          </cell>
          <cell r="Y110">
            <v>94798.730112738034</v>
          </cell>
          <cell r="Z110">
            <v>51566.968132905859</v>
          </cell>
          <cell r="AA110">
            <v>95344.912840090255</v>
          </cell>
          <cell r="AB110">
            <v>169766.79303483054</v>
          </cell>
          <cell r="AC110">
            <v>0</v>
          </cell>
        </row>
        <row r="111">
          <cell r="D111">
            <v>45327</v>
          </cell>
          <cell r="E111">
            <v>57390</v>
          </cell>
          <cell r="F111">
            <v>64558</v>
          </cell>
          <cell r="G111">
            <v>79561</v>
          </cell>
          <cell r="H111">
            <v>76798</v>
          </cell>
          <cell r="I111">
            <v>102700</v>
          </cell>
          <cell r="J111">
            <v>87400</v>
          </cell>
          <cell r="K111">
            <v>111900</v>
          </cell>
          <cell r="L111">
            <v>155652.9</v>
          </cell>
          <cell r="M111">
            <v>79382.978999999992</v>
          </cell>
          <cell r="N111">
            <v>51598.936349999989</v>
          </cell>
          <cell r="O111">
            <v>41279.149079999996</v>
          </cell>
          <cell r="P111">
            <v>358705.31417405262</v>
          </cell>
          <cell r="Q111">
            <v>230114.90481222825</v>
          </cell>
          <cell r="R111">
            <v>167921.29453377827</v>
          </cell>
          <cell r="S111">
            <v>78789.125851305231</v>
          </cell>
          <cell r="T111">
            <v>117986.89594891602</v>
          </cell>
          <cell r="U111">
            <v>74244.236342498218</v>
          </cell>
          <cell r="V111">
            <v>67361.501991412762</v>
          </cell>
          <cell r="W111">
            <v>61991.598042885198</v>
          </cell>
          <cell r="X111">
            <v>65341.762776644195</v>
          </cell>
          <cell r="Y111">
            <v>94798.730112738034</v>
          </cell>
          <cell r="Z111">
            <v>51566.968132905859</v>
          </cell>
          <cell r="AA111">
            <v>95344.912840090255</v>
          </cell>
          <cell r="AB111">
            <v>169766.79303483054</v>
          </cell>
          <cell r="AC111">
            <v>0</v>
          </cell>
        </row>
        <row r="112">
          <cell r="D112">
            <v>45327</v>
          </cell>
          <cell r="E112">
            <v>57390</v>
          </cell>
          <cell r="F112">
            <v>64558</v>
          </cell>
          <cell r="G112">
            <v>79561</v>
          </cell>
          <cell r="H112">
            <v>76798</v>
          </cell>
          <cell r="I112">
            <v>102700</v>
          </cell>
          <cell r="J112">
            <v>87400</v>
          </cell>
          <cell r="K112">
            <v>111900</v>
          </cell>
          <cell r="L112">
            <v>155652.9</v>
          </cell>
          <cell r="M112">
            <v>79382.978999999992</v>
          </cell>
          <cell r="N112">
            <v>39691.489499999996</v>
          </cell>
          <cell r="O112">
            <v>25799.468174999995</v>
          </cell>
          <cell r="P112">
            <v>358705.31417405262</v>
          </cell>
          <cell r="Q112">
            <v>230114.90481222825</v>
          </cell>
          <cell r="R112">
            <v>167921.29453377827</v>
          </cell>
          <cell r="S112">
            <v>78789.125851305231</v>
          </cell>
          <cell r="T112">
            <v>117986.89594891602</v>
          </cell>
          <cell r="U112">
            <v>74244.236342498218</v>
          </cell>
          <cell r="V112">
            <v>67361.501991412762</v>
          </cell>
          <cell r="W112">
            <v>61991.598042885198</v>
          </cell>
          <cell r="X112">
            <v>65341.762776644195</v>
          </cell>
          <cell r="Y112">
            <v>94798.730112738034</v>
          </cell>
          <cell r="Z112">
            <v>51566.968132905859</v>
          </cell>
          <cell r="AA112">
            <v>95344.912840090255</v>
          </cell>
          <cell r="AB112">
            <v>169766.79303483054</v>
          </cell>
          <cell r="AC112">
            <v>0</v>
          </cell>
        </row>
        <row r="125"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11</v>
          </cell>
          <cell r="M125">
            <v>15</v>
          </cell>
          <cell r="N125">
            <v>16.5</v>
          </cell>
          <cell r="O125">
            <v>17</v>
          </cell>
          <cell r="P125">
            <v>14</v>
          </cell>
          <cell r="Q125">
            <v>11</v>
          </cell>
          <cell r="R125">
            <v>9</v>
          </cell>
          <cell r="S125">
            <v>7</v>
          </cell>
          <cell r="T125">
            <v>6</v>
          </cell>
          <cell r="U125">
            <v>9</v>
          </cell>
          <cell r="V125">
            <v>10</v>
          </cell>
          <cell r="W125">
            <v>9</v>
          </cell>
          <cell r="X125">
            <v>8.32</v>
          </cell>
          <cell r="Y125">
            <v>7</v>
          </cell>
          <cell r="Z125">
            <v>6</v>
          </cell>
          <cell r="AA125">
            <v>6</v>
          </cell>
          <cell r="AB125">
            <v>6.6000000000000005</v>
          </cell>
          <cell r="AC125">
            <v>6.6000000000000005</v>
          </cell>
        </row>
        <row r="126"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11</v>
          </cell>
          <cell r="M126">
            <v>15</v>
          </cell>
          <cell r="N126">
            <v>16.5</v>
          </cell>
          <cell r="O126">
            <v>17</v>
          </cell>
          <cell r="P126">
            <v>14</v>
          </cell>
          <cell r="Q126">
            <v>11</v>
          </cell>
          <cell r="R126">
            <v>9</v>
          </cell>
          <cell r="S126">
            <v>7</v>
          </cell>
          <cell r="T126">
            <v>6</v>
          </cell>
          <cell r="U126">
            <v>9</v>
          </cell>
          <cell r="V126">
            <v>10</v>
          </cell>
          <cell r="W126">
            <v>9</v>
          </cell>
          <cell r="X126">
            <v>8.32</v>
          </cell>
          <cell r="Y126">
            <v>7</v>
          </cell>
          <cell r="Z126">
            <v>6</v>
          </cell>
          <cell r="AA126">
            <v>6</v>
          </cell>
          <cell r="AB126">
            <v>6</v>
          </cell>
          <cell r="AC126">
            <v>6</v>
          </cell>
        </row>
        <row r="127"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11</v>
          </cell>
          <cell r="M127">
            <v>15</v>
          </cell>
          <cell r="N127">
            <v>16.5</v>
          </cell>
          <cell r="O127">
            <v>17</v>
          </cell>
          <cell r="P127">
            <v>14</v>
          </cell>
          <cell r="Q127">
            <v>11</v>
          </cell>
          <cell r="R127">
            <v>9</v>
          </cell>
          <cell r="S127">
            <v>7</v>
          </cell>
          <cell r="T127">
            <v>6</v>
          </cell>
          <cell r="U127">
            <v>9</v>
          </cell>
          <cell r="V127">
            <v>10</v>
          </cell>
          <cell r="W127">
            <v>9</v>
          </cell>
          <cell r="X127">
            <v>8.32</v>
          </cell>
          <cell r="Y127">
            <v>7</v>
          </cell>
          <cell r="Z127">
            <v>6</v>
          </cell>
          <cell r="AA127">
            <v>6</v>
          </cell>
          <cell r="AB127">
            <v>5.4</v>
          </cell>
          <cell r="AC127">
            <v>5.4</v>
          </cell>
        </row>
        <row r="135"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11</v>
          </cell>
          <cell r="M135">
            <v>15</v>
          </cell>
          <cell r="N135">
            <v>16.5</v>
          </cell>
          <cell r="O135">
            <v>17</v>
          </cell>
          <cell r="P135">
            <v>14</v>
          </cell>
          <cell r="Q135">
            <v>11</v>
          </cell>
          <cell r="R135">
            <v>9</v>
          </cell>
          <cell r="S135">
            <v>7</v>
          </cell>
          <cell r="T135">
            <v>6</v>
          </cell>
          <cell r="U135">
            <v>9</v>
          </cell>
          <cell r="V135">
            <v>10</v>
          </cell>
          <cell r="W135">
            <v>9</v>
          </cell>
          <cell r="X135">
            <v>8.32</v>
          </cell>
          <cell r="Y135">
            <v>7</v>
          </cell>
          <cell r="Z135">
            <v>6</v>
          </cell>
          <cell r="AA135">
            <v>6</v>
          </cell>
          <cell r="AB135">
            <v>6.7200000000000006</v>
          </cell>
          <cell r="AC135">
            <v>6.7200000000000006</v>
          </cell>
        </row>
        <row r="136"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11</v>
          </cell>
          <cell r="M136">
            <v>15</v>
          </cell>
          <cell r="N136">
            <v>16.5</v>
          </cell>
          <cell r="O136">
            <v>17</v>
          </cell>
          <cell r="P136">
            <v>14</v>
          </cell>
          <cell r="Q136">
            <v>11</v>
          </cell>
          <cell r="R136">
            <v>9</v>
          </cell>
          <cell r="S136">
            <v>7</v>
          </cell>
          <cell r="T136">
            <v>6</v>
          </cell>
          <cell r="U136">
            <v>9</v>
          </cell>
          <cell r="V136">
            <v>10</v>
          </cell>
          <cell r="W136">
            <v>9</v>
          </cell>
          <cell r="X136">
            <v>8.32</v>
          </cell>
          <cell r="Y136">
            <v>7</v>
          </cell>
          <cell r="Z136">
            <v>6</v>
          </cell>
          <cell r="AA136">
            <v>6</v>
          </cell>
          <cell r="AB136">
            <v>6</v>
          </cell>
          <cell r="AC136">
            <v>6</v>
          </cell>
        </row>
        <row r="137"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1</v>
          </cell>
          <cell r="J137">
            <v>1</v>
          </cell>
          <cell r="K137">
            <v>1</v>
          </cell>
          <cell r="L137">
            <v>11</v>
          </cell>
          <cell r="M137">
            <v>15</v>
          </cell>
          <cell r="N137">
            <v>16.5</v>
          </cell>
          <cell r="O137">
            <v>17</v>
          </cell>
          <cell r="P137">
            <v>14</v>
          </cell>
          <cell r="Q137">
            <v>11</v>
          </cell>
          <cell r="R137">
            <v>9</v>
          </cell>
          <cell r="S137">
            <v>7</v>
          </cell>
          <cell r="T137">
            <v>6</v>
          </cell>
          <cell r="U137">
            <v>9</v>
          </cell>
          <cell r="V137">
            <v>10</v>
          </cell>
          <cell r="W137">
            <v>9</v>
          </cell>
          <cell r="X137">
            <v>8.32</v>
          </cell>
          <cell r="Y137">
            <v>7</v>
          </cell>
          <cell r="Z137">
            <v>6</v>
          </cell>
          <cell r="AA137">
            <v>6</v>
          </cell>
          <cell r="AB137">
            <v>5.28</v>
          </cell>
          <cell r="AC137">
            <v>5.28</v>
          </cell>
        </row>
        <row r="145"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11</v>
          </cell>
          <cell r="M145">
            <v>15</v>
          </cell>
          <cell r="N145">
            <v>16.5</v>
          </cell>
          <cell r="O145">
            <v>17</v>
          </cell>
          <cell r="P145">
            <v>14</v>
          </cell>
          <cell r="Q145">
            <v>11</v>
          </cell>
          <cell r="R145">
            <v>9</v>
          </cell>
          <cell r="S145">
            <v>7</v>
          </cell>
          <cell r="T145">
            <v>6</v>
          </cell>
          <cell r="U145">
            <v>9</v>
          </cell>
          <cell r="V145">
            <v>10</v>
          </cell>
          <cell r="W145">
            <v>9</v>
          </cell>
          <cell r="X145">
            <v>8.32</v>
          </cell>
          <cell r="Y145">
            <v>7</v>
          </cell>
          <cell r="Z145">
            <v>6</v>
          </cell>
          <cell r="AA145">
            <v>6</v>
          </cell>
          <cell r="AB145">
            <v>6.7799999999999994</v>
          </cell>
          <cell r="AC145">
            <v>6.7799999999999994</v>
          </cell>
        </row>
        <row r="146"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11</v>
          </cell>
          <cell r="M146">
            <v>15</v>
          </cell>
          <cell r="N146">
            <v>16.5</v>
          </cell>
          <cell r="O146">
            <v>17</v>
          </cell>
          <cell r="P146">
            <v>14</v>
          </cell>
          <cell r="Q146">
            <v>11</v>
          </cell>
          <cell r="R146">
            <v>9</v>
          </cell>
          <cell r="S146">
            <v>7</v>
          </cell>
          <cell r="T146">
            <v>6</v>
          </cell>
          <cell r="U146">
            <v>9</v>
          </cell>
          <cell r="V146">
            <v>10</v>
          </cell>
          <cell r="W146">
            <v>9</v>
          </cell>
          <cell r="X146">
            <v>8.32</v>
          </cell>
          <cell r="Y146">
            <v>7</v>
          </cell>
          <cell r="Z146">
            <v>6</v>
          </cell>
          <cell r="AA146">
            <v>6</v>
          </cell>
          <cell r="AB146">
            <v>6</v>
          </cell>
          <cell r="AC146">
            <v>6</v>
          </cell>
        </row>
        <row r="147"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11</v>
          </cell>
          <cell r="M147">
            <v>15</v>
          </cell>
          <cell r="N147">
            <v>16.5</v>
          </cell>
          <cell r="O147">
            <v>17</v>
          </cell>
          <cell r="P147">
            <v>14</v>
          </cell>
          <cell r="Q147">
            <v>11</v>
          </cell>
          <cell r="R147">
            <v>9</v>
          </cell>
          <cell r="S147">
            <v>7</v>
          </cell>
          <cell r="T147">
            <v>6</v>
          </cell>
          <cell r="U147">
            <v>9</v>
          </cell>
          <cell r="V147">
            <v>10</v>
          </cell>
          <cell r="W147">
            <v>9</v>
          </cell>
          <cell r="X147">
            <v>8.32</v>
          </cell>
          <cell r="Y147">
            <v>7</v>
          </cell>
          <cell r="Z147">
            <v>6</v>
          </cell>
          <cell r="AA147">
            <v>6</v>
          </cell>
          <cell r="AB147">
            <v>5.22</v>
          </cell>
          <cell r="AC147">
            <v>5.22</v>
          </cell>
        </row>
        <row r="154"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>
            <v>11</v>
          </cell>
          <cell r="M154">
            <v>15</v>
          </cell>
          <cell r="N154">
            <v>16.5</v>
          </cell>
          <cell r="O154">
            <v>17</v>
          </cell>
          <cell r="P154">
            <v>14</v>
          </cell>
          <cell r="Q154">
            <v>11</v>
          </cell>
          <cell r="R154">
            <v>9</v>
          </cell>
          <cell r="S154">
            <v>7</v>
          </cell>
          <cell r="T154">
            <v>6</v>
          </cell>
          <cell r="U154">
            <v>9</v>
          </cell>
          <cell r="V154">
            <v>10</v>
          </cell>
          <cell r="W154">
            <v>9</v>
          </cell>
          <cell r="X154">
            <v>8.32</v>
          </cell>
          <cell r="Y154">
            <v>7</v>
          </cell>
          <cell r="Z154">
            <v>6</v>
          </cell>
          <cell r="AA154">
            <v>6</v>
          </cell>
          <cell r="AB154">
            <v>6.8400000000000007</v>
          </cell>
          <cell r="AC154">
            <v>6.8400000000000007</v>
          </cell>
        </row>
        <row r="155"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11</v>
          </cell>
          <cell r="M155">
            <v>15</v>
          </cell>
          <cell r="N155">
            <v>16.5</v>
          </cell>
          <cell r="O155">
            <v>17</v>
          </cell>
          <cell r="P155">
            <v>14</v>
          </cell>
          <cell r="Q155">
            <v>11</v>
          </cell>
          <cell r="R155">
            <v>9</v>
          </cell>
          <cell r="S155">
            <v>7</v>
          </cell>
          <cell r="T155">
            <v>6</v>
          </cell>
          <cell r="U155">
            <v>9</v>
          </cell>
          <cell r="V155">
            <v>10</v>
          </cell>
          <cell r="W155">
            <v>9</v>
          </cell>
          <cell r="X155">
            <v>8.32</v>
          </cell>
          <cell r="Y155">
            <v>7</v>
          </cell>
          <cell r="Z155">
            <v>6</v>
          </cell>
          <cell r="AA155">
            <v>6</v>
          </cell>
          <cell r="AB155">
            <v>6</v>
          </cell>
          <cell r="AC155">
            <v>6</v>
          </cell>
        </row>
        <row r="156"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11</v>
          </cell>
          <cell r="M156">
            <v>15</v>
          </cell>
          <cell r="N156">
            <v>16.5</v>
          </cell>
          <cell r="O156">
            <v>17</v>
          </cell>
          <cell r="P156">
            <v>14</v>
          </cell>
          <cell r="Q156">
            <v>11</v>
          </cell>
          <cell r="R156">
            <v>9</v>
          </cell>
          <cell r="S156">
            <v>7</v>
          </cell>
          <cell r="T156">
            <v>6</v>
          </cell>
          <cell r="U156">
            <v>9</v>
          </cell>
          <cell r="V156">
            <v>10</v>
          </cell>
          <cell r="W156">
            <v>9</v>
          </cell>
          <cell r="X156">
            <v>8.32</v>
          </cell>
          <cell r="Y156">
            <v>7</v>
          </cell>
          <cell r="Z156">
            <v>6</v>
          </cell>
          <cell r="AA156">
            <v>6</v>
          </cell>
          <cell r="AB156">
            <v>5.16</v>
          </cell>
          <cell r="AC156">
            <v>5.16</v>
          </cell>
        </row>
        <row r="163"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1</v>
          </cell>
          <cell r="J163">
            <v>1</v>
          </cell>
          <cell r="K163">
            <v>1</v>
          </cell>
          <cell r="L163">
            <v>11</v>
          </cell>
          <cell r="M163">
            <v>15</v>
          </cell>
          <cell r="N163">
            <v>16.5</v>
          </cell>
          <cell r="O163">
            <v>17</v>
          </cell>
          <cell r="P163">
            <v>14</v>
          </cell>
          <cell r="Q163">
            <v>11</v>
          </cell>
          <cell r="R163">
            <v>9</v>
          </cell>
          <cell r="S163">
            <v>7</v>
          </cell>
          <cell r="T163">
            <v>6</v>
          </cell>
          <cell r="U163">
            <v>9</v>
          </cell>
          <cell r="V163">
            <v>10</v>
          </cell>
          <cell r="W163">
            <v>9</v>
          </cell>
          <cell r="X163">
            <v>8.32</v>
          </cell>
          <cell r="Y163">
            <v>7</v>
          </cell>
          <cell r="Z163">
            <v>6</v>
          </cell>
          <cell r="AA163">
            <v>6</v>
          </cell>
          <cell r="AB163">
            <v>6.8999999999999995</v>
          </cell>
          <cell r="AC163">
            <v>6.8999999999999995</v>
          </cell>
        </row>
        <row r="164"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1</v>
          </cell>
          <cell r="J164">
            <v>1</v>
          </cell>
          <cell r="K164">
            <v>1</v>
          </cell>
          <cell r="L164">
            <v>11</v>
          </cell>
          <cell r="M164">
            <v>15</v>
          </cell>
          <cell r="N164">
            <v>16.5</v>
          </cell>
          <cell r="O164">
            <v>17</v>
          </cell>
          <cell r="P164">
            <v>14</v>
          </cell>
          <cell r="Q164">
            <v>11</v>
          </cell>
          <cell r="R164">
            <v>9</v>
          </cell>
          <cell r="S164">
            <v>7</v>
          </cell>
          <cell r="T164">
            <v>6</v>
          </cell>
          <cell r="U164">
            <v>9</v>
          </cell>
          <cell r="V164">
            <v>10</v>
          </cell>
          <cell r="W164">
            <v>9</v>
          </cell>
          <cell r="X164">
            <v>8.32</v>
          </cell>
          <cell r="Y164">
            <v>7</v>
          </cell>
          <cell r="Z164">
            <v>6</v>
          </cell>
          <cell r="AA164">
            <v>6</v>
          </cell>
          <cell r="AB164">
            <v>6</v>
          </cell>
          <cell r="AC164">
            <v>6</v>
          </cell>
        </row>
        <row r="165"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1</v>
          </cell>
          <cell r="J165">
            <v>1</v>
          </cell>
          <cell r="K165">
            <v>1</v>
          </cell>
          <cell r="L165">
            <v>11</v>
          </cell>
          <cell r="M165">
            <v>15</v>
          </cell>
          <cell r="N165">
            <v>16.5</v>
          </cell>
          <cell r="O165">
            <v>17</v>
          </cell>
          <cell r="P165">
            <v>14</v>
          </cell>
          <cell r="Q165">
            <v>11</v>
          </cell>
          <cell r="R165">
            <v>9</v>
          </cell>
          <cell r="S165">
            <v>7</v>
          </cell>
          <cell r="T165">
            <v>6</v>
          </cell>
          <cell r="U165">
            <v>9</v>
          </cell>
          <cell r="V165">
            <v>10</v>
          </cell>
          <cell r="W165">
            <v>9</v>
          </cell>
          <cell r="X165">
            <v>8.32</v>
          </cell>
          <cell r="Y165">
            <v>7</v>
          </cell>
          <cell r="Z165">
            <v>6</v>
          </cell>
          <cell r="AA165">
            <v>6</v>
          </cell>
          <cell r="AB165">
            <v>5.0999999999999996</v>
          </cell>
          <cell r="AC165">
            <v>5.0999999999999996</v>
          </cell>
        </row>
        <row r="172"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11</v>
          </cell>
          <cell r="M172">
            <v>15</v>
          </cell>
          <cell r="N172">
            <v>16.5</v>
          </cell>
          <cell r="O172">
            <v>17</v>
          </cell>
          <cell r="P172">
            <v>14</v>
          </cell>
          <cell r="Q172">
            <v>11</v>
          </cell>
          <cell r="R172">
            <v>9</v>
          </cell>
          <cell r="S172">
            <v>7</v>
          </cell>
          <cell r="T172">
            <v>6</v>
          </cell>
          <cell r="U172">
            <v>9</v>
          </cell>
          <cell r="V172">
            <v>10</v>
          </cell>
          <cell r="W172">
            <v>9</v>
          </cell>
          <cell r="X172">
            <v>8.32</v>
          </cell>
          <cell r="Y172">
            <v>7</v>
          </cell>
          <cell r="Z172">
            <v>6</v>
          </cell>
          <cell r="AA172">
            <v>6</v>
          </cell>
          <cell r="AB172">
            <v>6.9599999999999991</v>
          </cell>
          <cell r="AC172">
            <v>6.9599999999999991</v>
          </cell>
        </row>
        <row r="173"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1</v>
          </cell>
          <cell r="J173">
            <v>1</v>
          </cell>
          <cell r="K173">
            <v>1</v>
          </cell>
          <cell r="L173">
            <v>11</v>
          </cell>
          <cell r="M173">
            <v>15</v>
          </cell>
          <cell r="N173">
            <v>16.5</v>
          </cell>
          <cell r="O173">
            <v>17</v>
          </cell>
          <cell r="P173">
            <v>14</v>
          </cell>
          <cell r="Q173">
            <v>11</v>
          </cell>
          <cell r="R173">
            <v>9</v>
          </cell>
          <cell r="S173">
            <v>7</v>
          </cell>
          <cell r="T173">
            <v>6</v>
          </cell>
          <cell r="U173">
            <v>9</v>
          </cell>
          <cell r="V173">
            <v>10</v>
          </cell>
          <cell r="W173">
            <v>9</v>
          </cell>
          <cell r="X173">
            <v>8.32</v>
          </cell>
          <cell r="Y173">
            <v>7</v>
          </cell>
          <cell r="Z173">
            <v>6</v>
          </cell>
          <cell r="AA173">
            <v>6</v>
          </cell>
          <cell r="AB173">
            <v>6</v>
          </cell>
          <cell r="AC173">
            <v>6</v>
          </cell>
        </row>
        <row r="174"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11</v>
          </cell>
          <cell r="M174">
            <v>15</v>
          </cell>
          <cell r="N174">
            <v>16.5</v>
          </cell>
          <cell r="O174">
            <v>17</v>
          </cell>
          <cell r="P174">
            <v>14</v>
          </cell>
          <cell r="Q174">
            <v>11</v>
          </cell>
          <cell r="R174">
            <v>9</v>
          </cell>
          <cell r="S174">
            <v>7</v>
          </cell>
          <cell r="T174">
            <v>6</v>
          </cell>
          <cell r="U174">
            <v>9</v>
          </cell>
          <cell r="V174">
            <v>10</v>
          </cell>
          <cell r="W174">
            <v>9</v>
          </cell>
          <cell r="X174">
            <v>8.32</v>
          </cell>
          <cell r="Y174">
            <v>7</v>
          </cell>
          <cell r="Z174">
            <v>6</v>
          </cell>
          <cell r="AA174">
            <v>6</v>
          </cell>
          <cell r="AB174">
            <v>5.04</v>
          </cell>
          <cell r="AC174">
            <v>5.04</v>
          </cell>
        </row>
        <row r="187"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1</v>
          </cell>
          <cell r="J187">
            <v>1</v>
          </cell>
          <cell r="K187">
            <v>1</v>
          </cell>
          <cell r="L187">
            <v>11</v>
          </cell>
          <cell r="M187">
            <v>15</v>
          </cell>
          <cell r="N187">
            <v>16.5</v>
          </cell>
          <cell r="O187">
            <v>17</v>
          </cell>
          <cell r="P187">
            <v>14</v>
          </cell>
          <cell r="Q187">
            <v>11</v>
          </cell>
          <cell r="R187">
            <v>9</v>
          </cell>
          <cell r="S187">
            <v>7</v>
          </cell>
          <cell r="T187">
            <v>6</v>
          </cell>
          <cell r="U187">
            <v>9</v>
          </cell>
          <cell r="V187">
            <v>10</v>
          </cell>
          <cell r="W187">
            <v>9</v>
          </cell>
          <cell r="X187">
            <v>8.32</v>
          </cell>
          <cell r="Y187">
            <v>7</v>
          </cell>
          <cell r="Z187">
            <v>6</v>
          </cell>
          <cell r="AA187">
            <v>6</v>
          </cell>
          <cell r="AB187">
            <v>6.6000000000000005</v>
          </cell>
          <cell r="AC187">
            <v>6.6000000000000005</v>
          </cell>
        </row>
        <row r="188"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11</v>
          </cell>
          <cell r="M188">
            <v>15</v>
          </cell>
          <cell r="N188">
            <v>16.5</v>
          </cell>
          <cell r="O188">
            <v>17</v>
          </cell>
          <cell r="P188">
            <v>14</v>
          </cell>
          <cell r="Q188">
            <v>11</v>
          </cell>
          <cell r="R188">
            <v>9</v>
          </cell>
          <cell r="S188">
            <v>7</v>
          </cell>
          <cell r="T188">
            <v>6</v>
          </cell>
          <cell r="U188">
            <v>9</v>
          </cell>
          <cell r="V188">
            <v>10</v>
          </cell>
          <cell r="W188">
            <v>9</v>
          </cell>
          <cell r="X188">
            <v>8.32</v>
          </cell>
          <cell r="Y188">
            <v>7</v>
          </cell>
          <cell r="Z188">
            <v>6</v>
          </cell>
          <cell r="AA188">
            <v>6</v>
          </cell>
          <cell r="AB188">
            <v>6</v>
          </cell>
          <cell r="AC188">
            <v>6</v>
          </cell>
        </row>
        <row r="189"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1</v>
          </cell>
          <cell r="K189">
            <v>1</v>
          </cell>
          <cell r="L189">
            <v>11</v>
          </cell>
          <cell r="M189">
            <v>15</v>
          </cell>
          <cell r="N189">
            <v>16.5</v>
          </cell>
          <cell r="O189">
            <v>17</v>
          </cell>
          <cell r="P189">
            <v>14</v>
          </cell>
          <cell r="Q189">
            <v>11</v>
          </cell>
          <cell r="R189">
            <v>9</v>
          </cell>
          <cell r="S189">
            <v>7</v>
          </cell>
          <cell r="T189">
            <v>6</v>
          </cell>
          <cell r="U189">
            <v>9</v>
          </cell>
          <cell r="V189">
            <v>10</v>
          </cell>
          <cell r="W189">
            <v>9</v>
          </cell>
          <cell r="X189">
            <v>8.32</v>
          </cell>
          <cell r="Y189">
            <v>7</v>
          </cell>
          <cell r="Z189">
            <v>6</v>
          </cell>
          <cell r="AA189">
            <v>6</v>
          </cell>
          <cell r="AB189">
            <v>5.4</v>
          </cell>
          <cell r="AC189">
            <v>5.4</v>
          </cell>
        </row>
        <row r="196"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11</v>
          </cell>
          <cell r="M196">
            <v>15</v>
          </cell>
          <cell r="N196">
            <v>16.5</v>
          </cell>
          <cell r="O196">
            <v>17</v>
          </cell>
          <cell r="P196">
            <v>14</v>
          </cell>
          <cell r="Q196">
            <v>11</v>
          </cell>
          <cell r="R196">
            <v>9</v>
          </cell>
          <cell r="S196">
            <v>7</v>
          </cell>
          <cell r="T196">
            <v>6</v>
          </cell>
          <cell r="U196">
            <v>9</v>
          </cell>
          <cell r="V196">
            <v>10</v>
          </cell>
          <cell r="W196">
            <v>9</v>
          </cell>
          <cell r="X196">
            <v>8.32</v>
          </cell>
          <cell r="Y196">
            <v>7</v>
          </cell>
          <cell r="Z196">
            <v>6</v>
          </cell>
          <cell r="AA196">
            <v>6</v>
          </cell>
          <cell r="AB196">
            <v>6.7200000000000006</v>
          </cell>
          <cell r="AC196">
            <v>6.7200000000000006</v>
          </cell>
        </row>
        <row r="197"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1</v>
          </cell>
          <cell r="J197">
            <v>1</v>
          </cell>
          <cell r="K197">
            <v>1</v>
          </cell>
          <cell r="L197">
            <v>11</v>
          </cell>
          <cell r="M197">
            <v>15</v>
          </cell>
          <cell r="N197">
            <v>16.5</v>
          </cell>
          <cell r="O197">
            <v>17</v>
          </cell>
          <cell r="P197">
            <v>14</v>
          </cell>
          <cell r="Q197">
            <v>11</v>
          </cell>
          <cell r="R197">
            <v>9</v>
          </cell>
          <cell r="S197">
            <v>7</v>
          </cell>
          <cell r="T197">
            <v>6</v>
          </cell>
          <cell r="U197">
            <v>9</v>
          </cell>
          <cell r="V197">
            <v>10</v>
          </cell>
          <cell r="W197">
            <v>9</v>
          </cell>
          <cell r="X197">
            <v>8.32</v>
          </cell>
          <cell r="Y197">
            <v>7</v>
          </cell>
          <cell r="Z197">
            <v>6</v>
          </cell>
          <cell r="AA197">
            <v>6</v>
          </cell>
          <cell r="AB197">
            <v>6</v>
          </cell>
          <cell r="AC197">
            <v>6</v>
          </cell>
        </row>
        <row r="198"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1</v>
          </cell>
          <cell r="J198">
            <v>1</v>
          </cell>
          <cell r="K198">
            <v>1</v>
          </cell>
          <cell r="L198">
            <v>11</v>
          </cell>
          <cell r="M198">
            <v>15</v>
          </cell>
          <cell r="N198">
            <v>16.5</v>
          </cell>
          <cell r="O198">
            <v>17</v>
          </cell>
          <cell r="P198">
            <v>14</v>
          </cell>
          <cell r="Q198">
            <v>11</v>
          </cell>
          <cell r="R198">
            <v>9</v>
          </cell>
          <cell r="S198">
            <v>7</v>
          </cell>
          <cell r="T198">
            <v>6</v>
          </cell>
          <cell r="U198">
            <v>9</v>
          </cell>
          <cell r="V198">
            <v>10</v>
          </cell>
          <cell r="W198">
            <v>9</v>
          </cell>
          <cell r="X198">
            <v>8.32</v>
          </cell>
          <cell r="Y198">
            <v>7</v>
          </cell>
          <cell r="Z198">
            <v>6</v>
          </cell>
          <cell r="AA198">
            <v>6</v>
          </cell>
          <cell r="AB198">
            <v>5.28</v>
          </cell>
          <cell r="AC198">
            <v>5.28</v>
          </cell>
        </row>
        <row r="205"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11</v>
          </cell>
          <cell r="M205">
            <v>15</v>
          </cell>
          <cell r="N205">
            <v>16.5</v>
          </cell>
          <cell r="O205">
            <v>17</v>
          </cell>
          <cell r="P205">
            <v>14</v>
          </cell>
          <cell r="Q205">
            <v>11</v>
          </cell>
          <cell r="R205">
            <v>9</v>
          </cell>
          <cell r="S205">
            <v>7</v>
          </cell>
          <cell r="T205">
            <v>6</v>
          </cell>
          <cell r="U205">
            <v>9</v>
          </cell>
          <cell r="V205">
            <v>10</v>
          </cell>
          <cell r="W205">
            <v>9</v>
          </cell>
          <cell r="X205">
            <v>8.32</v>
          </cell>
          <cell r="Y205">
            <v>7</v>
          </cell>
          <cell r="Z205">
            <v>6</v>
          </cell>
          <cell r="AA205">
            <v>6</v>
          </cell>
          <cell r="AB205">
            <v>6.7799999999999994</v>
          </cell>
          <cell r="AC205">
            <v>6.7799999999999994</v>
          </cell>
        </row>
        <row r="206"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1</v>
          </cell>
          <cell r="J206">
            <v>1</v>
          </cell>
          <cell r="K206">
            <v>1</v>
          </cell>
          <cell r="L206">
            <v>11</v>
          </cell>
          <cell r="M206">
            <v>15</v>
          </cell>
          <cell r="N206">
            <v>16.5</v>
          </cell>
          <cell r="O206">
            <v>17</v>
          </cell>
          <cell r="P206">
            <v>14</v>
          </cell>
          <cell r="Q206">
            <v>11</v>
          </cell>
          <cell r="R206">
            <v>9</v>
          </cell>
          <cell r="S206">
            <v>7</v>
          </cell>
          <cell r="T206">
            <v>6</v>
          </cell>
          <cell r="U206">
            <v>9</v>
          </cell>
          <cell r="V206">
            <v>10</v>
          </cell>
          <cell r="W206">
            <v>9</v>
          </cell>
          <cell r="X206">
            <v>8.32</v>
          </cell>
          <cell r="Y206">
            <v>7</v>
          </cell>
          <cell r="Z206">
            <v>6</v>
          </cell>
          <cell r="AA206">
            <v>6</v>
          </cell>
          <cell r="AB206">
            <v>6</v>
          </cell>
          <cell r="AC206">
            <v>6</v>
          </cell>
        </row>
        <row r="207"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11</v>
          </cell>
          <cell r="M207">
            <v>15</v>
          </cell>
          <cell r="N207">
            <v>16.5</v>
          </cell>
          <cell r="O207">
            <v>17</v>
          </cell>
          <cell r="P207">
            <v>14</v>
          </cell>
          <cell r="Q207">
            <v>11</v>
          </cell>
          <cell r="R207">
            <v>9</v>
          </cell>
          <cell r="S207">
            <v>7</v>
          </cell>
          <cell r="T207">
            <v>6</v>
          </cell>
          <cell r="U207">
            <v>9</v>
          </cell>
          <cell r="V207">
            <v>10</v>
          </cell>
          <cell r="W207">
            <v>9</v>
          </cell>
          <cell r="X207">
            <v>8.32</v>
          </cell>
          <cell r="Y207">
            <v>7</v>
          </cell>
          <cell r="Z207">
            <v>6</v>
          </cell>
          <cell r="AA207">
            <v>6</v>
          </cell>
          <cell r="AB207">
            <v>5.22</v>
          </cell>
          <cell r="AC207">
            <v>5.22</v>
          </cell>
        </row>
        <row r="214"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11</v>
          </cell>
          <cell r="M214">
            <v>15</v>
          </cell>
          <cell r="N214">
            <v>16.5</v>
          </cell>
          <cell r="O214">
            <v>17</v>
          </cell>
          <cell r="P214">
            <v>14</v>
          </cell>
          <cell r="Q214">
            <v>11</v>
          </cell>
          <cell r="R214">
            <v>9</v>
          </cell>
          <cell r="S214">
            <v>7</v>
          </cell>
          <cell r="T214">
            <v>6</v>
          </cell>
          <cell r="U214">
            <v>9</v>
          </cell>
          <cell r="V214">
            <v>10</v>
          </cell>
          <cell r="W214">
            <v>9</v>
          </cell>
          <cell r="X214">
            <v>8.32</v>
          </cell>
          <cell r="Y214">
            <v>7</v>
          </cell>
          <cell r="Z214">
            <v>6</v>
          </cell>
          <cell r="AA214">
            <v>6</v>
          </cell>
          <cell r="AB214">
            <v>6.8400000000000007</v>
          </cell>
          <cell r="AC214">
            <v>6.8400000000000007</v>
          </cell>
        </row>
        <row r="215"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1</v>
          </cell>
          <cell r="J215">
            <v>1</v>
          </cell>
          <cell r="K215">
            <v>1</v>
          </cell>
          <cell r="L215">
            <v>11</v>
          </cell>
          <cell r="M215">
            <v>15</v>
          </cell>
          <cell r="N215">
            <v>16.5</v>
          </cell>
          <cell r="O215">
            <v>17</v>
          </cell>
          <cell r="P215">
            <v>14</v>
          </cell>
          <cell r="Q215">
            <v>11</v>
          </cell>
          <cell r="R215">
            <v>9</v>
          </cell>
          <cell r="S215">
            <v>7</v>
          </cell>
          <cell r="T215">
            <v>6</v>
          </cell>
          <cell r="U215">
            <v>9</v>
          </cell>
          <cell r="V215">
            <v>10</v>
          </cell>
          <cell r="W215">
            <v>9</v>
          </cell>
          <cell r="X215">
            <v>8.32</v>
          </cell>
          <cell r="Y215">
            <v>7</v>
          </cell>
          <cell r="Z215">
            <v>6</v>
          </cell>
          <cell r="AA215">
            <v>6</v>
          </cell>
          <cell r="AB215">
            <v>6</v>
          </cell>
          <cell r="AC215">
            <v>6</v>
          </cell>
        </row>
        <row r="216"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1</v>
          </cell>
          <cell r="L216">
            <v>11</v>
          </cell>
          <cell r="M216">
            <v>15</v>
          </cell>
          <cell r="N216">
            <v>16.5</v>
          </cell>
          <cell r="O216">
            <v>17</v>
          </cell>
          <cell r="P216">
            <v>14</v>
          </cell>
          <cell r="Q216">
            <v>11</v>
          </cell>
          <cell r="R216">
            <v>9</v>
          </cell>
          <cell r="S216">
            <v>7</v>
          </cell>
          <cell r="T216">
            <v>6</v>
          </cell>
          <cell r="U216">
            <v>9</v>
          </cell>
          <cell r="V216">
            <v>10</v>
          </cell>
          <cell r="W216">
            <v>9</v>
          </cell>
          <cell r="X216">
            <v>8.32</v>
          </cell>
          <cell r="Y216">
            <v>7</v>
          </cell>
          <cell r="Z216">
            <v>6</v>
          </cell>
          <cell r="AA216">
            <v>6</v>
          </cell>
          <cell r="AB216">
            <v>5.16</v>
          </cell>
          <cell r="AC216">
            <v>5.16</v>
          </cell>
        </row>
        <row r="223"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1</v>
          </cell>
          <cell r="J223">
            <v>1</v>
          </cell>
          <cell r="K223">
            <v>1</v>
          </cell>
          <cell r="L223">
            <v>11</v>
          </cell>
          <cell r="M223">
            <v>15</v>
          </cell>
          <cell r="N223">
            <v>16.5</v>
          </cell>
          <cell r="O223">
            <v>17</v>
          </cell>
          <cell r="P223">
            <v>14</v>
          </cell>
          <cell r="Q223">
            <v>11</v>
          </cell>
          <cell r="R223">
            <v>9</v>
          </cell>
          <cell r="S223">
            <v>7</v>
          </cell>
          <cell r="T223">
            <v>6</v>
          </cell>
          <cell r="U223">
            <v>9</v>
          </cell>
          <cell r="V223">
            <v>10</v>
          </cell>
          <cell r="W223">
            <v>9</v>
          </cell>
          <cell r="X223">
            <v>8.32</v>
          </cell>
          <cell r="Y223">
            <v>7</v>
          </cell>
          <cell r="Z223">
            <v>6</v>
          </cell>
          <cell r="AA223">
            <v>6</v>
          </cell>
          <cell r="AB223">
            <v>6.8999999999999995</v>
          </cell>
          <cell r="AC223">
            <v>6.8999999999999995</v>
          </cell>
        </row>
        <row r="224"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11</v>
          </cell>
          <cell r="M224">
            <v>15</v>
          </cell>
          <cell r="N224">
            <v>16.5</v>
          </cell>
          <cell r="O224">
            <v>17</v>
          </cell>
          <cell r="P224">
            <v>14</v>
          </cell>
          <cell r="Q224">
            <v>11</v>
          </cell>
          <cell r="R224">
            <v>9</v>
          </cell>
          <cell r="S224">
            <v>7</v>
          </cell>
          <cell r="T224">
            <v>6</v>
          </cell>
          <cell r="U224">
            <v>9</v>
          </cell>
          <cell r="V224">
            <v>10</v>
          </cell>
          <cell r="W224">
            <v>9</v>
          </cell>
          <cell r="X224">
            <v>8.32</v>
          </cell>
          <cell r="Y224">
            <v>7</v>
          </cell>
          <cell r="Z224">
            <v>6</v>
          </cell>
          <cell r="AA224">
            <v>6</v>
          </cell>
          <cell r="AB224">
            <v>6</v>
          </cell>
          <cell r="AC224">
            <v>6</v>
          </cell>
        </row>
        <row r="225"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1</v>
          </cell>
          <cell r="J225">
            <v>1</v>
          </cell>
          <cell r="K225">
            <v>1</v>
          </cell>
          <cell r="L225">
            <v>11</v>
          </cell>
          <cell r="M225">
            <v>15</v>
          </cell>
          <cell r="N225">
            <v>16.5</v>
          </cell>
          <cell r="O225">
            <v>17</v>
          </cell>
          <cell r="P225">
            <v>14</v>
          </cell>
          <cell r="Q225">
            <v>11</v>
          </cell>
          <cell r="R225">
            <v>9</v>
          </cell>
          <cell r="S225">
            <v>7</v>
          </cell>
          <cell r="T225">
            <v>6</v>
          </cell>
          <cell r="U225">
            <v>9</v>
          </cell>
          <cell r="V225">
            <v>10</v>
          </cell>
          <cell r="W225">
            <v>9</v>
          </cell>
          <cell r="X225">
            <v>8.32</v>
          </cell>
          <cell r="Y225">
            <v>7</v>
          </cell>
          <cell r="Z225">
            <v>6</v>
          </cell>
          <cell r="AA225">
            <v>6</v>
          </cell>
          <cell r="AB225">
            <v>5.0999999999999996</v>
          </cell>
          <cell r="AC225">
            <v>5.0999999999999996</v>
          </cell>
        </row>
        <row r="232"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1</v>
          </cell>
          <cell r="J232">
            <v>1</v>
          </cell>
          <cell r="K232">
            <v>1</v>
          </cell>
          <cell r="L232">
            <v>11</v>
          </cell>
          <cell r="M232">
            <v>15</v>
          </cell>
          <cell r="N232">
            <v>16.5</v>
          </cell>
          <cell r="O232">
            <v>17</v>
          </cell>
          <cell r="P232">
            <v>14</v>
          </cell>
          <cell r="Q232">
            <v>11</v>
          </cell>
          <cell r="R232">
            <v>9</v>
          </cell>
          <cell r="S232">
            <v>7</v>
          </cell>
          <cell r="T232">
            <v>6</v>
          </cell>
          <cell r="U232">
            <v>9</v>
          </cell>
          <cell r="V232">
            <v>10</v>
          </cell>
          <cell r="W232">
            <v>9</v>
          </cell>
          <cell r="X232">
            <v>8.32</v>
          </cell>
          <cell r="Y232">
            <v>7</v>
          </cell>
          <cell r="Z232">
            <v>6</v>
          </cell>
          <cell r="AA232">
            <v>6</v>
          </cell>
          <cell r="AB232">
            <v>6.9599999999999991</v>
          </cell>
          <cell r="AC232">
            <v>6.9599999999999991</v>
          </cell>
        </row>
        <row r="233"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11</v>
          </cell>
          <cell r="M233">
            <v>15</v>
          </cell>
          <cell r="N233">
            <v>16.5</v>
          </cell>
          <cell r="O233">
            <v>17</v>
          </cell>
          <cell r="P233">
            <v>14</v>
          </cell>
          <cell r="Q233">
            <v>11</v>
          </cell>
          <cell r="R233">
            <v>9</v>
          </cell>
          <cell r="S233">
            <v>7</v>
          </cell>
          <cell r="T233">
            <v>6</v>
          </cell>
          <cell r="U233">
            <v>9</v>
          </cell>
          <cell r="V233">
            <v>10</v>
          </cell>
          <cell r="W233">
            <v>9</v>
          </cell>
          <cell r="X233">
            <v>8.32</v>
          </cell>
          <cell r="Y233">
            <v>7</v>
          </cell>
          <cell r="Z233">
            <v>6</v>
          </cell>
          <cell r="AA233">
            <v>6</v>
          </cell>
          <cell r="AB233">
            <v>6</v>
          </cell>
          <cell r="AC233">
            <v>6</v>
          </cell>
        </row>
        <row r="234"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11</v>
          </cell>
          <cell r="M234">
            <v>15</v>
          </cell>
          <cell r="N234">
            <v>16.5</v>
          </cell>
          <cell r="O234">
            <v>17</v>
          </cell>
          <cell r="P234">
            <v>14</v>
          </cell>
          <cell r="Q234">
            <v>11</v>
          </cell>
          <cell r="R234">
            <v>9</v>
          </cell>
          <cell r="S234">
            <v>7</v>
          </cell>
          <cell r="T234">
            <v>6</v>
          </cell>
          <cell r="U234">
            <v>9</v>
          </cell>
          <cell r="V234">
            <v>10</v>
          </cell>
          <cell r="W234">
            <v>9</v>
          </cell>
          <cell r="X234">
            <v>8.32</v>
          </cell>
          <cell r="Y234">
            <v>7</v>
          </cell>
          <cell r="Z234">
            <v>6</v>
          </cell>
          <cell r="AA234">
            <v>6</v>
          </cell>
          <cell r="AB234">
            <v>5.04</v>
          </cell>
          <cell r="AC234">
            <v>5.04</v>
          </cell>
        </row>
        <row r="241"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1</v>
          </cell>
          <cell r="J241">
            <v>1</v>
          </cell>
          <cell r="K241">
            <v>1</v>
          </cell>
          <cell r="L241">
            <v>11</v>
          </cell>
          <cell r="M241">
            <v>15</v>
          </cell>
          <cell r="N241">
            <v>16.5</v>
          </cell>
          <cell r="O241">
            <v>17</v>
          </cell>
          <cell r="P241">
            <v>14</v>
          </cell>
          <cell r="Q241">
            <v>11</v>
          </cell>
          <cell r="R241">
            <v>9</v>
          </cell>
          <cell r="S241">
            <v>7</v>
          </cell>
          <cell r="T241">
            <v>6</v>
          </cell>
          <cell r="U241">
            <v>9</v>
          </cell>
          <cell r="V241">
            <v>10</v>
          </cell>
          <cell r="W241">
            <v>9</v>
          </cell>
          <cell r="X241">
            <v>8.32</v>
          </cell>
          <cell r="Y241">
            <v>7</v>
          </cell>
          <cell r="Z241">
            <v>6</v>
          </cell>
          <cell r="AA241">
            <v>6</v>
          </cell>
          <cell r="AB241">
            <v>7.02</v>
          </cell>
          <cell r="AC241">
            <v>7.02</v>
          </cell>
        </row>
        <row r="242"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>
            <v>1</v>
          </cell>
          <cell r="L242">
            <v>11</v>
          </cell>
          <cell r="M242">
            <v>15</v>
          </cell>
          <cell r="N242">
            <v>16.5</v>
          </cell>
          <cell r="O242">
            <v>17</v>
          </cell>
          <cell r="P242">
            <v>14</v>
          </cell>
          <cell r="Q242">
            <v>11</v>
          </cell>
          <cell r="R242">
            <v>9</v>
          </cell>
          <cell r="S242">
            <v>7</v>
          </cell>
          <cell r="T242">
            <v>6</v>
          </cell>
          <cell r="U242">
            <v>9</v>
          </cell>
          <cell r="V242">
            <v>10</v>
          </cell>
          <cell r="W242">
            <v>9</v>
          </cell>
          <cell r="X242">
            <v>8.32</v>
          </cell>
          <cell r="Y242">
            <v>7</v>
          </cell>
          <cell r="Z242">
            <v>6</v>
          </cell>
          <cell r="AA242">
            <v>6</v>
          </cell>
          <cell r="AB242">
            <v>6</v>
          </cell>
          <cell r="AC242">
            <v>6</v>
          </cell>
        </row>
        <row r="243"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>
            <v>1</v>
          </cell>
          <cell r="L243">
            <v>11</v>
          </cell>
          <cell r="M243">
            <v>15</v>
          </cell>
          <cell r="N243">
            <v>16.5</v>
          </cell>
          <cell r="O243">
            <v>17</v>
          </cell>
          <cell r="P243">
            <v>14</v>
          </cell>
          <cell r="Q243">
            <v>11</v>
          </cell>
          <cell r="R243">
            <v>9</v>
          </cell>
          <cell r="S243">
            <v>7</v>
          </cell>
          <cell r="T243">
            <v>6</v>
          </cell>
          <cell r="U243">
            <v>9</v>
          </cell>
          <cell r="V243">
            <v>10</v>
          </cell>
          <cell r="W243">
            <v>9</v>
          </cell>
          <cell r="X243">
            <v>8.32</v>
          </cell>
          <cell r="Y243">
            <v>7</v>
          </cell>
          <cell r="Z243">
            <v>6</v>
          </cell>
          <cell r="AA243">
            <v>6</v>
          </cell>
          <cell r="AB243">
            <v>4.9799999999999995</v>
          </cell>
          <cell r="AC243">
            <v>4.9799999999999995</v>
          </cell>
        </row>
      </sheetData>
      <sheetData sheetId="10"/>
      <sheetData sheetId="11">
        <row r="6">
          <cell r="E6">
            <v>1.1679999999999999</v>
          </cell>
          <cell r="F6">
            <v>1.3700639999999999</v>
          </cell>
          <cell r="G6">
            <v>1.6002347519999998</v>
          </cell>
          <cell r="H6">
            <v>1.8642734860799999</v>
          </cell>
          <cell r="I6">
            <v>2.1625572438527998</v>
          </cell>
          <cell r="J6">
            <v>2.5258668608200701</v>
          </cell>
          <cell r="K6">
            <v>2.9628418277419422</v>
          </cell>
          <cell r="L6">
            <v>3.4902276730800077</v>
          </cell>
          <cell r="M6">
            <v>4.1289393372536489</v>
          </cell>
          <cell r="N6">
            <v>4.9051799326573349</v>
          </cell>
          <cell r="O6">
            <v>5.8518796596602005</v>
          </cell>
          <cell r="P6">
            <v>7.0105518322729203</v>
          </cell>
          <cell r="Q6">
            <v>8.4336938542243232</v>
          </cell>
          <cell r="R6">
            <v>10.187902175902982</v>
          </cell>
          <cell r="S6">
            <v>12.357925339370318</v>
          </cell>
          <cell r="T6">
            <v>15.051953063353047</v>
          </cell>
          <cell r="U6">
            <v>18.408538596480778</v>
          </cell>
          <cell r="V6">
            <v>22.605685396478396</v>
          </cell>
          <cell r="W6">
            <v>27.872810093857865</v>
          </cell>
          <cell r="X6">
            <v>34.506538896196034</v>
          </cell>
          <cell r="Y6">
            <v>42.891627847971677</v>
          </cell>
          <cell r="Z6">
            <v>53.528751554268652</v>
          </cell>
          <cell r="AA6">
            <v>67.071525697498629</v>
          </cell>
          <cell r="AB6">
            <v>84.37597932745328</v>
          </cell>
          <cell r="AC6">
            <v>106.56686189057348</v>
          </cell>
          <cell r="AD6">
            <v>135.12678087724717</v>
          </cell>
        </row>
        <row r="7">
          <cell r="E7">
            <v>1.329</v>
          </cell>
          <cell r="F7">
            <v>1.7090939999999999</v>
          </cell>
          <cell r="G7">
            <v>2.2713859259999998</v>
          </cell>
          <cell r="H7">
            <v>2.0079051585839998</v>
          </cell>
          <cell r="I7">
            <v>2.180585002222224</v>
          </cell>
          <cell r="J7">
            <v>2.9939432080511135</v>
          </cell>
          <cell r="K7">
            <v>4.1256537406944345</v>
          </cell>
          <cell r="L7">
            <v>5.7057791233804025</v>
          </cell>
          <cell r="M7">
            <v>7.9196214232519981</v>
          </cell>
          <cell r="N7">
            <v>11.032032642590034</v>
          </cell>
          <cell r="O7">
            <v>15.422781634340867</v>
          </cell>
          <cell r="P7">
            <v>21.638162632980237</v>
          </cell>
          <cell r="Q7">
            <v>30.466532987236171</v>
          </cell>
          <cell r="R7">
            <v>43.049211110964713</v>
          </cell>
          <cell r="S7">
            <v>61.04378135534796</v>
          </cell>
          <cell r="T7">
            <v>86.865300868660157</v>
          </cell>
          <cell r="U7">
            <v>124.0436496404467</v>
          </cell>
          <cell r="V7">
            <v>177.75454993476012</v>
          </cell>
          <cell r="W7">
            <v>255.61104280618505</v>
          </cell>
          <cell r="X7">
            <v>368.84673476932505</v>
          </cell>
          <cell r="Y7">
            <v>534.09007194598269</v>
          </cell>
          <cell r="Z7">
            <v>776.03287453751273</v>
          </cell>
          <cell r="AA7">
            <v>1131.4559310756936</v>
          </cell>
          <cell r="AB7">
            <v>1655.3200271637397</v>
          </cell>
          <cell r="AC7">
            <v>2430.0097998763699</v>
          </cell>
          <cell r="AD7">
            <v>3579.4044352178926</v>
          </cell>
        </row>
        <row r="8">
          <cell r="E8">
            <v>1.109</v>
          </cell>
          <cell r="F8">
            <v>1.524875</v>
          </cell>
          <cell r="G8">
            <v>1.691086375</v>
          </cell>
          <cell r="H8">
            <v>1.9836443178750001</v>
          </cell>
          <cell r="I8">
            <v>2.9834010540840001</v>
          </cell>
          <cell r="J8">
            <v>3.2369901436811399</v>
          </cell>
          <cell r="K8">
            <v>3.5283192566124426</v>
          </cell>
          <cell r="L8">
            <v>3.8635095859906246</v>
          </cell>
          <cell r="M8">
            <v>4.2498605445896871</v>
          </cell>
          <cell r="N8">
            <v>4.6960959017716037</v>
          </cell>
          <cell r="O8">
            <v>5.2126664509664806</v>
          </cell>
          <cell r="P8">
            <v>5.8121230928276262</v>
          </cell>
          <cell r="Q8">
            <v>6.5095778639669417</v>
          </cell>
          <cell r="R8">
            <v>7.3232750969628091</v>
          </cell>
          <cell r="S8">
            <v>8.2753008595679738</v>
          </cell>
          <cell r="T8">
            <v>9.3924664756096501</v>
          </cell>
          <cell r="U8">
            <v>10.707411782195003</v>
          </cell>
          <cell r="V8">
            <v>12.259986490613278</v>
          </cell>
          <cell r="W8">
            <v>14.098984464205268</v>
          </cell>
          <cell r="X8">
            <v>16.284327056157085</v>
          </cell>
          <cell r="Y8">
            <v>18.889819385142218</v>
          </cell>
          <cell r="Z8">
            <v>22.006639583690685</v>
          </cell>
          <cell r="AA8">
            <v>25.747768312918101</v>
          </cell>
          <cell r="AB8">
            <v>30.253627767678768</v>
          </cell>
          <cell r="AC8">
            <v>35.699280765860948</v>
          </cell>
          <cell r="AD8">
            <v>42.303647707545224</v>
          </cell>
        </row>
        <row r="9">
          <cell r="E9">
            <v>1.032</v>
          </cell>
          <cell r="F9">
            <v>1.2064080000000001</v>
          </cell>
          <cell r="G9">
            <v>1.2450130560000001</v>
          </cell>
          <cell r="H9">
            <v>1.476585484416</v>
          </cell>
          <cell r="I9">
            <v>1.743847457095296</v>
          </cell>
          <cell r="J9">
            <v>1.9949614909170188</v>
          </cell>
          <cell r="K9">
            <v>2.2922107530636548</v>
          </cell>
          <cell r="L9">
            <v>2.6452112090354576</v>
          </cell>
          <cell r="M9">
            <v>3.0657997912720956</v>
          </cell>
          <cell r="N9">
            <v>3.568590957040719</v>
          </cell>
          <cell r="O9">
            <v>4.1716828287806011</v>
          </cell>
          <cell r="P9">
            <v>4.8975556409884256</v>
          </cell>
          <cell r="Q9">
            <v>5.7742181007253537</v>
          </cell>
          <cell r="R9">
            <v>6.8366742312588187</v>
          </cell>
          <cell r="S9">
            <v>8.1288056609667354</v>
          </cell>
          <cell r="T9">
            <v>9.7057939591942812</v>
          </cell>
          <cell r="U9">
            <v>11.637246957073943</v>
          </cell>
          <cell r="V9">
            <v>14.011245336317026</v>
          </cell>
          <cell r="W9">
            <v>16.939595611607285</v>
          </cell>
          <cell r="X9">
            <v>20.564669072491242</v>
          </cell>
          <cell r="Y9">
            <v>25.068331599366825</v>
          </cell>
          <cell r="Z9">
            <v>30.683637877624992</v>
          </cell>
          <cell r="AA9">
            <v>37.71019095160112</v>
          </cell>
          <cell r="AB9">
            <v>46.534375634275783</v>
          </cell>
          <cell r="AC9">
            <v>57.656091410867688</v>
          </cell>
          <cell r="AD9">
            <v>71.72417771511941</v>
          </cell>
        </row>
        <row r="10">
          <cell r="E10">
            <v>1.032</v>
          </cell>
          <cell r="F10">
            <v>1.2064080000000001</v>
          </cell>
          <cell r="G10">
            <v>1.2450130560000001</v>
          </cell>
          <cell r="H10">
            <v>1.476585484416</v>
          </cell>
          <cell r="I10">
            <v>1.743847457095296</v>
          </cell>
          <cell r="J10">
            <v>1.9949614909170188</v>
          </cell>
          <cell r="K10">
            <v>2.2922107530636548</v>
          </cell>
          <cell r="L10">
            <v>2.6452112090354576</v>
          </cell>
          <cell r="M10">
            <v>3.0657997912720956</v>
          </cell>
          <cell r="N10">
            <v>3.568590957040719</v>
          </cell>
          <cell r="O10">
            <v>4.1716828287806011</v>
          </cell>
          <cell r="P10">
            <v>4.8975556409884256</v>
          </cell>
          <cell r="Q10">
            <v>5.7742181007253537</v>
          </cell>
          <cell r="R10">
            <v>6.8366742312588187</v>
          </cell>
          <cell r="S10">
            <v>8.1288056609667354</v>
          </cell>
          <cell r="T10">
            <v>9.7057939591942812</v>
          </cell>
          <cell r="U10">
            <v>11.637246957073943</v>
          </cell>
          <cell r="V10">
            <v>14.011245336317026</v>
          </cell>
          <cell r="W10">
            <v>16.939595611607285</v>
          </cell>
          <cell r="X10">
            <v>20.564669072491242</v>
          </cell>
          <cell r="Y10">
            <v>25.068331599366825</v>
          </cell>
          <cell r="Z10">
            <v>30.683637877624992</v>
          </cell>
          <cell r="AA10">
            <v>37.71019095160112</v>
          </cell>
          <cell r="AB10">
            <v>46.534375634275783</v>
          </cell>
          <cell r="AC10">
            <v>57.656091410867688</v>
          </cell>
          <cell r="AD10">
            <v>71.72417771511941</v>
          </cell>
        </row>
        <row r="11">
          <cell r="E11">
            <v>1.282</v>
          </cell>
          <cell r="F11">
            <v>1.33328</v>
          </cell>
          <cell r="G11">
            <v>1.7092649600000001</v>
          </cell>
          <cell r="H11">
            <v>1.81011159264</v>
          </cell>
          <cell r="I11">
            <v>2.2916012762822402</v>
          </cell>
          <cell r="J11">
            <v>2.3305584979790379</v>
          </cell>
          <cell r="K11">
            <v>2.3818307849345768</v>
          </cell>
          <cell r="L11">
            <v>2.4461402161278101</v>
          </cell>
          <cell r="M11">
            <v>2.5244167030439</v>
          </cell>
          <cell r="N11">
            <v>2.617820121056524</v>
          </cell>
          <cell r="O11">
            <v>2.7277685661408979</v>
          </cell>
          <cell r="P11">
            <v>2.8559736887495197</v>
          </cell>
          <cell r="Q11">
            <v>3.0044843205644951</v>
          </cell>
          <cell r="R11">
            <v>3.1757399268366711</v>
          </cell>
          <cell r="S11">
            <v>3.3726358023005449</v>
          </cell>
          <cell r="T11">
            <v>3.5986024010546811</v>
          </cell>
          <cell r="U11">
            <v>3.8577017739306183</v>
          </cell>
          <cell r="V11">
            <v>4.154744810523276</v>
          </cell>
          <cell r="W11">
            <v>4.495433884986185</v>
          </cell>
          <cell r="X11">
            <v>4.8865366329799826</v>
          </cell>
          <cell r="Y11">
            <v>5.3360980032141416</v>
          </cell>
          <cell r="Z11">
            <v>5.8536995095259137</v>
          </cell>
          <cell r="AA11">
            <v>6.450776859497557</v>
          </cell>
          <cell r="AB11">
            <v>7.1410099834637952</v>
          </cell>
          <cell r="AC11">
            <v>7.9408031016117411</v>
          </cell>
          <cell r="AD11">
            <v>8.8698770645003151</v>
          </cell>
        </row>
        <row r="12">
          <cell r="E12">
            <v>1.077</v>
          </cell>
          <cell r="F12">
            <v>1.5734969999999999</v>
          </cell>
          <cell r="G12">
            <v>1.6946562689999998</v>
          </cell>
          <cell r="H12">
            <v>2.0522287417589999</v>
          </cell>
          <cell r="I12">
            <v>2.5406591822976421</v>
          </cell>
          <cell r="J12">
            <v>2.6880174148709055</v>
          </cell>
          <cell r="K12">
            <v>2.8573625120077724</v>
          </cell>
          <cell r="L12">
            <v>3.0516631628243012</v>
          </cell>
          <cell r="M12">
            <v>3.274434573710475</v>
          </cell>
          <cell r="N12">
            <v>3.5298404704598925</v>
          </cell>
          <cell r="O12">
            <v>3.8228172295080634</v>
          </cell>
          <cell r="P12">
            <v>4.1592251457047729</v>
          </cell>
          <cell r="Q12">
            <v>4.5460330842553169</v>
          </cell>
          <cell r="R12">
            <v>4.9915443265123383</v>
          </cell>
          <cell r="S12">
            <v>5.5056733921431089</v>
          </cell>
          <cell r="T12">
            <v>6.1002861184945649</v>
          </cell>
          <cell r="U12">
            <v>6.7896184498844505</v>
          </cell>
          <cell r="V12">
            <v>7.5907934269708166</v>
          </cell>
          <cell r="W12">
            <v>8.5244610184882266</v>
          </cell>
          <cell r="X12">
            <v>9.6155920288547208</v>
          </cell>
          <cell r="Y12">
            <v>10.894465768692399</v>
          </cell>
          <cell r="Z12">
            <v>12.397902044771948</v>
          </cell>
          <cell r="AA12">
            <v>14.170802037174337</v>
          </cell>
          <cell r="AB12">
            <v>16.26808073867614</v>
          </cell>
          <cell r="AC12">
            <v>18.757097091693591</v>
          </cell>
          <cell r="AD12">
            <v>21.720718432181176</v>
          </cell>
        </row>
        <row r="22">
          <cell r="E22">
            <v>1.1679999999999999</v>
          </cell>
          <cell r="F22">
            <v>1.3700639999999999</v>
          </cell>
          <cell r="G22">
            <v>1.6002347519999998</v>
          </cell>
          <cell r="H22">
            <v>1.8642734860799999</v>
          </cell>
          <cell r="I22">
            <v>2.1625572438527998</v>
          </cell>
          <cell r="J22">
            <v>2.5258668608200701</v>
          </cell>
          <cell r="K22">
            <v>2.9628418277419422</v>
          </cell>
          <cell r="L22">
            <v>3.4902276730800077</v>
          </cell>
          <cell r="M22">
            <v>4.1289393372536489</v>
          </cell>
          <cell r="N22">
            <v>4.9051799326573349</v>
          </cell>
          <cell r="O22">
            <v>5.8518796596602005</v>
          </cell>
          <cell r="P22">
            <v>7.0105518322729203</v>
          </cell>
          <cell r="Q22">
            <v>8.4336938542243232</v>
          </cell>
          <cell r="R22">
            <v>10.187902175902982</v>
          </cell>
          <cell r="S22">
            <v>12.357925339370318</v>
          </cell>
          <cell r="T22">
            <v>15.051953063353047</v>
          </cell>
          <cell r="U22">
            <v>18.408538596480778</v>
          </cell>
          <cell r="V22">
            <v>22.605685396478396</v>
          </cell>
          <cell r="W22">
            <v>27.872810093857865</v>
          </cell>
          <cell r="X22">
            <v>34.506538896196034</v>
          </cell>
          <cell r="Y22">
            <v>42.891627847971677</v>
          </cell>
          <cell r="Z22">
            <v>53.528751554268652</v>
          </cell>
          <cell r="AA22">
            <v>67.071525697498629</v>
          </cell>
          <cell r="AB22">
            <v>84.37597932745328</v>
          </cell>
          <cell r="AC22">
            <v>106.56686189057348</v>
          </cell>
          <cell r="AD22">
            <v>135.12678087724717</v>
          </cell>
        </row>
      </sheetData>
      <sheetData sheetId="12"/>
      <sheetData sheetId="13">
        <row r="7">
          <cell r="D7">
            <v>2714500</v>
          </cell>
          <cell r="E7">
            <v>3092799.9999999995</v>
          </cell>
          <cell r="F7">
            <v>3727800</v>
          </cell>
          <cell r="G7">
            <v>4295700</v>
          </cell>
          <cell r="H7">
            <v>5317700</v>
          </cell>
          <cell r="I7">
            <v>6036900</v>
          </cell>
          <cell r="J7">
            <v>6891300</v>
          </cell>
          <cell r="K7">
            <v>7730500</v>
          </cell>
          <cell r="L7">
            <v>8464897.5</v>
          </cell>
          <cell r="M7">
            <v>9311387.25</v>
          </cell>
          <cell r="N7">
            <v>10242525.975</v>
          </cell>
          <cell r="O7">
            <v>11266778.5725</v>
          </cell>
          <cell r="P7">
            <v>12393456.429749999</v>
          </cell>
          <cell r="Q7">
            <v>13632802.072725</v>
          </cell>
          <cell r="R7">
            <v>14996082.2799975</v>
          </cell>
          <cell r="S7">
            <v>16495690.50799725</v>
          </cell>
          <cell r="T7">
            <v>18145259.558796976</v>
          </cell>
          <cell r="U7">
            <v>19959785.514676675</v>
          </cell>
          <cell r="V7">
            <v>21955764.066144343</v>
          </cell>
          <cell r="W7">
            <v>24151340.472758777</v>
          </cell>
          <cell r="X7">
            <v>26566474.520034656</v>
          </cell>
          <cell r="Y7">
            <v>29223121.97203812</v>
          </cell>
          <cell r="Z7">
            <v>32145434.169241931</v>
          </cell>
          <cell r="AA7">
            <v>35359977.586166129</v>
          </cell>
          <cell r="AB7">
            <v>38895975.34478274</v>
          </cell>
          <cell r="AC7">
            <v>42785572.879261017</v>
          </cell>
        </row>
        <row r="8">
          <cell r="D8">
            <v>198000</v>
          </cell>
          <cell r="E8">
            <v>200000</v>
          </cell>
          <cell r="F8">
            <v>201700</v>
          </cell>
          <cell r="G8">
            <v>212300</v>
          </cell>
          <cell r="H8">
            <v>254100</v>
          </cell>
          <cell r="I8">
            <v>284100</v>
          </cell>
          <cell r="J8">
            <v>312100</v>
          </cell>
          <cell r="K8">
            <v>359600</v>
          </cell>
          <cell r="L8">
            <v>393762</v>
          </cell>
          <cell r="M8">
            <v>433138.2</v>
          </cell>
          <cell r="N8">
            <v>476452.02</v>
          </cell>
          <cell r="O8">
            <v>524097.22200000001</v>
          </cell>
          <cell r="P8">
            <v>576506.94420000003</v>
          </cell>
          <cell r="Q8">
            <v>634157.63861999998</v>
          </cell>
          <cell r="R8">
            <v>697573.40248199995</v>
          </cell>
          <cell r="S8">
            <v>767330.74273019994</v>
          </cell>
          <cell r="T8">
            <v>844063.81700321997</v>
          </cell>
          <cell r="U8">
            <v>928470.198703542</v>
          </cell>
          <cell r="V8">
            <v>1021317.2185738962</v>
          </cell>
          <cell r="W8">
            <v>1123448.9404312859</v>
          </cell>
          <cell r="X8">
            <v>1235793.8344744146</v>
          </cell>
          <cell r="Y8">
            <v>1359373.2179218561</v>
          </cell>
          <cell r="Z8">
            <v>1495310.5397140416</v>
          </cell>
          <cell r="AA8">
            <v>1644841.5936854458</v>
          </cell>
          <cell r="AB8">
            <v>1809325.7530539904</v>
          </cell>
          <cell r="AC8">
            <v>1990258.3283593894</v>
          </cell>
        </row>
        <row r="9">
          <cell r="D9">
            <v>596000</v>
          </cell>
          <cell r="E9">
            <v>778300</v>
          </cell>
          <cell r="F9">
            <v>918800</v>
          </cell>
          <cell r="G9">
            <v>1089600.0000000002</v>
          </cell>
          <cell r="H9">
            <v>1211400</v>
          </cell>
          <cell r="I9">
            <v>1213800.0000000002</v>
          </cell>
          <cell r="J9">
            <v>1250800.0000000002</v>
          </cell>
          <cell r="K9">
            <v>1448699.9999999998</v>
          </cell>
          <cell r="L9">
            <v>1586326.4999999998</v>
          </cell>
          <cell r="M9">
            <v>1744959.1499999997</v>
          </cell>
          <cell r="N9">
            <v>1919455.0649999997</v>
          </cell>
          <cell r="O9">
            <v>2111400.5714999996</v>
          </cell>
          <cell r="P9">
            <v>2322540.6286499994</v>
          </cell>
          <cell r="Q9">
            <v>2554794.6915149991</v>
          </cell>
          <cell r="R9">
            <v>2810274.1606664993</v>
          </cell>
          <cell r="S9">
            <v>3091301.5767331491</v>
          </cell>
          <cell r="T9">
            <v>3400431.7344064638</v>
          </cell>
          <cell r="U9">
            <v>3740474.9078471102</v>
          </cell>
          <cell r="V9">
            <v>4114522.3986318214</v>
          </cell>
          <cell r="W9">
            <v>4525974.6384950038</v>
          </cell>
          <cell r="X9">
            <v>4978572.1023445046</v>
          </cell>
          <cell r="Y9">
            <v>5476429.3125789547</v>
          </cell>
          <cell r="Z9">
            <v>6024072.2438368499</v>
          </cell>
          <cell r="AA9">
            <v>6626479.4682205347</v>
          </cell>
          <cell r="AB9">
            <v>7289127.4150425885</v>
          </cell>
          <cell r="AC9">
            <v>8018040.1565468479</v>
          </cell>
        </row>
        <row r="10">
          <cell r="D10">
            <v>102030</v>
          </cell>
          <cell r="E10">
            <v>192760</v>
          </cell>
          <cell r="F10">
            <v>299700</v>
          </cell>
          <cell r="G10">
            <v>403000</v>
          </cell>
          <cell r="H10">
            <v>478050</v>
          </cell>
          <cell r="I10">
            <v>601650</v>
          </cell>
          <cell r="J10">
            <v>684000</v>
          </cell>
          <cell r="K10">
            <v>824900</v>
          </cell>
          <cell r="L10">
            <v>903265.5</v>
          </cell>
          <cell r="M10">
            <v>993592.05</v>
          </cell>
          <cell r="N10">
            <v>1092951.2550000001</v>
          </cell>
          <cell r="O10">
            <v>1202246.3805000002</v>
          </cell>
          <cell r="P10">
            <v>1322471.0185500002</v>
          </cell>
          <cell r="Q10">
            <v>1454718.1204050002</v>
          </cell>
          <cell r="R10">
            <v>1600189.9324455003</v>
          </cell>
          <cell r="S10">
            <v>1760208.9256900502</v>
          </cell>
          <cell r="T10">
            <v>1936229.8182590553</v>
          </cell>
          <cell r="U10">
            <v>2129852.8000849606</v>
          </cell>
          <cell r="V10">
            <v>2342838.0800934569</v>
          </cell>
          <cell r="W10">
            <v>2577121.8881028024</v>
          </cell>
          <cell r="X10">
            <v>2834834.0769130825</v>
          </cell>
          <cell r="Y10">
            <v>3118317.4846043908</v>
          </cell>
          <cell r="Z10">
            <v>3430149.2330648298</v>
          </cell>
          <cell r="AA10">
            <v>3773164.1563713127</v>
          </cell>
          <cell r="AB10">
            <v>4150480.572008444</v>
          </cell>
          <cell r="AC10">
            <v>4565528.6292092884</v>
          </cell>
        </row>
        <row r="11">
          <cell r="D11">
            <v>238070</v>
          </cell>
          <cell r="E11">
            <v>289140</v>
          </cell>
          <cell r="F11">
            <v>299700</v>
          </cell>
          <cell r="G11">
            <v>403000</v>
          </cell>
          <cell r="H11">
            <v>478050</v>
          </cell>
          <cell r="I11">
            <v>601650</v>
          </cell>
          <cell r="J11">
            <v>684000</v>
          </cell>
          <cell r="K11">
            <v>824900</v>
          </cell>
          <cell r="L11">
            <v>903265.5</v>
          </cell>
          <cell r="M11">
            <v>993592.05</v>
          </cell>
          <cell r="N11">
            <v>1092951.2550000001</v>
          </cell>
          <cell r="O11">
            <v>1202246.3805000002</v>
          </cell>
          <cell r="P11">
            <v>1322471.0185500002</v>
          </cell>
          <cell r="Q11">
            <v>1454718.1204050002</v>
          </cell>
          <cell r="R11">
            <v>1600189.9324455003</v>
          </cell>
          <cell r="S11">
            <v>1760208.9256900502</v>
          </cell>
          <cell r="T11">
            <v>1936229.8182590553</v>
          </cell>
          <cell r="U11">
            <v>2129852.8000849606</v>
          </cell>
          <cell r="V11">
            <v>2342838.0800934569</v>
          </cell>
          <cell r="W11">
            <v>2577121.8881028024</v>
          </cell>
          <cell r="X11">
            <v>2834834.0769130825</v>
          </cell>
          <cell r="Y11">
            <v>3118317.4846043908</v>
          </cell>
          <cell r="Z11">
            <v>3430149.2330648298</v>
          </cell>
          <cell r="AA11">
            <v>3773164.1563713127</v>
          </cell>
          <cell r="AB11">
            <v>4150480.572008444</v>
          </cell>
          <cell r="AC11">
            <v>4565528.6292092884</v>
          </cell>
        </row>
        <row r="12">
          <cell r="D12">
            <v>71800</v>
          </cell>
          <cell r="E12">
            <v>83600</v>
          </cell>
          <cell r="F12">
            <v>120700</v>
          </cell>
          <cell r="G12">
            <v>136300</v>
          </cell>
          <cell r="H12">
            <v>150900</v>
          </cell>
          <cell r="I12">
            <v>229400</v>
          </cell>
          <cell r="J12">
            <v>252500</v>
          </cell>
          <cell r="K12">
            <v>277200</v>
          </cell>
          <cell r="L12">
            <v>303534</v>
          </cell>
          <cell r="M12">
            <v>333887.40000000002</v>
          </cell>
          <cell r="N12">
            <v>367276.14</v>
          </cell>
          <cell r="O12">
            <v>404003.75400000002</v>
          </cell>
          <cell r="P12">
            <v>444404.12940000003</v>
          </cell>
          <cell r="Q12">
            <v>488844.54234000004</v>
          </cell>
          <cell r="R12">
            <v>537728.99657399999</v>
          </cell>
          <cell r="S12">
            <v>591501.89623139997</v>
          </cell>
          <cell r="T12">
            <v>650652.08585454</v>
          </cell>
          <cell r="U12">
            <v>715717.29443999403</v>
          </cell>
          <cell r="V12">
            <v>787289.02388399339</v>
          </cell>
          <cell r="W12">
            <v>866017.92627239274</v>
          </cell>
          <cell r="X12">
            <v>952619.71889963199</v>
          </cell>
          <cell r="Y12">
            <v>1047881.6907895952</v>
          </cell>
          <cell r="Z12">
            <v>1152669.8598685549</v>
          </cell>
          <cell r="AA12">
            <v>1267936.8458554104</v>
          </cell>
          <cell r="AB12">
            <v>1394730.5304409515</v>
          </cell>
          <cell r="AC12">
            <v>1534203.5834850466</v>
          </cell>
        </row>
        <row r="13">
          <cell r="D13">
            <v>14800</v>
          </cell>
          <cell r="E13">
            <v>16000</v>
          </cell>
          <cell r="F13">
            <v>23000</v>
          </cell>
          <cell r="G13">
            <v>27100</v>
          </cell>
          <cell r="H13">
            <v>32100</v>
          </cell>
          <cell r="I13">
            <v>35800</v>
          </cell>
          <cell r="J13">
            <v>62000</v>
          </cell>
          <cell r="K13">
            <v>67400</v>
          </cell>
          <cell r="L13">
            <v>73803</v>
          </cell>
          <cell r="M13">
            <v>81183.3</v>
          </cell>
          <cell r="N13">
            <v>89301.63</v>
          </cell>
          <cell r="O13">
            <v>98231.793000000005</v>
          </cell>
          <cell r="P13">
            <v>108054.97230000001</v>
          </cell>
          <cell r="Q13">
            <v>118860.46953</v>
          </cell>
          <cell r="R13">
            <v>130746.516483</v>
          </cell>
          <cell r="S13">
            <v>143821.16813130002</v>
          </cell>
          <cell r="T13">
            <v>158203.28494443002</v>
          </cell>
          <cell r="U13">
            <v>174023.61343887303</v>
          </cell>
          <cell r="V13">
            <v>191425.97478276034</v>
          </cell>
          <cell r="W13">
            <v>210568.57226103637</v>
          </cell>
          <cell r="X13">
            <v>231625.42948714001</v>
          </cell>
          <cell r="Y13">
            <v>254787.972435854</v>
          </cell>
          <cell r="Z13">
            <v>280266.76967943937</v>
          </cell>
          <cell r="AA13">
            <v>308293.44664738333</v>
          </cell>
          <cell r="AB13">
            <v>339122.79131212167</v>
          </cell>
          <cell r="AC13">
            <v>373035.07044333383</v>
          </cell>
        </row>
        <row r="20">
          <cell r="D20">
            <v>92857</v>
          </cell>
          <cell r="E20">
            <v>133673</v>
          </cell>
          <cell r="F20">
            <v>175310</v>
          </cell>
          <cell r="G20">
            <v>194042</v>
          </cell>
          <cell r="H20">
            <v>189539</v>
          </cell>
          <cell r="I20">
            <v>198002</v>
          </cell>
          <cell r="J20">
            <v>174200</v>
          </cell>
          <cell r="K20">
            <v>215500</v>
          </cell>
          <cell r="L20">
            <v>178300</v>
          </cell>
          <cell r="M20">
            <v>126081</v>
          </cell>
          <cell r="N20">
            <v>167371</v>
          </cell>
          <cell r="O20">
            <v>182106</v>
          </cell>
          <cell r="P20">
            <v>189987</v>
          </cell>
          <cell r="Q20">
            <v>258193</v>
          </cell>
          <cell r="R20">
            <v>376729</v>
          </cell>
          <cell r="S20">
            <v>428186</v>
          </cell>
          <cell r="T20">
            <v>355296</v>
          </cell>
          <cell r="U20">
            <v>280431</v>
          </cell>
          <cell r="V20">
            <v>235016</v>
          </cell>
          <cell r="W20">
            <v>225021</v>
          </cell>
          <cell r="X20">
            <v>225908</v>
          </cell>
          <cell r="Y20">
            <v>292201</v>
          </cell>
          <cell r="Z20">
            <v>369542</v>
          </cell>
          <cell r="AA20">
            <v>486989</v>
          </cell>
          <cell r="AB20">
            <v>537139</v>
          </cell>
          <cell r="AC20">
            <v>351779</v>
          </cell>
        </row>
        <row r="21">
          <cell r="D21">
            <v>50</v>
          </cell>
          <cell r="E21">
            <v>3000</v>
          </cell>
          <cell r="F21">
            <v>2000</v>
          </cell>
          <cell r="G21">
            <v>1000</v>
          </cell>
          <cell r="H21">
            <v>800</v>
          </cell>
          <cell r="I21">
            <v>800</v>
          </cell>
          <cell r="J21">
            <v>1200</v>
          </cell>
          <cell r="K21">
            <v>2200</v>
          </cell>
          <cell r="L21">
            <v>3200</v>
          </cell>
          <cell r="M21">
            <v>1029</v>
          </cell>
          <cell r="N21">
            <v>1211</v>
          </cell>
          <cell r="O21">
            <v>1190</v>
          </cell>
          <cell r="P21">
            <v>1149</v>
          </cell>
          <cell r="Q21">
            <v>245</v>
          </cell>
          <cell r="R21">
            <v>795</v>
          </cell>
          <cell r="S21">
            <v>1189</v>
          </cell>
          <cell r="T21">
            <v>839</v>
          </cell>
          <cell r="U21">
            <v>693</v>
          </cell>
          <cell r="V21">
            <v>487</v>
          </cell>
          <cell r="W21">
            <v>635</v>
          </cell>
          <cell r="X21">
            <v>858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D22">
            <v>350</v>
          </cell>
          <cell r="E22">
            <v>1850</v>
          </cell>
          <cell r="F22">
            <v>1847</v>
          </cell>
          <cell r="G22">
            <v>440</v>
          </cell>
          <cell r="H22">
            <v>1822</v>
          </cell>
          <cell r="I22">
            <v>1200</v>
          </cell>
          <cell r="J22">
            <v>1000</v>
          </cell>
          <cell r="K22">
            <v>700</v>
          </cell>
          <cell r="L22">
            <v>1000</v>
          </cell>
          <cell r="M22">
            <v>3083</v>
          </cell>
          <cell r="N22">
            <v>2508</v>
          </cell>
          <cell r="O22">
            <v>2376</v>
          </cell>
          <cell r="P22">
            <v>2400</v>
          </cell>
          <cell r="Q22">
            <v>3328</v>
          </cell>
          <cell r="R22">
            <v>5141</v>
          </cell>
          <cell r="S22">
            <v>5996</v>
          </cell>
          <cell r="T22">
            <v>5255</v>
          </cell>
          <cell r="U22">
            <v>4064</v>
          </cell>
          <cell r="V22">
            <v>3457</v>
          </cell>
          <cell r="W22">
            <v>3077</v>
          </cell>
          <cell r="X22">
            <v>2356</v>
          </cell>
          <cell r="Y22">
            <v>1529</v>
          </cell>
          <cell r="Z22">
            <v>2326</v>
          </cell>
          <cell r="AA22">
            <v>2890</v>
          </cell>
          <cell r="AB22">
            <v>2726</v>
          </cell>
          <cell r="AC22">
            <v>3500</v>
          </cell>
        </row>
        <row r="23">
          <cell r="D23">
            <v>50</v>
          </cell>
          <cell r="E23">
            <v>100</v>
          </cell>
          <cell r="F23">
            <v>90</v>
          </cell>
          <cell r="G23">
            <v>80</v>
          </cell>
          <cell r="H23">
            <v>150</v>
          </cell>
          <cell r="I23">
            <v>200</v>
          </cell>
          <cell r="J23">
            <v>500</v>
          </cell>
          <cell r="K23">
            <v>1200</v>
          </cell>
          <cell r="L23">
            <v>1100</v>
          </cell>
          <cell r="M23">
            <v>597</v>
          </cell>
          <cell r="N23">
            <v>463</v>
          </cell>
          <cell r="O23">
            <v>889</v>
          </cell>
          <cell r="P23">
            <v>538</v>
          </cell>
          <cell r="Q23">
            <v>630</v>
          </cell>
          <cell r="R23">
            <v>1019</v>
          </cell>
          <cell r="S23">
            <v>2755</v>
          </cell>
          <cell r="T23">
            <v>343</v>
          </cell>
          <cell r="U23">
            <v>1218</v>
          </cell>
          <cell r="V23">
            <v>437</v>
          </cell>
          <cell r="W23">
            <v>988</v>
          </cell>
          <cell r="X23">
            <v>598</v>
          </cell>
          <cell r="Y23">
            <v>1893</v>
          </cell>
          <cell r="Z23">
            <v>854</v>
          </cell>
          <cell r="AA23">
            <v>836</v>
          </cell>
          <cell r="AB23">
            <v>965</v>
          </cell>
          <cell r="AC23">
            <v>930</v>
          </cell>
        </row>
        <row r="24">
          <cell r="D24">
            <v>0</v>
          </cell>
          <cell r="E24">
            <v>1500</v>
          </cell>
          <cell r="F24">
            <v>1500</v>
          </cell>
          <cell r="G24">
            <v>1000</v>
          </cell>
          <cell r="H24">
            <v>700</v>
          </cell>
          <cell r="I24">
            <v>1100</v>
          </cell>
          <cell r="J24">
            <v>100</v>
          </cell>
          <cell r="K24">
            <v>100</v>
          </cell>
          <cell r="L24">
            <v>110</v>
          </cell>
          <cell r="M24">
            <v>1112</v>
          </cell>
          <cell r="N24">
            <v>1139</v>
          </cell>
          <cell r="O24">
            <v>1184</v>
          </cell>
          <cell r="P24">
            <v>1235</v>
          </cell>
          <cell r="Q24">
            <v>119</v>
          </cell>
          <cell r="R24">
            <v>961</v>
          </cell>
          <cell r="S24">
            <v>1845</v>
          </cell>
          <cell r="T24">
            <v>1304</v>
          </cell>
          <cell r="U24">
            <v>1143</v>
          </cell>
          <cell r="V24">
            <v>1115</v>
          </cell>
          <cell r="W24">
            <v>1166</v>
          </cell>
          <cell r="X24">
            <v>1168</v>
          </cell>
          <cell r="Y24">
            <v>2013</v>
          </cell>
          <cell r="Z24">
            <v>1469</v>
          </cell>
          <cell r="AA24">
            <v>1298</v>
          </cell>
          <cell r="AB24">
            <v>1508</v>
          </cell>
          <cell r="AC24">
            <v>1451</v>
          </cell>
        </row>
        <row r="25">
          <cell r="D25">
            <v>2000</v>
          </cell>
          <cell r="E25">
            <v>4000</v>
          </cell>
          <cell r="F25">
            <v>3500</v>
          </cell>
          <cell r="G25">
            <v>2000</v>
          </cell>
          <cell r="H25">
            <v>3500</v>
          </cell>
          <cell r="I25">
            <v>6925</v>
          </cell>
          <cell r="J25">
            <v>7271.25</v>
          </cell>
          <cell r="K25">
            <v>7634.8125</v>
          </cell>
          <cell r="L25">
            <v>5000</v>
          </cell>
          <cell r="M25">
            <v>2597</v>
          </cell>
          <cell r="N25">
            <v>7493</v>
          </cell>
          <cell r="O25">
            <v>2948</v>
          </cell>
          <cell r="P25">
            <v>5836</v>
          </cell>
          <cell r="Q25">
            <v>4976</v>
          </cell>
          <cell r="R25">
            <v>24481</v>
          </cell>
          <cell r="S25">
            <v>4472</v>
          </cell>
          <cell r="T25">
            <v>19191</v>
          </cell>
          <cell r="U25">
            <v>2023</v>
          </cell>
          <cell r="V25">
            <v>4145</v>
          </cell>
          <cell r="W25">
            <v>4650</v>
          </cell>
          <cell r="X25">
            <v>17726</v>
          </cell>
          <cell r="Y25">
            <v>2767</v>
          </cell>
          <cell r="Z25">
            <v>14387</v>
          </cell>
          <cell r="AA25">
            <v>7880</v>
          </cell>
          <cell r="AB25">
            <v>9096</v>
          </cell>
          <cell r="AC25">
            <v>8818</v>
          </cell>
        </row>
        <row r="26">
          <cell r="D26">
            <v>15008</v>
          </cell>
          <cell r="E26">
            <v>4000</v>
          </cell>
          <cell r="F26">
            <v>263</v>
          </cell>
          <cell r="G26">
            <v>1159</v>
          </cell>
          <cell r="H26">
            <v>7578</v>
          </cell>
          <cell r="I26">
            <v>7890</v>
          </cell>
          <cell r="J26">
            <v>7319.5</v>
          </cell>
          <cell r="K26">
            <v>7685.4750000000058</v>
          </cell>
          <cell r="L26">
            <v>10000</v>
          </cell>
          <cell r="M26">
            <v>2874</v>
          </cell>
          <cell r="N26">
            <v>3251</v>
          </cell>
          <cell r="O26">
            <v>3174</v>
          </cell>
          <cell r="P26">
            <v>3264</v>
          </cell>
          <cell r="Q26">
            <v>18022</v>
          </cell>
          <cell r="R26">
            <v>7756</v>
          </cell>
          <cell r="S26">
            <v>16266</v>
          </cell>
          <cell r="T26">
            <v>5586</v>
          </cell>
          <cell r="U26">
            <v>6162</v>
          </cell>
          <cell r="V26">
            <v>14470</v>
          </cell>
          <cell r="W26">
            <v>1720</v>
          </cell>
          <cell r="X26">
            <v>5126</v>
          </cell>
          <cell r="Y26">
            <v>11341</v>
          </cell>
          <cell r="Z26">
            <v>9902</v>
          </cell>
          <cell r="AA26">
            <v>7534</v>
          </cell>
          <cell r="AB26">
            <v>8800</v>
          </cell>
          <cell r="AC26">
            <v>8490</v>
          </cell>
        </row>
        <row r="33">
          <cell r="D33">
            <v>45327</v>
          </cell>
          <cell r="E33">
            <v>57390</v>
          </cell>
          <cell r="F33">
            <v>64558</v>
          </cell>
          <cell r="G33">
            <v>79561</v>
          </cell>
          <cell r="H33">
            <v>76798</v>
          </cell>
          <cell r="I33">
            <v>102700</v>
          </cell>
          <cell r="J33">
            <v>87400</v>
          </cell>
          <cell r="K33">
            <v>111900</v>
          </cell>
          <cell r="L33">
            <v>155652.9</v>
          </cell>
          <cell r="M33">
            <v>79382.978999999992</v>
          </cell>
          <cell r="N33">
            <v>51598.936349999989</v>
          </cell>
          <cell r="O33">
            <v>41279.149079999996</v>
          </cell>
          <cell r="P33">
            <v>358705.31417405262</v>
          </cell>
          <cell r="Q33">
            <v>230114.90481222825</v>
          </cell>
          <cell r="R33">
            <v>167921.29453377827</v>
          </cell>
          <cell r="S33">
            <v>78789.125851305231</v>
          </cell>
          <cell r="T33">
            <v>117986.89594891602</v>
          </cell>
          <cell r="U33">
            <v>74244.236342498218</v>
          </cell>
          <cell r="V33">
            <v>67361.501991412762</v>
          </cell>
          <cell r="W33">
            <v>61991.598042885198</v>
          </cell>
          <cell r="X33">
            <v>65341.762776644195</v>
          </cell>
          <cell r="Y33">
            <v>94798.730112738034</v>
          </cell>
          <cell r="Z33">
            <v>51566.968132905859</v>
          </cell>
          <cell r="AA33">
            <v>95344.912840090255</v>
          </cell>
          <cell r="AB33">
            <v>169766.79303483054</v>
          </cell>
          <cell r="AC33">
            <v>0</v>
          </cell>
        </row>
        <row r="34">
          <cell r="D34">
            <v>50</v>
          </cell>
          <cell r="E34">
            <v>50</v>
          </cell>
          <cell r="F34">
            <v>50</v>
          </cell>
          <cell r="G34">
            <v>50</v>
          </cell>
          <cell r="H34">
            <v>50</v>
          </cell>
          <cell r="I34">
            <v>50</v>
          </cell>
          <cell r="J34">
            <v>50</v>
          </cell>
          <cell r="K34">
            <v>50</v>
          </cell>
          <cell r="L34">
            <v>50</v>
          </cell>
          <cell r="M34">
            <v>50</v>
          </cell>
          <cell r="N34">
            <v>50</v>
          </cell>
          <cell r="O34">
            <v>50</v>
          </cell>
          <cell r="P34">
            <v>50</v>
          </cell>
          <cell r="Q34">
            <v>79</v>
          </cell>
          <cell r="R34">
            <v>112</v>
          </cell>
          <cell r="S34">
            <v>181</v>
          </cell>
          <cell r="T34">
            <v>122</v>
          </cell>
          <cell r="U34">
            <v>158</v>
          </cell>
          <cell r="V34">
            <v>102</v>
          </cell>
          <cell r="W34">
            <v>186</v>
          </cell>
          <cell r="X34">
            <v>210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50</v>
          </cell>
          <cell r="O35">
            <v>50</v>
          </cell>
          <cell r="P35">
            <v>50</v>
          </cell>
          <cell r="Q35">
            <v>51</v>
          </cell>
          <cell r="R35">
            <v>37</v>
          </cell>
          <cell r="S35">
            <v>48</v>
          </cell>
          <cell r="T35">
            <v>42</v>
          </cell>
          <cell r="U35">
            <v>49</v>
          </cell>
          <cell r="V35">
            <v>39</v>
          </cell>
          <cell r="W35">
            <v>45</v>
          </cell>
          <cell r="X35">
            <v>29</v>
          </cell>
          <cell r="Y35">
            <v>15</v>
          </cell>
          <cell r="Z35">
            <v>48</v>
          </cell>
          <cell r="AA35">
            <v>63</v>
          </cell>
          <cell r="AB35">
            <v>28</v>
          </cell>
          <cell r="AC35">
            <v>19</v>
          </cell>
        </row>
        <row r="36">
          <cell r="D36">
            <v>100</v>
          </cell>
          <cell r="E36">
            <v>100</v>
          </cell>
          <cell r="F36">
            <v>100</v>
          </cell>
          <cell r="G36">
            <v>100</v>
          </cell>
          <cell r="H36">
            <v>100</v>
          </cell>
          <cell r="I36">
            <v>100</v>
          </cell>
          <cell r="J36">
            <v>100</v>
          </cell>
          <cell r="K36">
            <v>100</v>
          </cell>
          <cell r="L36">
            <v>100</v>
          </cell>
          <cell r="M36">
            <v>100</v>
          </cell>
          <cell r="N36">
            <v>100</v>
          </cell>
          <cell r="O36">
            <v>100</v>
          </cell>
          <cell r="P36">
            <v>100</v>
          </cell>
          <cell r="Q36">
            <v>94</v>
          </cell>
          <cell r="R36">
            <v>98</v>
          </cell>
          <cell r="S36">
            <v>101</v>
          </cell>
          <cell r="T36">
            <v>57</v>
          </cell>
          <cell r="U36">
            <v>101</v>
          </cell>
          <cell r="V36">
            <v>82</v>
          </cell>
          <cell r="W36">
            <v>107</v>
          </cell>
          <cell r="X36">
            <v>110</v>
          </cell>
          <cell r="Y36">
            <v>112</v>
          </cell>
          <cell r="Z36">
            <v>112</v>
          </cell>
          <cell r="AA36">
            <v>112</v>
          </cell>
          <cell r="AB36">
            <v>91</v>
          </cell>
          <cell r="AC36">
            <v>72</v>
          </cell>
        </row>
        <row r="37">
          <cell r="D37">
            <v>50</v>
          </cell>
          <cell r="E37">
            <v>50</v>
          </cell>
          <cell r="F37">
            <v>50</v>
          </cell>
          <cell r="G37">
            <v>50</v>
          </cell>
          <cell r="H37">
            <v>50</v>
          </cell>
          <cell r="I37">
            <v>50</v>
          </cell>
          <cell r="J37">
            <v>50</v>
          </cell>
          <cell r="K37">
            <v>50</v>
          </cell>
          <cell r="L37">
            <v>50</v>
          </cell>
          <cell r="M37">
            <v>50</v>
          </cell>
          <cell r="N37">
            <v>50</v>
          </cell>
          <cell r="O37">
            <v>50</v>
          </cell>
          <cell r="P37">
            <v>30</v>
          </cell>
          <cell r="Q37">
            <v>3</v>
          </cell>
          <cell r="R37">
            <v>12</v>
          </cell>
          <cell r="S37">
            <v>21</v>
          </cell>
          <cell r="T37">
            <v>17</v>
          </cell>
          <cell r="U37">
            <v>22</v>
          </cell>
          <cell r="V37">
            <v>20</v>
          </cell>
          <cell r="W37">
            <v>28</v>
          </cell>
          <cell r="X37">
            <v>24</v>
          </cell>
          <cell r="Y37">
            <v>23</v>
          </cell>
          <cell r="Z37">
            <v>35</v>
          </cell>
          <cell r="AA37">
            <v>37</v>
          </cell>
          <cell r="AB37">
            <v>22</v>
          </cell>
          <cell r="AC37">
            <v>17</v>
          </cell>
        </row>
        <row r="38">
          <cell r="D38">
            <v>50</v>
          </cell>
          <cell r="E38">
            <v>50</v>
          </cell>
          <cell r="F38">
            <v>50</v>
          </cell>
          <cell r="G38">
            <v>50</v>
          </cell>
          <cell r="H38">
            <v>50</v>
          </cell>
          <cell r="I38">
            <v>50</v>
          </cell>
          <cell r="J38">
            <v>50</v>
          </cell>
          <cell r="K38">
            <v>50</v>
          </cell>
          <cell r="L38">
            <v>50</v>
          </cell>
          <cell r="M38">
            <v>50</v>
          </cell>
          <cell r="N38">
            <v>50</v>
          </cell>
          <cell r="O38">
            <v>50</v>
          </cell>
          <cell r="P38">
            <v>50</v>
          </cell>
          <cell r="Q38">
            <v>137</v>
          </cell>
          <cell r="R38">
            <v>99</v>
          </cell>
          <cell r="S38">
            <v>65</v>
          </cell>
          <cell r="T38">
            <v>73</v>
          </cell>
          <cell r="U38">
            <v>40</v>
          </cell>
          <cell r="V38">
            <v>61</v>
          </cell>
          <cell r="W38">
            <v>101</v>
          </cell>
          <cell r="X38">
            <v>103</v>
          </cell>
          <cell r="Y38">
            <v>43</v>
          </cell>
          <cell r="Z38">
            <v>156</v>
          </cell>
          <cell r="AA38">
            <v>108</v>
          </cell>
          <cell r="AB38">
            <v>62</v>
          </cell>
          <cell r="AC38">
            <v>49</v>
          </cell>
        </row>
        <row r="39">
          <cell r="D39">
            <v>50</v>
          </cell>
          <cell r="E39">
            <v>50</v>
          </cell>
          <cell r="F39">
            <v>50</v>
          </cell>
          <cell r="G39">
            <v>50</v>
          </cell>
          <cell r="H39">
            <v>50</v>
          </cell>
          <cell r="I39">
            <v>50</v>
          </cell>
          <cell r="J39">
            <v>50</v>
          </cell>
          <cell r="K39">
            <v>50</v>
          </cell>
          <cell r="L39">
            <v>50</v>
          </cell>
          <cell r="M39">
            <v>50</v>
          </cell>
          <cell r="N39">
            <v>50</v>
          </cell>
          <cell r="O39">
            <v>50</v>
          </cell>
          <cell r="P39">
            <v>50</v>
          </cell>
          <cell r="Q39">
            <v>221</v>
          </cell>
          <cell r="R39">
            <v>95</v>
          </cell>
          <cell r="S39">
            <v>119</v>
          </cell>
          <cell r="T39">
            <v>70</v>
          </cell>
          <cell r="U39">
            <v>103</v>
          </cell>
          <cell r="V39">
            <v>96</v>
          </cell>
          <cell r="W39">
            <v>55</v>
          </cell>
          <cell r="X39">
            <v>89</v>
          </cell>
          <cell r="Y39">
            <v>98</v>
          </cell>
          <cell r="Z39">
            <v>164</v>
          </cell>
          <cell r="AA39">
            <v>151</v>
          </cell>
          <cell r="AB39">
            <v>90</v>
          </cell>
          <cell r="AC39">
            <v>71</v>
          </cell>
        </row>
        <row r="49">
          <cell r="D49">
            <v>1228093.9379099999</v>
          </cell>
          <cell r="E49">
            <v>1063557.28451584</v>
          </cell>
          <cell r="F49">
            <v>1562422.0124355666</v>
          </cell>
          <cell r="G49">
            <v>2580893.4557617093</v>
          </cell>
          <cell r="H49">
            <v>3082684.9613288064</v>
          </cell>
          <cell r="I49">
            <v>4008425.2887759209</v>
          </cell>
          <cell r="J49">
            <v>5528475.3657496627</v>
          </cell>
          <cell r="K49">
            <v>6176360.6356998254</v>
          </cell>
          <cell r="L49">
            <v>5748243.5837810002</v>
          </cell>
          <cell r="M49">
            <v>0.22609951540633447</v>
          </cell>
          <cell r="N49">
            <v>0.317685242252841</v>
          </cell>
          <cell r="O49">
            <v>0.45011898334713835</v>
          </cell>
          <cell r="P49">
            <v>0.49043415213626068</v>
          </cell>
          <cell r="Q49">
            <v>0.70278611269377489</v>
          </cell>
          <cell r="R49">
            <v>0.83667060250646574</v>
          </cell>
          <cell r="S49">
            <v>0.88055899181929043</v>
          </cell>
          <cell r="T49">
            <v>0.92070241867119895</v>
          </cell>
          <cell r="U49">
            <v>1.0467539111400503</v>
          </cell>
          <cell r="V49">
            <v>1.2107843392628161</v>
          </cell>
          <cell r="W49">
            <v>1.2793320842677074</v>
          </cell>
          <cell r="X49">
            <v>1.1600250667138028</v>
          </cell>
          <cell r="Y49">
            <v>0.94616865223258995</v>
          </cell>
          <cell r="Z49">
            <v>1.2420758341556186</v>
          </cell>
          <cell r="AA49">
            <v>1.1982055927590576</v>
          </cell>
          <cell r="AB49">
            <v>1.064603865893986</v>
          </cell>
          <cell r="AC49">
            <v>1.5011646171974067E-2</v>
          </cell>
        </row>
        <row r="50">
          <cell r="D50">
            <v>293315.48213999998</v>
          </cell>
          <cell r="E50">
            <v>421145.30416325998</v>
          </cell>
          <cell r="F50">
            <v>610646.02207528439</v>
          </cell>
          <cell r="G50">
            <v>1401688.7636627902</v>
          </cell>
          <cell r="H50">
            <v>1365778.9875841131</v>
          </cell>
          <cell r="I50">
            <v>892758.80888036487</v>
          </cell>
          <cell r="J50">
            <v>2251897.2937789881</v>
          </cell>
          <cell r="K50">
            <v>3835475.409856176</v>
          </cell>
          <cell r="L50">
            <v>5649311.8618562017</v>
          </cell>
          <cell r="M50">
            <v>1.1917583257011394E-2</v>
          </cell>
          <cell r="N50">
            <v>2.4140388648336064E-2</v>
          </cell>
          <cell r="O50">
            <v>3.7706120885265454E-2</v>
          </cell>
          <cell r="P50">
            <v>4.5607726417356241E-2</v>
          </cell>
          <cell r="Q50">
            <v>8.0612841638611085E-2</v>
          </cell>
          <cell r="R50">
            <v>0.11896927979373774</v>
          </cell>
          <cell r="S50">
            <v>6.1228769922676174E-2</v>
          </cell>
          <cell r="T50">
            <v>0.15201169815510296</v>
          </cell>
          <cell r="U50">
            <v>0.17812136065966505</v>
          </cell>
          <cell r="V50">
            <v>0.35884271961599579</v>
          </cell>
          <cell r="W50">
            <v>0.46250111482970374</v>
          </cell>
          <cell r="X50">
            <v>0.78335449252685763</v>
          </cell>
          <cell r="Y50">
            <v>0.51668591687965526</v>
          </cell>
          <cell r="Z50">
            <v>0.74627617295380655</v>
          </cell>
          <cell r="AA50">
            <v>1.0843417492505352</v>
          </cell>
          <cell r="AB50">
            <v>1.5816033572772514</v>
          </cell>
          <cell r="AC50">
            <v>0</v>
          </cell>
        </row>
        <row r="51">
          <cell r="D51">
            <v>1142953.399669999</v>
          </cell>
          <cell r="E51">
            <v>1649252.7036049101</v>
          </cell>
          <cell r="F51">
            <v>2560915.7757436</v>
          </cell>
          <cell r="G51">
            <v>1518216.7996712846</v>
          </cell>
          <cell r="H51">
            <v>2470287.9436377543</v>
          </cell>
          <cell r="I51">
            <v>6597527.8762046192</v>
          </cell>
          <cell r="J51">
            <v>6506437.9201013343</v>
          </cell>
          <cell r="K51">
            <v>44948348.895384595</v>
          </cell>
          <cell r="L51">
            <v>51504041.782700956</v>
          </cell>
          <cell r="M51">
            <v>1.070390984524947E-2</v>
          </cell>
          <cell r="N51">
            <v>1.450770629730286E-2</v>
          </cell>
          <cell r="O51">
            <v>1.908000206688841E-2</v>
          </cell>
          <cell r="P51">
            <v>2.2362525825013833E-3</v>
          </cell>
          <cell r="Q51">
            <v>1.3111824620520345E-2</v>
          </cell>
          <cell r="R51">
            <v>1.9306101908446376E-2</v>
          </cell>
          <cell r="S51">
            <v>1.8591709743657953E-2</v>
          </cell>
          <cell r="T51">
            <v>2.1615653526860651E-2</v>
          </cell>
          <cell r="U51">
            <v>2.6531391339198705E-2</v>
          </cell>
          <cell r="V51">
            <v>3.2280846643918011E-2</v>
          </cell>
          <cell r="W51">
            <v>3.6788716578310246E-2</v>
          </cell>
          <cell r="X51">
            <v>4.061269751257178E-2</v>
          </cell>
          <cell r="Y51">
            <v>3.1904865956945208E-2</v>
          </cell>
          <cell r="Z51">
            <v>3.3537659137288789E-2</v>
          </cell>
          <cell r="AA51">
            <v>3.8882473765858558E-2</v>
          </cell>
          <cell r="AB51">
            <v>4.556940863952251E-2</v>
          </cell>
          <cell r="AC51">
            <v>1.6262656806524502E-3</v>
          </cell>
        </row>
        <row r="52">
          <cell r="D52">
            <v>2815817.199740001</v>
          </cell>
          <cell r="E52">
            <v>3539676.4760294389</v>
          </cell>
          <cell r="F52">
            <v>4636041.9036245411</v>
          </cell>
          <cell r="G52">
            <v>3238710.0068645962</v>
          </cell>
          <cell r="H52">
            <v>1590141.8458749566</v>
          </cell>
          <cell r="I52">
            <v>2351998.1804777184</v>
          </cell>
          <cell r="J52">
            <v>3256451.3220440773</v>
          </cell>
          <cell r="K52">
            <v>2563005.1944765728</v>
          </cell>
          <cell r="L52">
            <v>2985026.7378605073</v>
          </cell>
          <cell r="M52">
            <v>5.3515056055308034E-2</v>
          </cell>
          <cell r="N52">
            <v>7.0334339811892327E-2</v>
          </cell>
          <cell r="O52">
            <v>0.11440268162017662</v>
          </cell>
          <cell r="P52">
            <v>0.12872770177214252</v>
          </cell>
          <cell r="Q52">
            <v>0.17861123193000053</v>
          </cell>
          <cell r="R52">
            <v>0.10727445297355596</v>
          </cell>
          <cell r="S52">
            <v>0.16269787421714899</v>
          </cell>
          <cell r="T52">
            <v>8.7923471859324365E-2</v>
          </cell>
          <cell r="U52">
            <v>0.18786532612604509</v>
          </cell>
          <cell r="V52">
            <v>0.27662755907305275</v>
          </cell>
          <cell r="W52">
            <v>0.37665108227959143</v>
          </cell>
          <cell r="X52">
            <v>0.20584614823793182</v>
          </cell>
          <cell r="Y52">
            <v>0.40314032496430036</v>
          </cell>
          <cell r="Z52">
            <v>0.27842186028940469</v>
          </cell>
          <cell r="AA52">
            <v>0.33739310420049307</v>
          </cell>
          <cell r="AB52">
            <v>0.41870643619046555</v>
          </cell>
          <cell r="AC52">
            <v>1.0847448205042458E-3</v>
          </cell>
        </row>
        <row r="53">
          <cell r="D53">
            <v>96966.332849999992</v>
          </cell>
          <cell r="E53">
            <v>156776.38576968</v>
          </cell>
          <cell r="F53">
            <v>164930.33405349986</v>
          </cell>
          <cell r="G53">
            <v>536463.69676546101</v>
          </cell>
          <cell r="H53">
            <v>597299.49054320902</v>
          </cell>
          <cell r="I53">
            <v>776987.82057330443</v>
          </cell>
          <cell r="J53">
            <v>880177.89593453333</v>
          </cell>
          <cell r="K53">
            <v>1031494.8388786446</v>
          </cell>
          <cell r="L53">
            <v>1216797.1561563106</v>
          </cell>
          <cell r="M53">
            <v>4.8558687881401857E-2</v>
          </cell>
          <cell r="N53">
            <v>7.761598322639135E-2</v>
          </cell>
          <cell r="O53">
            <v>0.11586819063188571</v>
          </cell>
          <cell r="P53">
            <v>0.14188891038324156</v>
          </cell>
          <cell r="Q53">
            <v>0.11682041270457165</v>
          </cell>
          <cell r="R53">
            <v>0.14255323113308624</v>
          </cell>
          <cell r="S53">
            <v>0.10600693968498237</v>
          </cell>
          <cell r="T53">
            <v>0.14826333439118183</v>
          </cell>
          <cell r="U53">
            <v>0.19264471730157498</v>
          </cell>
          <cell r="V53">
            <v>0.12180084052727791</v>
          </cell>
          <cell r="W53">
            <v>0.24592297541697858</v>
          </cell>
          <cell r="X53">
            <v>0.31784969169605604</v>
          </cell>
          <cell r="Y53">
            <v>0.27971678712811676</v>
          </cell>
          <cell r="Z53">
            <v>0.26663739563959765</v>
          </cell>
          <cell r="AA53">
            <v>0.32483302914386064</v>
          </cell>
          <cell r="AB53">
            <v>0.40144303034188777</v>
          </cell>
          <cell r="AC53">
            <v>0</v>
          </cell>
        </row>
        <row r="54">
          <cell r="D54">
            <v>200002.18558000002</v>
          </cell>
          <cell r="E54">
            <v>293379.04998395999</v>
          </cell>
          <cell r="F54">
            <v>322016.93674061616</v>
          </cell>
          <cell r="G54">
            <v>132771.24169751615</v>
          </cell>
          <cell r="H54">
            <v>324720.60860282608</v>
          </cell>
          <cell r="I54">
            <v>694197.63717791345</v>
          </cell>
          <cell r="J54">
            <v>1055047.8283602956</v>
          </cell>
          <cell r="K54">
            <v>3434534.2798081357</v>
          </cell>
          <cell r="L54">
            <v>4154441.3506499487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D55">
            <v>215324.1</v>
          </cell>
          <cell r="E55">
            <v>232632</v>
          </cell>
          <cell r="F55">
            <v>339922.55690999998</v>
          </cell>
          <cell r="G55">
            <v>357379.9675683672</v>
          </cell>
          <cell r="H55">
            <v>315662.85291901301</v>
          </cell>
          <cell r="I55">
            <v>350138.57027636567</v>
          </cell>
          <cell r="J55">
            <v>420326.78888319881</v>
          </cell>
          <cell r="K55">
            <v>765890.56032926869</v>
          </cell>
          <cell r="L55">
            <v>957767.59872913046</v>
          </cell>
          <cell r="M55">
            <v>6597.9856660266069</v>
          </cell>
          <cell r="N55">
            <v>7116.1583884471429</v>
          </cell>
          <cell r="O55">
            <v>7710.6223519177638</v>
          </cell>
          <cell r="P55">
            <v>8393.3163440322314</v>
          </cell>
          <cell r="Q55">
            <v>9178.4407971114852</v>
          </cell>
          <cell r="R55">
            <v>10082.919539554923</v>
          </cell>
          <cell r="S55">
            <v>11126.965925521223</v>
          </cell>
          <cell r="T55">
            <v>12334.77853159601</v>
          </cell>
          <cell r="U55">
            <v>13735.398124116244</v>
          </cell>
          <cell r="V55">
            <v>15363.765896188932</v>
          </cell>
          <cell r="W55">
            <v>17262.033562438657</v>
          </cell>
          <cell r="X55">
            <v>19481.189450459664</v>
          </cell>
          <cell r="Y55">
            <v>22083.082113139491</v>
          </cell>
          <cell r="Z55">
            <v>25142.945346797511</v>
          </cell>
          <cell r="AA55">
            <v>28752.557333426728</v>
          </cell>
          <cell r="AB55">
            <v>33024.203899512562</v>
          </cell>
          <cell r="AC55">
            <v>38095.664193229684</v>
          </cell>
        </row>
        <row r="60">
          <cell r="D60">
            <v>1228093.9379099999</v>
          </cell>
          <cell r="E60">
            <v>910579.8668800001</v>
          </cell>
          <cell r="F60">
            <v>1140400.74948</v>
          </cell>
          <cell r="G60">
            <v>1612821.7766399998</v>
          </cell>
          <cell r="H60">
            <v>1653558.3348399999</v>
          </cell>
          <cell r="I60">
            <v>1853558.0041500002</v>
          </cell>
          <cell r="J60">
            <v>2188743.7740699998</v>
          </cell>
          <cell r="K60">
            <v>2084606.93982</v>
          </cell>
          <cell r="L60">
            <v>1646953.7583799998</v>
          </cell>
          <cell r="M60">
            <v>5.4759708714132826E-2</v>
          </cell>
          <cell r="N60">
            <v>6.4765257669301857E-2</v>
          </cell>
          <cell r="O60">
            <v>7.6918701259361733E-2</v>
          </cell>
          <cell r="P60">
            <v>6.9956568879293912E-2</v>
          </cell>
          <cell r="Q60">
            <v>8.333075931393441E-2</v>
          </cell>
          <cell r="R60">
            <v>8.2123933667660021E-2</v>
          </cell>
          <cell r="S60">
            <v>7.1254597162354938E-2</v>
          </cell>
          <cell r="T60">
            <v>6.1168302531638297E-2</v>
          </cell>
          <cell r="U60">
            <v>5.6862412279710339E-2</v>
          </cell>
          <cell r="V60">
            <v>5.3561054134259378E-2</v>
          </cell>
          <cell r="W60">
            <v>4.5898927304413584E-2</v>
          </cell>
          <cell r="X60">
            <v>3.3617543335871414E-2</v>
          </cell>
          <cell r="Y60">
            <v>2.2059518365361686E-2</v>
          </cell>
          <cell r="Z60">
            <v>2.3203900671891708E-2</v>
          </cell>
          <cell r="AA60">
            <v>1.7864594256631672E-2</v>
          </cell>
          <cell r="AB60">
            <v>1.2617380851514426E-2</v>
          </cell>
          <cell r="AC60">
            <v>1.4086598690865593E-4</v>
          </cell>
        </row>
        <row r="61">
          <cell r="D61">
            <v>293315.48213999998</v>
          </cell>
          <cell r="E61">
            <v>316888.86693999998</v>
          </cell>
          <cell r="F61">
            <v>357292.23908999999</v>
          </cell>
          <cell r="G61">
            <v>617107.26812999998</v>
          </cell>
          <cell r="H61">
            <v>680200.94562000025</v>
          </cell>
          <cell r="I61">
            <v>409412.52368999994</v>
          </cell>
          <cell r="J61">
            <v>752150.97190999996</v>
          </cell>
          <cell r="K61">
            <v>929664.88486999995</v>
          </cell>
          <cell r="L61">
            <v>990103.49676999997</v>
          </cell>
          <cell r="M61">
            <v>1.5048172911424004E-3</v>
          </cell>
          <cell r="N61">
            <v>2.1882085949546763E-3</v>
          </cell>
          <cell r="O61">
            <v>2.44483270134019E-3</v>
          </cell>
          <cell r="P61">
            <v>2.1077448760756755E-3</v>
          </cell>
          <cell r="Q61">
            <v>2.6459473308756039E-3</v>
          </cell>
          <cell r="R61">
            <v>2.7635646908158104E-3</v>
          </cell>
          <cell r="S61">
            <v>1.0030304244465355E-3</v>
          </cell>
          <cell r="T61">
            <v>1.7499703176639403E-3</v>
          </cell>
          <cell r="U61">
            <v>1.4359571100654341E-3</v>
          </cell>
          <cell r="V61">
            <v>2.0187540614161441E-3</v>
          </cell>
          <cell r="W61">
            <v>1.8093941081426257E-3</v>
          </cell>
          <cell r="X61">
            <v>2.1237940279361933E-3</v>
          </cell>
          <cell r="Y61">
            <v>9.6741344582026295E-4</v>
          </cell>
          <cell r="Z61">
            <v>9.6165535950852588E-4</v>
          </cell>
          <cell r="AA61">
            <v>9.5835968460533313E-4</v>
          </cell>
          <cell r="AB61">
            <v>9.5546681688326099E-4</v>
          </cell>
          <cell r="AC61">
            <v>0</v>
          </cell>
        </row>
        <row r="62">
          <cell r="D62">
            <v>1142953.399669999</v>
          </cell>
          <cell r="E62">
            <v>1487153.0239900001</v>
          </cell>
          <cell r="F62">
            <v>1679426.6912</v>
          </cell>
          <cell r="G62">
            <v>897776.0226299999</v>
          </cell>
          <cell r="H62">
            <v>1245328.0668200015</v>
          </cell>
          <cell r="I62">
            <v>2211411.6595799997</v>
          </cell>
          <cell r="J62">
            <v>2010027.1027399988</v>
          </cell>
          <cell r="K62">
            <v>12739308.896480002</v>
          </cell>
          <cell r="L62">
            <v>13330895.300340001</v>
          </cell>
          <cell r="M62">
            <v>2.5186496669581671E-3</v>
          </cell>
          <cell r="N62">
            <v>3.0893121862843181E-3</v>
          </cell>
          <cell r="O62">
            <v>3.6603151662141717E-3</v>
          </cell>
          <cell r="P62">
            <v>3.8475657634660237E-4</v>
          </cell>
          <cell r="Q62">
            <v>2.0142357760400131E-3</v>
          </cell>
          <cell r="R62">
            <v>2.6362661040076479E-3</v>
          </cell>
          <cell r="S62">
            <v>2.2466506123655985E-3</v>
          </cell>
          <cell r="T62">
            <v>2.3013820260090537E-3</v>
          </cell>
          <cell r="U62">
            <v>2.477852900298172E-3</v>
          </cell>
          <cell r="V62">
            <v>2.6330246504458615E-3</v>
          </cell>
          <cell r="W62">
            <v>2.609316768289946E-3</v>
          </cell>
          <cell r="X62">
            <v>2.4939745666196361E-3</v>
          </cell>
          <cell r="Y62">
            <v>1.6889979362131949E-3</v>
          </cell>
          <cell r="Z62">
            <v>1.5239791159275332E-3</v>
          </cell>
          <cell r="AA62">
            <v>1.5101298603168861E-3</v>
          </cell>
          <cell r="AB62">
            <v>1.5062460935083705E-3</v>
          </cell>
          <cell r="AC62">
            <v>4.5554578293006964E-5</v>
          </cell>
        </row>
        <row r="63">
          <cell r="D63">
            <v>2815817.199740001</v>
          </cell>
          <cell r="E63">
            <v>3429919.065919999</v>
          </cell>
          <cell r="F63">
            <v>3842847.4476499995</v>
          </cell>
          <cell r="G63">
            <v>2601346.2198299998</v>
          </cell>
          <cell r="H63">
            <v>1076904.6984799996</v>
          </cell>
          <cell r="I63">
            <v>1348740.7805699997</v>
          </cell>
          <cell r="J63">
            <v>1632337.9357799997</v>
          </cell>
          <cell r="K63">
            <v>1118136.7991800001</v>
          </cell>
          <cell r="L63">
            <v>1128464.421920002</v>
          </cell>
          <cell r="M63">
            <v>1.7455496020209127E-2</v>
          </cell>
          <cell r="N63">
            <v>1.9709274797416854E-2</v>
          </cell>
          <cell r="O63">
            <v>2.7423628860494403E-2</v>
          </cell>
          <cell r="P63">
            <v>2.6284071322191793E-2</v>
          </cell>
          <cell r="Q63">
            <v>3.0932539923901298E-2</v>
          </cell>
          <cell r="R63">
            <v>1.5691028904532694E-2</v>
          </cell>
          <cell r="S63">
            <v>2.0014978952984319E-2</v>
          </cell>
          <cell r="T63">
            <v>9.0588644503456217E-3</v>
          </cell>
          <cell r="U63">
            <v>1.6143451008560683E-2</v>
          </cell>
          <cell r="V63">
            <v>1.9743252825359964E-2</v>
          </cell>
          <cell r="W63">
            <v>2.2234951229975292E-2</v>
          </cell>
          <cell r="X63">
            <v>1.0009699038302844E-2</v>
          </cell>
          <cell r="Y63">
            <v>1.60816575832467E-2</v>
          </cell>
          <cell r="Z63">
            <v>9.073952097851945E-3</v>
          </cell>
          <cell r="AA63">
            <v>8.9470006830121296E-3</v>
          </cell>
          <cell r="AB63">
            <v>8.9977877748091961E-3</v>
          </cell>
          <cell r="AC63">
            <v>1.8814054056737195E-5</v>
          </cell>
        </row>
        <row r="64">
          <cell r="D64">
            <v>96966.332849999992</v>
          </cell>
          <cell r="E64">
            <v>151915.10248999999</v>
          </cell>
          <cell r="F64">
            <v>136711.90348000001</v>
          </cell>
          <cell r="G64">
            <v>430890.01692000008</v>
          </cell>
          <cell r="H64">
            <v>404513.9931599999</v>
          </cell>
          <cell r="I64">
            <v>445559.51118999993</v>
          </cell>
          <cell r="J64">
            <v>441200.44419000001</v>
          </cell>
          <cell r="K64">
            <v>450000</v>
          </cell>
          <cell r="L64">
            <v>460000</v>
          </cell>
          <cell r="M64">
            <v>1.5838832013636922E-2</v>
          </cell>
          <cell r="N64">
            <v>2.1749756181289825E-2</v>
          </cell>
          <cell r="O64">
            <v>2.77749281015581E-2</v>
          </cell>
          <cell r="P64">
            <v>2.8971372820300517E-2</v>
          </cell>
          <cell r="Q64">
            <v>2.0231382096546846E-2</v>
          </cell>
          <cell r="R64">
            <v>2.0851254032450556E-2</v>
          </cell>
          <cell r="S64">
            <v>1.304089974668865E-2</v>
          </cell>
          <cell r="T64">
            <v>1.5275755390493556E-2</v>
          </cell>
          <cell r="U64">
            <v>1.6554148761487947E-2</v>
          </cell>
          <cell r="V64">
            <v>8.6930774248575315E-3</v>
          </cell>
          <cell r="W64">
            <v>1.4517641451161217E-2</v>
          </cell>
          <cell r="X64">
            <v>1.5456105351154631E-2</v>
          </cell>
          <cell r="Y64">
            <v>1.1158173252151404E-2</v>
          </cell>
          <cell r="Z64">
            <v>8.6898886208676696E-3</v>
          </cell>
          <cell r="AA64">
            <v>8.6139322275181618E-3</v>
          </cell>
          <cell r="AB64">
            <v>8.6268059874042291E-3</v>
          </cell>
          <cell r="AC64">
            <v>0</v>
          </cell>
        </row>
        <row r="65">
          <cell r="D65">
            <v>200002.18558000002</v>
          </cell>
          <cell r="E65">
            <v>228844.81277999998</v>
          </cell>
          <cell r="F65">
            <v>241522.36345000012</v>
          </cell>
          <cell r="G65">
            <v>77677.390459999922</v>
          </cell>
          <cell r="H65">
            <v>179392.59099999996</v>
          </cell>
          <cell r="I65">
            <v>302931.24915000005</v>
          </cell>
          <cell r="J65">
            <v>452701.71475000028</v>
          </cell>
          <cell r="K65">
            <v>1441972.41111</v>
          </cell>
          <cell r="L65">
            <v>1698365.9903300002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D66">
            <v>215324.1</v>
          </cell>
          <cell r="E66">
            <v>216000</v>
          </cell>
          <cell r="F66">
            <v>216030</v>
          </cell>
          <cell r="G66">
            <v>210886.40457999994</v>
          </cell>
          <cell r="H66">
            <v>153814.65355000002</v>
          </cell>
          <cell r="I66">
            <v>137814.06522999998</v>
          </cell>
          <cell r="J66">
            <v>156370.56016000008</v>
          </cell>
          <cell r="K66">
            <v>268041.08933000005</v>
          </cell>
          <cell r="L66">
            <v>313851.02078000008</v>
          </cell>
          <cell r="M66">
            <v>2015</v>
          </cell>
          <cell r="N66">
            <v>2016</v>
          </cell>
          <cell r="O66">
            <v>2017</v>
          </cell>
          <cell r="P66">
            <v>2018</v>
          </cell>
          <cell r="Q66">
            <v>2019</v>
          </cell>
          <cell r="R66">
            <v>2020</v>
          </cell>
          <cell r="S66">
            <v>2021</v>
          </cell>
          <cell r="T66">
            <v>2022</v>
          </cell>
          <cell r="U66">
            <v>2023</v>
          </cell>
          <cell r="V66">
            <v>2024</v>
          </cell>
          <cell r="W66">
            <v>2025</v>
          </cell>
          <cell r="X66">
            <v>2026</v>
          </cell>
          <cell r="Y66">
            <v>2027</v>
          </cell>
          <cell r="Z66">
            <v>2028</v>
          </cell>
          <cell r="AA66">
            <v>2029</v>
          </cell>
          <cell r="AB66">
            <v>2030</v>
          </cell>
          <cell r="AC66">
            <v>2031</v>
          </cell>
        </row>
        <row r="71">
          <cell r="D71">
            <v>0.26499912417665161</v>
          </cell>
          <cell r="E71">
            <v>0.36004748797313829</v>
          </cell>
          <cell r="F71">
            <v>0.36678540085206174</v>
          </cell>
          <cell r="G71">
            <v>0.16675242563664083</v>
          </cell>
          <cell r="H71">
            <v>0.20095949436801017</v>
          </cell>
          <cell r="I71">
            <v>1.424554279281426E-2</v>
          </cell>
          <cell r="J71">
            <v>0</v>
          </cell>
          <cell r="K71">
            <v>1.6398735900905279E-2</v>
          </cell>
          <cell r="L71">
            <v>0.19520506507065732</v>
          </cell>
          <cell r="M71">
            <v>0.16350943047528033</v>
          </cell>
          <cell r="N71">
            <v>0.15347030390874258</v>
          </cell>
          <cell r="O71">
            <v>0.14648892075857126</v>
          </cell>
          <cell r="P71">
            <v>2.0557795135038821E-2</v>
          </cell>
          <cell r="Q71">
            <v>9.1837302935579512E-2</v>
          </cell>
          <cell r="R71">
            <v>0.12844423059207091</v>
          </cell>
          <cell r="S71">
            <v>0.14163831322996043</v>
          </cell>
          <cell r="T71">
            <v>0.15319685464230604</v>
          </cell>
          <cell r="U71">
            <v>0.15480946762504236</v>
          </cell>
          <cell r="V71">
            <v>0.16244385806171652</v>
          </cell>
          <cell r="W71">
            <v>0.15246057573172625</v>
          </cell>
          <cell r="X71">
            <v>0.16545584915342454</v>
          </cell>
          <cell r="Y71">
            <v>0.15444465241810945</v>
          </cell>
          <cell r="Z71">
            <v>0.17752679138820027</v>
          </cell>
          <cell r="AA71">
            <v>0.18838988244082402</v>
          </cell>
          <cell r="AB71">
            <v>0.1994598027978467</v>
          </cell>
          <cell r="AC71">
            <v>0.81736360924082707</v>
          </cell>
        </row>
        <row r="72">
          <cell r="D72">
            <v>38243</v>
          </cell>
          <cell r="E72">
            <v>45327</v>
          </cell>
          <cell r="F72">
            <v>57390</v>
          </cell>
          <cell r="G72">
            <v>64558</v>
          </cell>
          <cell r="H72">
            <v>79561</v>
          </cell>
          <cell r="I72">
            <v>76798</v>
          </cell>
          <cell r="J72">
            <v>102700</v>
          </cell>
          <cell r="K72">
            <v>87400</v>
          </cell>
          <cell r="L72">
            <v>111900</v>
          </cell>
          <cell r="M72">
            <v>79382.978999999992</v>
          </cell>
          <cell r="N72">
            <v>51598.936349999989</v>
          </cell>
          <cell r="O72">
            <v>41279.149079999996</v>
          </cell>
          <cell r="P72">
            <v>358705.31417405262</v>
          </cell>
          <cell r="Q72">
            <v>230114.90481222825</v>
          </cell>
          <cell r="R72">
            <v>167921.29453377827</v>
          </cell>
          <cell r="S72">
            <v>78789.125851305231</v>
          </cell>
          <cell r="T72">
            <v>117986.89594891602</v>
          </cell>
          <cell r="U72">
            <v>74244.236342498218</v>
          </cell>
          <cell r="V72">
            <v>67361.501991412762</v>
          </cell>
          <cell r="W72">
            <v>61991.598042885198</v>
          </cell>
          <cell r="X72">
            <v>65341.762776644195</v>
          </cell>
          <cell r="Y72">
            <v>94798.730112738034</v>
          </cell>
          <cell r="Z72">
            <v>51566.968132905859</v>
          </cell>
          <cell r="AA72">
            <v>95344.912840090255</v>
          </cell>
          <cell r="AB72">
            <v>169766.79303483054</v>
          </cell>
          <cell r="AC72">
            <v>0</v>
          </cell>
        </row>
        <row r="73">
          <cell r="D73">
            <v>1144900</v>
          </cell>
          <cell r="E73">
            <v>954500</v>
          </cell>
          <cell r="F73">
            <v>211900</v>
          </cell>
          <cell r="G73">
            <v>780500</v>
          </cell>
          <cell r="H73">
            <v>900400</v>
          </cell>
          <cell r="I73">
            <v>289400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1000</v>
          </cell>
          <cell r="N73">
            <v>1000</v>
          </cell>
          <cell r="O73">
            <v>1000</v>
          </cell>
          <cell r="P73">
            <v>1000</v>
          </cell>
          <cell r="Q73">
            <v>1000</v>
          </cell>
          <cell r="R73">
            <v>1000</v>
          </cell>
          <cell r="S73">
            <v>1000</v>
          </cell>
          <cell r="T73">
            <v>1000</v>
          </cell>
          <cell r="U73">
            <v>1000</v>
          </cell>
          <cell r="V73">
            <v>1000</v>
          </cell>
          <cell r="W73">
            <v>1000</v>
          </cell>
          <cell r="X73">
            <v>1001</v>
          </cell>
          <cell r="Y73">
            <v>1002</v>
          </cell>
          <cell r="Z73">
            <v>1003</v>
          </cell>
          <cell r="AA73">
            <v>1004</v>
          </cell>
          <cell r="AB73">
            <v>1005</v>
          </cell>
          <cell r="AC73">
            <v>1006</v>
          </cell>
        </row>
        <row r="106">
          <cell r="D106">
            <v>13</v>
          </cell>
          <cell r="E106">
            <v>13</v>
          </cell>
          <cell r="F106">
            <v>13</v>
          </cell>
          <cell r="G106">
            <v>13</v>
          </cell>
          <cell r="H106">
            <v>13</v>
          </cell>
          <cell r="I106">
            <v>13</v>
          </cell>
          <cell r="J106">
            <v>13</v>
          </cell>
          <cell r="K106">
            <v>13</v>
          </cell>
          <cell r="L106">
            <v>13</v>
          </cell>
          <cell r="M106">
            <v>13</v>
          </cell>
          <cell r="N106">
            <v>13</v>
          </cell>
          <cell r="O106">
            <v>13</v>
          </cell>
          <cell r="P106">
            <v>13</v>
          </cell>
          <cell r="Q106">
            <v>13</v>
          </cell>
          <cell r="R106">
            <v>13</v>
          </cell>
          <cell r="S106">
            <v>13</v>
          </cell>
          <cell r="T106">
            <v>13</v>
          </cell>
          <cell r="U106">
            <v>13</v>
          </cell>
          <cell r="V106">
            <v>13</v>
          </cell>
          <cell r="W106">
            <v>13</v>
          </cell>
          <cell r="X106">
            <v>13</v>
          </cell>
          <cell r="Y106">
            <v>13</v>
          </cell>
          <cell r="Z106">
            <v>13</v>
          </cell>
          <cell r="AA106">
            <v>13</v>
          </cell>
          <cell r="AB106">
            <v>13</v>
          </cell>
          <cell r="AC106">
            <v>13</v>
          </cell>
        </row>
      </sheetData>
      <sheetData sheetId="14">
        <row r="52">
          <cell r="C52">
            <v>1134.087</v>
          </cell>
          <cell r="D52">
            <v>1124.873</v>
          </cell>
          <cell r="E52">
            <v>1117.0160000000001</v>
          </cell>
          <cell r="F52">
            <v>1112.3920000000001</v>
          </cell>
          <cell r="G52">
            <v>1106.271</v>
          </cell>
          <cell r="H52">
            <v>1099.616</v>
          </cell>
          <cell r="I52">
            <v>1095.7</v>
          </cell>
          <cell r="J52">
            <v>1090.7329999999999</v>
          </cell>
          <cell r="K52">
            <v>1084.335</v>
          </cell>
          <cell r="L52">
            <v>1077.701</v>
          </cell>
          <cell r="M52">
            <v>1068.9639999999999</v>
          </cell>
          <cell r="N52">
            <v>1059.835</v>
          </cell>
          <cell r="O52">
            <v>1049.913</v>
          </cell>
        </row>
        <row r="71">
          <cell r="C71">
            <v>1134.087</v>
          </cell>
          <cell r="D71">
            <v>1124.873</v>
          </cell>
          <cell r="E71">
            <v>1117.0160000000001</v>
          </cell>
          <cell r="F71">
            <v>1112.3920000000001</v>
          </cell>
          <cell r="G71">
            <v>1106.271</v>
          </cell>
          <cell r="H71">
            <v>1099.616</v>
          </cell>
          <cell r="I71">
            <v>1095.7</v>
          </cell>
          <cell r="J71">
            <v>1090.7329999999999</v>
          </cell>
          <cell r="K71">
            <v>1084.335</v>
          </cell>
          <cell r="L71">
            <v>1077.701</v>
          </cell>
          <cell r="M71">
            <v>1068.9639999999999</v>
          </cell>
          <cell r="N71">
            <v>1059.835</v>
          </cell>
          <cell r="O71">
            <v>1049.913</v>
          </cell>
          <cell r="P71">
            <v>1038.808</v>
          </cell>
          <cell r="Q71">
            <v>1026.4010000000001</v>
          </cell>
          <cell r="R71">
            <v>1013.885</v>
          </cell>
          <cell r="S71">
            <v>999.85299999999995</v>
          </cell>
          <cell r="T71">
            <v>984.61300000000006</v>
          </cell>
          <cell r="U71">
            <v>967.98599999999999</v>
          </cell>
          <cell r="V71">
            <v>949.79499999999996</v>
          </cell>
          <cell r="W71">
            <v>931.62300000000005</v>
          </cell>
          <cell r="X71">
            <v>920</v>
          </cell>
          <cell r="Y71">
            <v>910</v>
          </cell>
          <cell r="Z71">
            <v>900</v>
          </cell>
          <cell r="AA71">
            <v>895</v>
          </cell>
          <cell r="AB71">
            <v>889</v>
          </cell>
        </row>
        <row r="72">
          <cell r="C72">
            <v>71.260000000000005</v>
          </cell>
          <cell r="D72">
            <v>72.281000000000006</v>
          </cell>
          <cell r="E72">
            <v>73.811000000000007</v>
          </cell>
          <cell r="F72">
            <v>75.459999999999994</v>
          </cell>
          <cell r="G72">
            <v>77.623000000000005</v>
          </cell>
          <cell r="H72">
            <v>79.673000000000002</v>
          </cell>
          <cell r="I72">
            <v>81.594999999999999</v>
          </cell>
          <cell r="J72">
            <v>84.296000000000006</v>
          </cell>
          <cell r="K72">
            <v>84.784000000000006</v>
          </cell>
          <cell r="L72">
            <v>86.933999999999997</v>
          </cell>
          <cell r="M72">
            <v>87.866</v>
          </cell>
          <cell r="N72">
            <v>88.234999999999999</v>
          </cell>
          <cell r="O72">
            <v>88.094999999999999</v>
          </cell>
          <cell r="P72">
            <v>87.552999999999997</v>
          </cell>
          <cell r="Q72">
            <v>86.563999999999993</v>
          </cell>
          <cell r="R72">
            <v>85.331999999999994</v>
          </cell>
          <cell r="S72">
            <v>82.918000000000006</v>
          </cell>
          <cell r="T72">
            <v>81.412000000000006</v>
          </cell>
          <cell r="U72">
            <v>79.072000000000003</v>
          </cell>
          <cell r="V72">
            <v>77.801000000000002</v>
          </cell>
          <cell r="W72">
            <v>76.623000000000005</v>
          </cell>
          <cell r="X72">
            <v>72.600999999999999</v>
          </cell>
          <cell r="Y72">
            <v>67.599999999999994</v>
          </cell>
          <cell r="Z72">
            <v>66</v>
          </cell>
          <cell r="AA72">
            <v>65</v>
          </cell>
          <cell r="AB72">
            <v>64</v>
          </cell>
        </row>
        <row r="73">
          <cell r="C73">
            <v>217.089</v>
          </cell>
          <cell r="D73">
            <v>207.30099999999999</v>
          </cell>
          <cell r="E73">
            <v>196.72900000000001</v>
          </cell>
          <cell r="F73">
            <v>186.20500000000001</v>
          </cell>
          <cell r="G73">
            <v>178.25200000000001</v>
          </cell>
          <cell r="H73">
            <v>171.684</v>
          </cell>
          <cell r="I73">
            <v>168.673</v>
          </cell>
          <cell r="J73">
            <v>164.65100000000001</v>
          </cell>
          <cell r="K73">
            <v>160.673</v>
          </cell>
          <cell r="L73">
            <v>159.684</v>
          </cell>
          <cell r="M73">
            <v>160.63399999999999</v>
          </cell>
          <cell r="N73">
            <v>161.75299999999999</v>
          </cell>
          <cell r="O73">
            <v>162.98400000000001</v>
          </cell>
          <cell r="P73">
            <v>165.45599999999999</v>
          </cell>
          <cell r="Q73">
            <v>167.501</v>
          </cell>
          <cell r="R73">
            <v>168.833</v>
          </cell>
          <cell r="S73">
            <v>169.46600000000001</v>
          </cell>
          <cell r="T73">
            <v>169.67500000000001</v>
          </cell>
          <cell r="U73">
            <v>169.364</v>
          </cell>
          <cell r="V73">
            <v>167.91200000000001</v>
          </cell>
          <cell r="W73">
            <v>165.03100000000001</v>
          </cell>
          <cell r="X73">
            <v>161.654</v>
          </cell>
          <cell r="Y73">
            <v>161.5</v>
          </cell>
          <cell r="Z73">
            <v>161.30000000000001</v>
          </cell>
          <cell r="AA73">
            <v>161.19999999999999</v>
          </cell>
          <cell r="AB73">
            <v>161.1</v>
          </cell>
        </row>
      </sheetData>
      <sheetData sheetId="15"/>
      <sheetData sheetId="16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р плата"/>
      <sheetName val="Тарифы"/>
      <sheetName val="Вспомогательный"/>
      <sheetName val="З_Плата"/>
      <sheetName val="ГИПЕР-Пульт"/>
      <sheetName val="Графики-отклонение"/>
      <sheetName val="График-всё"/>
      <sheetName val="Графики-доли бюджета"/>
      <sheetName val="График-эксперименты"/>
      <sheetName val="Графики рост ЗП"/>
      <sheetName val="Графики рост тарифов"/>
      <sheetName val="Графики_ЗП"/>
      <sheetName val="темпы роста сравнение"/>
    </sheetNames>
    <sheetDataSet>
      <sheetData sheetId="0"/>
      <sheetData sheetId="1"/>
      <sheetData sheetId="2"/>
      <sheetData sheetId="3"/>
      <sheetData sheetId="4">
        <row r="3">
          <cell r="L3">
            <v>1</v>
          </cell>
          <cell r="P3">
            <v>2</v>
          </cell>
        </row>
        <row r="6">
          <cell r="G6">
            <v>2</v>
          </cell>
        </row>
        <row r="25">
          <cell r="M25">
            <v>28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45">
          <cell r="P45">
            <v>0.8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68">
          <cell r="P68">
            <v>1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87">
          <cell r="P87">
            <v>0.03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105">
          <cell r="P105">
            <v>0.05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23">
          <cell r="P123">
            <v>0.3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43">
          <cell r="P143">
            <v>0.3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</sheetData>
      <sheetData sheetId="5"/>
      <sheetData sheetId="6">
        <row r="3">
          <cell r="C3">
            <v>2006</v>
          </cell>
          <cell r="D3">
            <v>2007</v>
          </cell>
          <cell r="E3">
            <v>2008</v>
          </cell>
          <cell r="F3">
            <v>2009</v>
          </cell>
          <cell r="G3">
            <v>2010</v>
          </cell>
          <cell r="H3">
            <v>2011</v>
          </cell>
          <cell r="I3">
            <v>2012</v>
          </cell>
          <cell r="J3">
            <v>2013</v>
          </cell>
          <cell r="K3">
            <v>2014</v>
          </cell>
          <cell r="L3">
            <v>2015</v>
          </cell>
          <cell r="M3">
            <v>2016</v>
          </cell>
          <cell r="N3">
            <v>2017</v>
          </cell>
          <cell r="O3">
            <v>2018</v>
          </cell>
          <cell r="P3">
            <v>2019</v>
          </cell>
          <cell r="Q3">
            <v>2020</v>
          </cell>
          <cell r="R3">
            <v>2021</v>
          </cell>
          <cell r="S3">
            <v>2022</v>
          </cell>
          <cell r="T3">
            <v>2023</v>
          </cell>
          <cell r="U3">
            <v>2024</v>
          </cell>
          <cell r="V3">
            <v>2025</v>
          </cell>
          <cell r="W3">
            <v>2026</v>
          </cell>
          <cell r="X3">
            <v>2027</v>
          </cell>
          <cell r="Y3">
            <v>2028</v>
          </cell>
          <cell r="Z3">
            <v>2029</v>
          </cell>
          <cell r="AA3">
            <v>2030</v>
          </cell>
        </row>
        <row r="4">
          <cell r="A4" t="str">
            <v>жилой фонд</v>
          </cell>
          <cell r="C4">
            <v>0.66664701586890096</v>
          </cell>
          <cell r="D4">
            <v>0.67440721244595103</v>
          </cell>
          <cell r="E4">
            <v>0.68382641417593182</v>
          </cell>
          <cell r="F4">
            <v>0.68949203909002266</v>
          </cell>
          <cell r="G4">
            <v>0.69509618586710042</v>
          </cell>
          <cell r="H4">
            <v>0.70324026693585318</v>
          </cell>
          <cell r="I4">
            <v>0.71130600748910722</v>
          </cell>
          <cell r="J4">
            <v>0.71420908187486365</v>
          </cell>
          <cell r="K4">
            <v>0.7247792757768966</v>
          </cell>
          <cell r="L4">
            <v>0.72948865068040558</v>
          </cell>
          <cell r="M4">
            <v>0.73444371019485666</v>
          </cell>
          <cell r="N4">
            <v>0.73900751194184011</v>
          </cell>
          <cell r="O4">
            <v>0.74395178885244417</v>
          </cell>
          <cell r="P4">
            <v>0.76559469179445616</v>
          </cell>
          <cell r="Q4">
            <v>0.78821613413092539</v>
          </cell>
          <cell r="R4">
            <v>0.81096486903207377</v>
          </cell>
          <cell r="S4">
            <v>0.82962786058067883</v>
          </cell>
          <cell r="T4">
            <v>0.84849586264037324</v>
          </cell>
          <cell r="U4">
            <v>0.86584998613069852</v>
          </cell>
          <cell r="V4">
            <v>0.8846030882895175</v>
          </cell>
          <cell r="W4">
            <v>0.9038761417880995</v>
          </cell>
          <cell r="X4">
            <v>0.92002224912774366</v>
          </cell>
          <cell r="Y4">
            <v>0.93905479341711584</v>
          </cell>
          <cell r="Z4">
            <v>0.96136511678723569</v>
          </cell>
          <cell r="AA4">
            <v>0.98230729634668978</v>
          </cell>
          <cell r="AB4">
            <v>1.0000000173155388</v>
          </cell>
        </row>
        <row r="5">
          <cell r="A5" t="str">
            <v>дошкольные учреждения</v>
          </cell>
          <cell r="C5">
            <v>0.71744316587145662</v>
          </cell>
          <cell r="D5">
            <v>0.75296412611889707</v>
          </cell>
          <cell r="E5">
            <v>0.76631904458685018</v>
          </cell>
          <cell r="F5">
            <v>0.75908954744235368</v>
          </cell>
          <cell r="G5">
            <v>0.74890928533424383</v>
          </cell>
          <cell r="H5">
            <v>0.7408101902098454</v>
          </cell>
          <cell r="I5">
            <v>0.74197006819418376</v>
          </cell>
          <cell r="J5">
            <v>0.75124272405084602</v>
          </cell>
          <cell r="K5">
            <v>0.78363534511139155</v>
          </cell>
          <cell r="L5">
            <v>0.76404624076456673</v>
          </cell>
          <cell r="M5">
            <v>0.75775469584019561</v>
          </cell>
          <cell r="N5">
            <v>0.75556205829956513</v>
          </cell>
          <cell r="O5">
            <v>0.84196546728281474</v>
          </cell>
          <cell r="P5">
            <v>0.83064401765421048</v>
          </cell>
          <cell r="Q5">
            <v>0.8334681693646232</v>
          </cell>
          <cell r="R5">
            <v>0.84670001202454714</v>
          </cell>
          <cell r="S5">
            <v>0.86887213232092453</v>
          </cell>
          <cell r="T5">
            <v>0.87833260233883159</v>
          </cell>
          <cell r="U5">
            <v>0.89501808116747916</v>
          </cell>
          <cell r="V5">
            <v>0.90185293097320274</v>
          </cell>
          <cell r="W5">
            <v>0.91388097855562023</v>
          </cell>
          <cell r="X5">
            <v>0.95198139005631066</v>
          </cell>
          <cell r="Y5">
            <v>1.0033307774625861</v>
          </cell>
          <cell r="Z5">
            <v>1.0072261753999128</v>
          </cell>
          <cell r="AA5">
            <v>1.0040891405246943</v>
          </cell>
          <cell r="AB5">
            <v>1.0054259183530323</v>
          </cell>
        </row>
        <row r="6">
          <cell r="A6" t="str">
            <v>общее полное образование</v>
          </cell>
          <cell r="C6">
            <v>0.91611274638512319</v>
          </cell>
          <cell r="D6">
            <v>0.92028547860357657</v>
          </cell>
          <cell r="E6">
            <v>0.93531800344636529</v>
          </cell>
          <cell r="F6">
            <v>0.97080149292446505</v>
          </cell>
          <cell r="G6">
            <v>0.98786576997901843</v>
          </cell>
          <cell r="H6">
            <v>1.0235383538244507</v>
          </cell>
          <cell r="I6">
            <v>1.0112884950052563</v>
          </cell>
          <cell r="J6">
            <v>0.98799299145627872</v>
          </cell>
          <cell r="K6">
            <v>0.93909215069018648</v>
          </cell>
          <cell r="L6">
            <v>0.94515205599174956</v>
          </cell>
          <cell r="M6">
            <v>0.93515238938952172</v>
          </cell>
          <cell r="N6">
            <v>0.92300482815240303</v>
          </cell>
          <cell r="O6">
            <v>0.92997284288541204</v>
          </cell>
          <cell r="P6">
            <v>0.91660453480371273</v>
          </cell>
          <cell r="Q6">
            <v>0.91781724280292831</v>
          </cell>
          <cell r="R6">
            <v>0.92869246166117458</v>
          </cell>
          <cell r="S6">
            <v>0.93878463864483241</v>
          </cell>
          <cell r="T6">
            <v>0.94309641124970156</v>
          </cell>
          <cell r="U6">
            <v>0.94640365174809371</v>
          </cell>
          <cell r="V6">
            <v>0.95407166093088069</v>
          </cell>
          <cell r="W6">
            <v>0.96635892725236405</v>
          </cell>
          <cell r="X6">
            <v>0.97792283457581497</v>
          </cell>
          <cell r="Y6">
            <v>0.97678433462222602</v>
          </cell>
          <cell r="Z6">
            <v>0.98212952339042714</v>
          </cell>
          <cell r="AA6">
            <v>0.98738261914848557</v>
          </cell>
          <cell r="AB6">
            <v>0.99985913401309134</v>
          </cell>
        </row>
        <row r="7">
          <cell r="A7" t="str">
            <v>больницы</v>
          </cell>
          <cell r="C7">
            <v>0.4573429257778871</v>
          </cell>
          <cell r="D7">
            <v>0.46235206299728643</v>
          </cell>
          <cell r="E7">
            <v>0.4290119931672281</v>
          </cell>
          <cell r="F7">
            <v>0.39845298254540207</v>
          </cell>
          <cell r="G7">
            <v>0.3896029759012567</v>
          </cell>
          <cell r="H7">
            <v>0.37684926683399445</v>
          </cell>
          <cell r="I7">
            <v>0.37665724428430825</v>
          </cell>
          <cell r="J7">
            <v>0.37693276751146698</v>
          </cell>
          <cell r="K7">
            <v>0.40816569131282371</v>
          </cell>
          <cell r="L7">
            <v>0.42631001186388079</v>
          </cell>
          <cell r="M7">
            <v>0.43843226252111861</v>
          </cell>
          <cell r="N7">
            <v>0.46478008642591528</v>
          </cell>
          <cell r="O7">
            <v>0.51091830805237948</v>
          </cell>
          <cell r="P7">
            <v>0.52788018701002892</v>
          </cell>
          <cell r="Q7">
            <v>0.55886156912966911</v>
          </cell>
          <cell r="R7">
            <v>0.65244800545962534</v>
          </cell>
          <cell r="S7">
            <v>0.66245196980335885</v>
          </cell>
          <cell r="T7">
            <v>0.70782103750762271</v>
          </cell>
          <cell r="U7">
            <v>0.72329643324691284</v>
          </cell>
          <cell r="V7">
            <v>0.76517705914034384</v>
          </cell>
          <cell r="W7">
            <v>0.78959902259820525</v>
          </cell>
          <cell r="X7">
            <v>0.86304700278638335</v>
          </cell>
          <cell r="Y7">
            <v>0.89814089978108824</v>
          </cell>
          <cell r="Z7">
            <v>0.93315271639550845</v>
          </cell>
          <cell r="AA7">
            <v>0.96815110610389132</v>
          </cell>
          <cell r="AB7">
            <v>1.0023289318020201</v>
          </cell>
        </row>
        <row r="8">
          <cell r="A8" t="str">
            <v>поликлиники</v>
          </cell>
          <cell r="C8">
            <v>0.45167610597776009</v>
          </cell>
          <cell r="D8">
            <v>0.47687239359465461</v>
          </cell>
          <cell r="E8">
            <v>0.50652474868757458</v>
          </cell>
          <cell r="F8">
            <v>0.48631467035505449</v>
          </cell>
          <cell r="G8">
            <v>0.49669820803197762</v>
          </cell>
          <cell r="H8">
            <v>0.51741281427448782</v>
          </cell>
          <cell r="I8">
            <v>0.51876535327247919</v>
          </cell>
          <cell r="J8">
            <v>0.49598814531294344</v>
          </cell>
          <cell r="K8">
            <v>0.48842340591387812</v>
          </cell>
          <cell r="L8">
            <v>0.50668583019024838</v>
          </cell>
          <cell r="M8">
            <v>0.52480199156843121</v>
          </cell>
          <cell r="N8">
            <v>0.54291134373454009</v>
          </cell>
          <cell r="O8">
            <v>0.63795192729659733</v>
          </cell>
          <cell r="P8">
            <v>0.634891755067435</v>
          </cell>
          <cell r="Q8">
            <v>0.65198056027278817</v>
          </cell>
          <cell r="R8">
            <v>0.68930228187033504</v>
          </cell>
          <cell r="S8">
            <v>0.71773706536217186</v>
          </cell>
          <cell r="T8">
            <v>0.74373705964109538</v>
          </cell>
          <cell r="U8">
            <v>0.77016303640284745</v>
          </cell>
          <cell r="V8">
            <v>0.80016660581067167</v>
          </cell>
          <cell r="W8">
            <v>0.83200286160878378</v>
          </cell>
          <cell r="X8">
            <v>0.8776318059816185</v>
          </cell>
          <cell r="Y8">
            <v>0.91046159415203753</v>
          </cell>
          <cell r="Z8">
            <v>0.94026799102895642</v>
          </cell>
          <cell r="AA8">
            <v>0.96987507812983265</v>
          </cell>
          <cell r="AB8">
            <v>0.99908890843413989</v>
          </cell>
        </row>
        <row r="9">
          <cell r="A9" t="str">
            <v>культура</v>
          </cell>
          <cell r="C9">
            <v>0.36887234694810306</v>
          </cell>
          <cell r="D9">
            <v>0.38011698505816505</v>
          </cell>
          <cell r="E9">
            <v>0.39234047080196999</v>
          </cell>
          <cell r="F9">
            <v>0.39797660993906231</v>
          </cell>
          <cell r="G9">
            <v>0.40988502674525507</v>
          </cell>
          <cell r="H9">
            <v>0.4328089962789935</v>
          </cell>
          <cell r="I9">
            <v>0.4523541665417527</v>
          </cell>
          <cell r="J9">
            <v>0.47400052595548187</v>
          </cell>
          <cell r="K9">
            <v>0.48651440946469238</v>
          </cell>
          <cell r="L9">
            <v>0.49034442503067543</v>
          </cell>
          <cell r="M9">
            <v>0.51292986832233589</v>
          </cell>
          <cell r="N9">
            <v>0.51731339399443033</v>
          </cell>
          <cell r="O9">
            <v>0.55120995833779207</v>
          </cell>
          <cell r="P9">
            <v>0.56581310221444669</v>
          </cell>
          <cell r="Q9">
            <v>0.64671617816136162</v>
          </cell>
          <cell r="R9">
            <v>0.66240105054887577</v>
          </cell>
          <cell r="S9">
            <v>0.72901947144002432</v>
          </cell>
          <cell r="T9">
            <v>0.73550222212832717</v>
          </cell>
          <cell r="U9">
            <v>0.75360092195468242</v>
          </cell>
          <cell r="V9">
            <v>0.77539329982165095</v>
          </cell>
          <cell r="W9">
            <v>0.84624217967624538</v>
          </cell>
          <cell r="X9">
            <v>0.85610035707545218</v>
          </cell>
          <cell r="Y9">
            <v>0.90955741457578776</v>
          </cell>
          <cell r="Z9">
            <v>0.94007862517427321</v>
          </cell>
          <cell r="AA9">
            <v>0.97000737408396931</v>
          </cell>
          <cell r="AB9">
            <v>0.99993728648647751</v>
          </cell>
        </row>
        <row r="10">
          <cell r="A10" t="str">
            <v>физическая культура</v>
          </cell>
          <cell r="C10">
            <v>0.36887234694810306</v>
          </cell>
          <cell r="D10">
            <v>0.38011698505816505</v>
          </cell>
          <cell r="E10">
            <v>0.38302480298700586</v>
          </cell>
          <cell r="F10">
            <v>0.3858192757888706</v>
          </cell>
          <cell r="G10">
            <v>0.40984283653372461</v>
          </cell>
          <cell r="H10">
            <v>0.43580709095336007</v>
          </cell>
          <cell r="I10">
            <v>0.4556705718942341</v>
          </cell>
          <cell r="J10">
            <v>0.47665083618227422</v>
          </cell>
          <cell r="K10">
            <v>0.50483765798384994</v>
          </cell>
          <cell r="L10">
            <v>0.51190977564081808</v>
          </cell>
          <cell r="M10">
            <v>0.52122630292511229</v>
          </cell>
          <cell r="N10">
            <v>0.53016200436735539</v>
          </cell>
          <cell r="O10">
            <v>0.55519346314801787</v>
          </cell>
          <cell r="P10">
            <v>0.61334637340366738</v>
          </cell>
          <cell r="Q10">
            <v>0.64029974146045887</v>
          </cell>
          <cell r="R10">
            <v>0.69535386358946916</v>
          </cell>
          <cell r="S10">
            <v>0.71692395261992337</v>
          </cell>
          <cell r="T10">
            <v>0.74168224922641268</v>
          </cell>
          <cell r="U10">
            <v>0.79690542819165133</v>
          </cell>
          <cell r="V10">
            <v>0.80650982261377635</v>
          </cell>
          <cell r="W10">
            <v>0.83240121745693552</v>
          </cell>
          <cell r="X10">
            <v>0.87574726563008354</v>
          </cell>
          <cell r="Y10">
            <v>0.91299448891083324</v>
          </cell>
          <cell r="Z10">
            <v>0.94226728473180221</v>
          </cell>
          <cell r="AA10">
            <v>0.97124398004198587</v>
          </cell>
          <cell r="AB10">
            <v>1.0000449295788294</v>
          </cell>
        </row>
        <row r="11">
          <cell r="C11"/>
          <cell r="AA11">
            <v>1</v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КХ"/>
      <sheetName val="Дошкольное"/>
      <sheetName val="Общее образование"/>
      <sheetName val="Больницы"/>
      <sheetName val="Поликлиники"/>
      <sheetName val="Культура"/>
      <sheetName val="Физкультура"/>
      <sheetName val="Графики Ретро-Модель"/>
    </sheetNames>
    <definedNames>
      <definedName name="reexpl1" refersTo="='ЖКХ'!$B$31:$I$33"/>
      <definedName name="reexpl2" refersTo="='Дошкольное'!$B$31:$I$33"/>
      <definedName name="reexpl3" refersTo="='Общее образование'!$B$31:$I$33"/>
      <definedName name="reexpl4" refersTo="='Больницы'!$B$31:$I$33"/>
      <definedName name="reexpl5" refersTo="='Поликлиники'!$B$31:$I$33"/>
      <definedName name="reexpl6" refersTo="='Культура'!$B$31:$I$33"/>
      <definedName name="reexpl7" refersTo="='Физкультура'!$B$31:$I$33"/>
      <definedName name="remo1" refersTo="='ЖКХ'!$B$4:$I$5"/>
      <definedName name="remo2" refersTo="='Дошкольное'!$B$4:$I$5"/>
      <definedName name="remo3" refersTo="='Общее образование'!$B$4:$I$5"/>
      <definedName name="remo4" refersTo="='Больницы'!$B$4:$I$5"/>
      <definedName name="remo5" refersTo="='Поликлиники'!$B$4:$I$5"/>
      <definedName name="remo6" refersTo="='Культура'!$B$4:$I$5"/>
      <definedName name="remo7" refersTo="='Физкультура'!$B$4:$I$5"/>
      <definedName name="revvod1" refersTo="='ЖКХ'!$B$57:$I$58"/>
      <definedName name="revvod2" refersTo="='Дошкольное'!$B$57:$I$58"/>
      <definedName name="revvod3" refersTo="='Общее образование'!$B$57:$I$58"/>
      <definedName name="revvod4" refersTo="='Больницы'!$B$57:$I$58"/>
      <definedName name="revvod5" refersTo="='Поликлиники'!$B$57:$I$58"/>
      <definedName name="revvod666" refersTo="='Культура'!$B$57:$I$58"/>
      <definedName name="revvod7" refersTo="='Физкультура'!$B$57:$I$58"/>
    </definedNames>
    <sheetDataSet>
      <sheetData sheetId="0">
        <row r="4">
          <cell r="B4">
            <v>21169000</v>
          </cell>
          <cell r="C4">
            <v>21239000</v>
          </cell>
          <cell r="D4">
            <v>21391000</v>
          </cell>
          <cell r="E4">
            <v>21475000</v>
          </cell>
          <cell r="F4">
            <v>21540000</v>
          </cell>
          <cell r="G4">
            <v>21660000</v>
          </cell>
          <cell r="H4">
            <v>21856000</v>
          </cell>
          <cell r="I4">
            <v>21796000</v>
          </cell>
        </row>
        <row r="5">
          <cell r="B5">
            <v>21169000</v>
          </cell>
          <cell r="C5">
            <v>21241429</v>
          </cell>
          <cell r="D5">
            <v>21387661.283999998</v>
          </cell>
          <cell r="E5">
            <v>21475591.993728001</v>
          </cell>
          <cell r="F5">
            <v>21531013.073790722</v>
          </cell>
          <cell r="G5">
            <v>21652238.982274186</v>
          </cell>
          <cell r="H5">
            <v>21822583.787362814</v>
          </cell>
          <cell r="I5">
            <v>21812319.606017236</v>
          </cell>
        </row>
        <row r="31">
          <cell r="B31">
            <v>3965832.056402415</v>
          </cell>
          <cell r="C31">
            <v>4823364.9431707151</v>
          </cell>
          <cell r="D31">
            <v>5855707.9514718596</v>
          </cell>
          <cell r="E31">
            <v>6906844.1732937433</v>
          </cell>
          <cell r="F31">
            <v>7814679.5205066446</v>
          </cell>
          <cell r="G31">
            <v>8993941.4254415091</v>
          </cell>
          <cell r="H31">
            <v>9709579.7514006868</v>
          </cell>
          <cell r="I31">
            <v>9992371.8996738084</v>
          </cell>
        </row>
        <row r="32">
          <cell r="B32">
            <v>3997723.3119999999</v>
          </cell>
          <cell r="C32">
            <v>4889123.3570296699</v>
          </cell>
          <cell r="D32">
            <v>5867955.582852996</v>
          </cell>
          <cell r="E32">
            <v>7007234.1475985004</v>
          </cell>
          <cell r="F32">
            <v>7707776.8012107676</v>
          </cell>
          <cell r="G32">
            <v>9130882.7854666337</v>
          </cell>
          <cell r="H32">
            <v>9824039.7629310917</v>
          </cell>
          <cell r="I32">
            <v>10128182.9378621</v>
          </cell>
        </row>
        <row r="33">
          <cell r="B33">
            <v>3997723.3119999999</v>
          </cell>
          <cell r="C33">
            <v>4889123.3570296699</v>
          </cell>
          <cell r="D33">
            <v>5867955.582852996</v>
          </cell>
          <cell r="E33">
            <v>7007234.1475985004</v>
          </cell>
          <cell r="F33">
            <v>7707776.8012107676</v>
          </cell>
          <cell r="G33">
            <v>9130882.7854666337</v>
          </cell>
          <cell r="H33">
            <v>8257540.100730177</v>
          </cell>
          <cell r="I33">
            <v>10128182.9378621</v>
          </cell>
        </row>
        <row r="57">
          <cell r="B57">
            <v>133673</v>
          </cell>
          <cell r="C57">
            <v>175310</v>
          </cell>
          <cell r="D57">
            <v>194042</v>
          </cell>
          <cell r="E57">
            <v>189539</v>
          </cell>
          <cell r="F57">
            <v>198002</v>
          </cell>
          <cell r="G57">
            <v>174200</v>
          </cell>
          <cell r="H57">
            <v>215500</v>
          </cell>
          <cell r="I57">
            <v>178300</v>
          </cell>
        </row>
        <row r="58">
          <cell r="B58">
            <v>132947</v>
          </cell>
          <cell r="C58">
            <v>173808</v>
          </cell>
          <cell r="D58">
            <v>194474</v>
          </cell>
          <cell r="E58">
            <v>190616</v>
          </cell>
          <cell r="F58">
            <v>195145</v>
          </cell>
          <cell r="G58">
            <v>175906</v>
          </cell>
          <cell r="H58">
            <v>213894</v>
          </cell>
          <cell r="I58">
            <v>190141</v>
          </cell>
        </row>
        <row r="87">
          <cell r="B87">
            <v>2006</v>
          </cell>
          <cell r="C87">
            <v>2007</v>
          </cell>
          <cell r="D87">
            <v>2008</v>
          </cell>
          <cell r="E87">
            <v>2009</v>
          </cell>
          <cell r="F87">
            <v>2010</v>
          </cell>
          <cell r="G87">
            <v>2011</v>
          </cell>
          <cell r="H87">
            <v>2012</v>
          </cell>
          <cell r="I87">
            <v>2013</v>
          </cell>
        </row>
        <row r="88">
          <cell r="A88" t="str">
            <v>ретро</v>
          </cell>
          <cell r="B88">
            <v>18.460451977401132</v>
          </cell>
          <cell r="C88">
            <v>18.845366331345144</v>
          </cell>
          <cell r="D88">
            <v>19.046722267061252</v>
          </cell>
          <cell r="E88">
            <v>19.246895807090155</v>
          </cell>
          <cell r="F88">
            <v>19.360800576992428</v>
          </cell>
          <cell r="G88">
            <v>19.422903516681693</v>
          </cell>
          <cell r="H88">
            <v>19.580546013379134</v>
          </cell>
          <cell r="I88">
            <v>19.879934509732578</v>
          </cell>
        </row>
        <row r="89">
          <cell r="A89" t="str">
            <v>модель</v>
          </cell>
          <cell r="B89">
            <v>18.666116444329226</v>
          </cell>
          <cell r="C89">
            <v>18.883401948486629</v>
          </cell>
          <cell r="D89">
            <v>19.147139596926092</v>
          </cell>
          <cell r="E89">
            <v>19.305777094520636</v>
          </cell>
          <cell r="F89">
            <v>19.462693204278811</v>
          </cell>
          <cell r="G89">
            <v>19.690727474203889</v>
          </cell>
          <cell r="H89">
            <v>19.916568209695001</v>
          </cell>
          <cell r="I89">
            <v>19.997854292496182</v>
          </cell>
        </row>
      </sheetData>
      <sheetData sheetId="1">
        <row r="4">
          <cell r="B4">
            <v>40900</v>
          </cell>
          <cell r="C4">
            <v>43200</v>
          </cell>
          <cell r="D4">
            <v>45400</v>
          </cell>
          <cell r="E4">
            <v>46200</v>
          </cell>
          <cell r="F4">
            <v>47100</v>
          </cell>
          <cell r="G4">
            <v>49600</v>
          </cell>
          <cell r="H4">
            <v>51600</v>
          </cell>
          <cell r="I4">
            <v>53900</v>
          </cell>
        </row>
        <row r="5">
          <cell r="B5">
            <v>40900</v>
          </cell>
          <cell r="C5">
            <v>43540</v>
          </cell>
          <cell r="D5">
            <v>45250.22</v>
          </cell>
          <cell r="E5">
            <v>45824.717800000006</v>
          </cell>
          <cell r="F5">
            <v>46506.068364400009</v>
          </cell>
          <cell r="G5">
            <v>47218.056227671208</v>
          </cell>
          <cell r="H5">
            <v>48432.838171443538</v>
          </cell>
          <cell r="I5">
            <v>50661.405333272101</v>
          </cell>
        </row>
        <row r="31">
          <cell r="B31">
            <v>522130.92072973103</v>
          </cell>
          <cell r="C31">
            <v>565907.91162916506</v>
          </cell>
          <cell r="D31">
            <v>834252.94752652524</v>
          </cell>
          <cell r="E31">
            <v>938842.82349918853</v>
          </cell>
          <cell r="F31">
            <v>697282.45784926601</v>
          </cell>
          <cell r="G31">
            <v>1057050.360413528</v>
          </cell>
          <cell r="H31">
            <v>1276039.6602296242</v>
          </cell>
          <cell r="I31">
            <v>1386835.9151430614</v>
          </cell>
        </row>
        <row r="32">
          <cell r="B32">
            <v>517851.25999999995</v>
          </cell>
          <cell r="C32">
            <v>574921.54836200003</v>
          </cell>
          <cell r="D32">
            <v>833107.02980692452</v>
          </cell>
          <cell r="E32">
            <v>961204.41795173066</v>
          </cell>
          <cell r="F32">
            <v>707559.91504491819</v>
          </cell>
          <cell r="G32">
            <v>1045387.6478586521</v>
          </cell>
          <cell r="H32">
            <v>1262301.0564856397</v>
          </cell>
          <cell r="I32">
            <v>1408768.1236271264</v>
          </cell>
        </row>
        <row r="33">
          <cell r="B33">
            <v>517851.25999999995</v>
          </cell>
          <cell r="C33">
            <v>574921.54836200003</v>
          </cell>
          <cell r="D33">
            <v>833107.02980692452</v>
          </cell>
          <cell r="E33">
            <v>961204.41795173066</v>
          </cell>
          <cell r="F33">
            <v>707559.91504491819</v>
          </cell>
          <cell r="G33">
            <v>1045387.6478586518</v>
          </cell>
          <cell r="H33">
            <v>1262301.0564856397</v>
          </cell>
          <cell r="I33">
            <v>1408768.1236271264</v>
          </cell>
        </row>
        <row r="57">
          <cell r="B57">
            <v>3000</v>
          </cell>
          <cell r="C57">
            <v>2000</v>
          </cell>
          <cell r="D57">
            <v>1000</v>
          </cell>
          <cell r="E57">
            <v>800</v>
          </cell>
          <cell r="F57">
            <v>800</v>
          </cell>
          <cell r="G57">
            <v>1200</v>
          </cell>
          <cell r="H57">
            <v>2200</v>
          </cell>
          <cell r="I57">
            <v>3200</v>
          </cell>
        </row>
        <row r="58">
          <cell r="B58">
            <v>3049</v>
          </cell>
          <cell r="C58">
            <v>2015</v>
          </cell>
          <cell r="D58">
            <v>1027</v>
          </cell>
          <cell r="E58">
            <v>773</v>
          </cell>
          <cell r="F58">
            <v>805</v>
          </cell>
          <cell r="G58">
            <v>1262</v>
          </cell>
          <cell r="H58">
            <v>2277</v>
          </cell>
          <cell r="I58">
            <v>2997</v>
          </cell>
        </row>
        <row r="87">
          <cell r="B87">
            <v>2006</v>
          </cell>
          <cell r="C87">
            <v>2007</v>
          </cell>
          <cell r="D87">
            <v>2008</v>
          </cell>
          <cell r="E87">
            <v>2009</v>
          </cell>
          <cell r="F87">
            <v>2010</v>
          </cell>
          <cell r="G87">
            <v>2011</v>
          </cell>
          <cell r="H87">
            <v>2012</v>
          </cell>
          <cell r="I87">
            <v>2013</v>
          </cell>
        </row>
        <row r="88">
          <cell r="A88" t="str">
            <v>ретро</v>
          </cell>
          <cell r="B88">
            <v>0.56584717975678256</v>
          </cell>
          <cell r="C88">
            <v>0.58527861700830497</v>
          </cell>
          <cell r="D88">
            <v>0.60164325470447921</v>
          </cell>
          <cell r="E88">
            <v>0.59518441698980973</v>
          </cell>
          <cell r="F88">
            <v>0.59116639262987458</v>
          </cell>
          <cell r="G88">
            <v>0.60788038482750162</v>
          </cell>
          <cell r="H88">
            <v>0.61212868938027898</v>
          </cell>
          <cell r="I88">
            <v>0.63573315719947154</v>
          </cell>
        </row>
        <row r="89">
          <cell r="A89" t="str">
            <v>модель</v>
          </cell>
          <cell r="B89">
            <v>0.57395453269716534</v>
          </cell>
          <cell r="C89">
            <v>0.6023713008951177</v>
          </cell>
          <cell r="D89">
            <v>0.61305523566948017</v>
          </cell>
          <cell r="E89">
            <v>0.60727163795388295</v>
          </cell>
          <cell r="F89">
            <v>0.59912742826739507</v>
          </cell>
          <cell r="G89">
            <v>0.59264815216787636</v>
          </cell>
          <cell r="H89">
            <v>0.59357605455534701</v>
          </cell>
          <cell r="I89">
            <v>0.60099417924067688</v>
          </cell>
        </row>
      </sheetData>
      <sheetData sheetId="2">
        <row r="4">
          <cell r="B4">
            <v>198878</v>
          </cell>
          <cell r="C4">
            <v>190332</v>
          </cell>
          <cell r="D4">
            <v>183772</v>
          </cell>
          <cell r="E4">
            <v>179224</v>
          </cell>
          <cell r="F4">
            <v>175880</v>
          </cell>
          <cell r="G4">
            <v>173763</v>
          </cell>
          <cell r="H4">
            <v>171985</v>
          </cell>
          <cell r="I4">
            <v>171885</v>
          </cell>
        </row>
        <row r="5">
          <cell r="B5">
            <v>198878</v>
          </cell>
          <cell r="C5">
            <v>190776.1</v>
          </cell>
          <cell r="D5">
            <v>184004.17550000001</v>
          </cell>
          <cell r="E5">
            <v>180768.09199000002</v>
          </cell>
          <cell r="F5">
            <v>176089.04923030001</v>
          </cell>
          <cell r="G5">
            <v>175725.158737997</v>
          </cell>
          <cell r="H5">
            <v>170577.06431802158</v>
          </cell>
          <cell r="I5">
            <v>162674.03403626775</v>
          </cell>
        </row>
        <row r="31">
          <cell r="B31">
            <v>2296999.3805503035</v>
          </cell>
          <cell r="C31">
            <v>2637698.5706054163</v>
          </cell>
          <cell r="D31">
            <v>2032972.4961009468</v>
          </cell>
          <cell r="E31">
            <v>2516688.7587618558</v>
          </cell>
          <cell r="F31">
            <v>3475911.0577385938</v>
          </cell>
          <cell r="G31">
            <v>3326221.7282000771</v>
          </cell>
          <cell r="H31">
            <v>14234387.848328512</v>
          </cell>
          <cell r="I31">
            <v>14892157.508557448</v>
          </cell>
        </row>
        <row r="32">
          <cell r="B32">
            <v>2304677.8152000001</v>
          </cell>
          <cell r="C32">
            <v>2703980.1055842899</v>
          </cell>
          <cell r="D32">
            <v>2072488.8384396045</v>
          </cell>
          <cell r="E32">
            <v>2527821.9119477458</v>
          </cell>
          <cell r="F32">
            <v>3467046.7951236344</v>
          </cell>
          <cell r="G32">
            <v>3334697.2693839096</v>
          </cell>
          <cell r="H32">
            <v>14549681.201817384</v>
          </cell>
          <cell r="I32">
            <v>14936288.688019773</v>
          </cell>
        </row>
        <row r="33">
          <cell r="B33">
            <v>2304677.8152000001</v>
          </cell>
          <cell r="C33">
            <v>2703980.1055842899</v>
          </cell>
          <cell r="D33">
            <v>2072488.8384396045</v>
          </cell>
          <cell r="E33">
            <v>2527821.9119477458</v>
          </cell>
          <cell r="F33">
            <v>3467046.7951236344</v>
          </cell>
          <cell r="G33">
            <v>2396190.2529963171</v>
          </cell>
          <cell r="H33">
            <v>7012664.0327338437</v>
          </cell>
          <cell r="I33">
            <v>6618415.0868652854</v>
          </cell>
        </row>
        <row r="57">
          <cell r="B57">
            <v>1850</v>
          </cell>
          <cell r="C57">
            <v>1847</v>
          </cell>
          <cell r="D57">
            <v>440</v>
          </cell>
          <cell r="E57">
            <v>1822</v>
          </cell>
          <cell r="F57">
            <v>1200</v>
          </cell>
          <cell r="G57">
            <v>1000</v>
          </cell>
          <cell r="H57">
            <v>700</v>
          </cell>
          <cell r="I57">
            <v>1000</v>
          </cell>
        </row>
        <row r="58">
          <cell r="B58">
            <v>1842</v>
          </cell>
          <cell r="C58">
            <v>1813</v>
          </cell>
          <cell r="D58">
            <v>444</v>
          </cell>
          <cell r="E58">
            <v>744</v>
          </cell>
          <cell r="F58">
            <v>1397</v>
          </cell>
          <cell r="G58">
            <v>50</v>
          </cell>
          <cell r="H58">
            <v>214</v>
          </cell>
          <cell r="I58">
            <v>876</v>
          </cell>
        </row>
      </sheetData>
      <sheetData sheetId="3">
        <row r="4">
          <cell r="B4">
            <v>15560</v>
          </cell>
          <cell r="C4">
            <v>15387</v>
          </cell>
          <cell r="D4">
            <v>14147</v>
          </cell>
          <cell r="E4">
            <v>13063</v>
          </cell>
          <cell r="F4">
            <v>12898</v>
          </cell>
          <cell r="G4">
            <v>12236</v>
          </cell>
          <cell r="H4">
            <v>12237</v>
          </cell>
          <cell r="I4">
            <v>12138</v>
          </cell>
        </row>
        <row r="5">
          <cell r="B5">
            <v>15560</v>
          </cell>
          <cell r="C5">
            <v>15602.620564798397</v>
          </cell>
          <cell r="D5">
            <v>14376.397816790533</v>
          </cell>
          <cell r="E5">
            <v>13297.077304789347</v>
          </cell>
          <cell r="F5">
            <v>12930.194212597775</v>
          </cell>
          <cell r="G5">
            <v>12431.684501967888</v>
          </cell>
          <cell r="H5">
            <v>12381.100276869494</v>
          </cell>
          <cell r="I5">
            <v>12333.990249182545</v>
          </cell>
        </row>
        <row r="31">
          <cell r="B31">
            <v>3623558.6263313103</v>
          </cell>
          <cell r="C31">
            <v>4148133.8821718739</v>
          </cell>
          <cell r="D31">
            <v>3012749.6845726948</v>
          </cell>
          <cell r="E31">
            <v>1565741.3490475533</v>
          </cell>
          <cell r="F31">
            <v>1954644.7071105712</v>
          </cell>
          <cell r="G31">
            <v>2330447.8146110289</v>
          </cell>
          <cell r="H31">
            <v>1956558.9718999327</v>
          </cell>
          <cell r="I31">
            <v>2043043.4403912639</v>
          </cell>
        </row>
        <row r="32">
          <cell r="B32">
            <v>3589614.1999999997</v>
          </cell>
          <cell r="C32">
            <v>4252787.9542679349</v>
          </cell>
          <cell r="D32">
            <v>3113947.3132673013</v>
          </cell>
          <cell r="E32">
            <v>1590849.5498618162</v>
          </cell>
          <cell r="F32">
            <v>1990389.9448457144</v>
          </cell>
          <cell r="G32">
            <v>2359133.1292728879</v>
          </cell>
          <cell r="H32">
            <v>1936125.5565438024</v>
          </cell>
          <cell r="I32">
            <v>1973739.5966344902</v>
          </cell>
        </row>
        <row r="33">
          <cell r="B33">
            <v>3579351.5299041537</v>
          </cell>
          <cell r="C33">
            <v>4252787.9542679349</v>
          </cell>
          <cell r="D33">
            <v>2797615.2511552582</v>
          </cell>
          <cell r="E33">
            <v>1590849.5498618167</v>
          </cell>
          <cell r="F33">
            <v>1137022.1277935612</v>
          </cell>
          <cell r="G33">
            <v>2359133.1292728879</v>
          </cell>
          <cell r="H33">
            <v>1936125.5565438024</v>
          </cell>
          <cell r="I33">
            <v>1973739.5966344902</v>
          </cell>
        </row>
        <row r="57">
          <cell r="B57">
            <v>100</v>
          </cell>
          <cell r="C57">
            <v>90</v>
          </cell>
          <cell r="D57">
            <v>80</v>
          </cell>
          <cell r="E57">
            <v>150</v>
          </cell>
          <cell r="F57">
            <v>200</v>
          </cell>
          <cell r="G57">
            <v>500</v>
          </cell>
          <cell r="H57">
            <v>1200</v>
          </cell>
          <cell r="I57">
            <v>1100</v>
          </cell>
        </row>
        <row r="58">
          <cell r="B58">
            <v>200</v>
          </cell>
          <cell r="C58">
            <v>100</v>
          </cell>
          <cell r="D58">
            <v>100</v>
          </cell>
          <cell r="E58">
            <v>165</v>
          </cell>
          <cell r="F58">
            <v>148</v>
          </cell>
          <cell r="G58">
            <v>571</v>
          </cell>
          <cell r="H58">
            <v>1191</v>
          </cell>
          <cell r="I58">
            <v>1067</v>
          </cell>
        </row>
      </sheetData>
      <sheetData sheetId="4">
        <row r="4">
          <cell r="B4">
            <v>25612</v>
          </cell>
          <cell r="C4">
            <v>26676</v>
          </cell>
          <cell r="D4">
            <v>28354</v>
          </cell>
          <cell r="E4">
            <v>26739</v>
          </cell>
          <cell r="F4">
            <v>27400</v>
          </cell>
          <cell r="G4">
            <v>28452</v>
          </cell>
          <cell r="H4">
            <v>28500</v>
          </cell>
          <cell r="I4">
            <v>26880</v>
          </cell>
        </row>
        <row r="5">
          <cell r="B5">
            <v>25612</v>
          </cell>
          <cell r="C5">
            <v>26821.043999999998</v>
          </cell>
          <cell r="D5">
            <v>28289.812433999996</v>
          </cell>
          <cell r="E5">
            <v>27048.627439279993</v>
          </cell>
          <cell r="F5">
            <v>27474.141164887194</v>
          </cell>
          <cell r="G5">
            <v>28447.770459062762</v>
          </cell>
          <cell r="H5">
            <v>28420.559879032771</v>
          </cell>
          <cell r="I5">
            <v>27049.531885081135</v>
          </cell>
        </row>
        <row r="31">
          <cell r="B31">
            <v>441992.10936177883</v>
          </cell>
          <cell r="C31">
            <v>439017.95553374058</v>
          </cell>
          <cell r="D31">
            <v>834280.7415268413</v>
          </cell>
          <cell r="E31">
            <v>889666.77085542516</v>
          </cell>
          <cell r="F31">
            <v>1050792.5290065489</v>
          </cell>
          <cell r="G31">
            <v>1127315.0516553463</v>
          </cell>
          <cell r="H31">
            <v>1275266.4724006592</v>
          </cell>
          <cell r="I31">
            <v>1320073.2596410941</v>
          </cell>
        </row>
        <row r="32">
          <cell r="B32">
            <v>439706.81599999999</v>
          </cell>
          <cell r="C32">
            <v>454880.56123087194</v>
          </cell>
          <cell r="D32">
            <v>857865.65704467369</v>
          </cell>
          <cell r="E32">
            <v>882565.03426563041</v>
          </cell>
          <cell r="F32">
            <v>1057297.6209550046</v>
          </cell>
          <cell r="G32">
            <v>1139677.0324450107</v>
          </cell>
          <cell r="H32">
            <v>1279430.1218266645</v>
          </cell>
          <cell r="I32">
            <v>1312767.7533331839</v>
          </cell>
        </row>
        <row r="33">
          <cell r="B33">
            <v>439706.81599999999</v>
          </cell>
          <cell r="C33">
            <v>454880.56123087194</v>
          </cell>
          <cell r="D33">
            <v>857865.65704467369</v>
          </cell>
          <cell r="E33">
            <v>882565.03426563041</v>
          </cell>
          <cell r="F33">
            <v>1057297.6209550046</v>
          </cell>
          <cell r="G33">
            <v>1135250.8594430126</v>
          </cell>
          <cell r="H33">
            <v>855157.74262660451</v>
          </cell>
          <cell r="I33">
            <v>845274.96915758657</v>
          </cell>
        </row>
        <row r="57">
          <cell r="B57">
            <v>1500</v>
          </cell>
          <cell r="C57">
            <v>1500</v>
          </cell>
          <cell r="D57">
            <v>1000</v>
          </cell>
          <cell r="E57">
            <v>700</v>
          </cell>
          <cell r="F57">
            <v>1100</v>
          </cell>
          <cell r="G57">
            <v>100</v>
          </cell>
          <cell r="H57">
            <v>100</v>
          </cell>
          <cell r="I57">
            <v>110</v>
          </cell>
        </row>
        <row r="58">
          <cell r="B58">
            <v>1542</v>
          </cell>
          <cell r="C58">
            <v>1509</v>
          </cell>
          <cell r="D58">
            <v>1022</v>
          </cell>
          <cell r="E58">
            <v>696</v>
          </cell>
          <cell r="F58">
            <v>1111</v>
          </cell>
          <cell r="G58">
            <v>120</v>
          </cell>
          <cell r="H58">
            <v>50</v>
          </cell>
          <cell r="I58">
            <v>87</v>
          </cell>
        </row>
      </sheetData>
      <sheetData sheetId="5">
        <row r="4">
          <cell r="B4">
            <v>125500</v>
          </cell>
          <cell r="C4">
            <v>129500</v>
          </cell>
          <cell r="D4">
            <v>133000</v>
          </cell>
          <cell r="E4">
            <v>135000</v>
          </cell>
          <cell r="F4">
            <v>138500</v>
          </cell>
          <cell r="G4">
            <v>145425</v>
          </cell>
          <cell r="H4">
            <v>152696.25</v>
          </cell>
          <cell r="I4">
            <v>160331.0625</v>
          </cell>
        </row>
        <row r="5">
          <cell r="B5">
            <v>125500</v>
          </cell>
          <cell r="C5">
            <v>128275</v>
          </cell>
          <cell r="D5">
            <v>131475.17499999999</v>
          </cell>
          <cell r="E5">
            <v>132811.79912500002</v>
          </cell>
          <cell r="F5">
            <v>136033.17552675001</v>
          </cell>
          <cell r="G5">
            <v>142777.1091756965</v>
          </cell>
          <cell r="H5">
            <v>148693.33808393954</v>
          </cell>
          <cell r="I5">
            <v>155102.40470310015</v>
          </cell>
        </row>
        <row r="31">
          <cell r="B31">
            <v>312311.5856883665</v>
          </cell>
          <cell r="C31">
            <v>360890.07562831393</v>
          </cell>
          <cell r="D31">
            <v>212200.0105940951</v>
          </cell>
          <cell r="E31">
            <v>327610.08848512324</v>
          </cell>
          <cell r="F31">
            <v>527886.33775553782</v>
          </cell>
          <cell r="G31">
            <v>700209.14416949835</v>
          </cell>
          <cell r="H31">
            <v>1711475.4774293539</v>
          </cell>
          <cell r="I31">
            <v>2006191.6720222509</v>
          </cell>
        </row>
        <row r="32">
          <cell r="B32">
            <v>309721.45</v>
          </cell>
          <cell r="C32">
            <v>365177.11183625</v>
          </cell>
          <cell r="D32">
            <v>218329.04604963408</v>
          </cell>
          <cell r="E32">
            <v>330170.93010414159</v>
          </cell>
          <cell r="F32">
            <v>535675.99723214877</v>
          </cell>
          <cell r="G32">
            <v>692414.86148757057</v>
          </cell>
          <cell r="H32">
            <v>1761537.3524741437</v>
          </cell>
          <cell r="I32">
            <v>2034440.3163366984</v>
          </cell>
        </row>
        <row r="33">
          <cell r="B33">
            <v>309721.45</v>
          </cell>
          <cell r="C33">
            <v>365177.11183625</v>
          </cell>
          <cell r="D33">
            <v>218329.04604963408</v>
          </cell>
          <cell r="E33">
            <v>330170.93010414159</v>
          </cell>
          <cell r="F33">
            <v>535675.99723214877</v>
          </cell>
          <cell r="G33">
            <v>692414.86148757057</v>
          </cell>
          <cell r="H33">
            <v>1761537.3524741437</v>
          </cell>
          <cell r="I33">
            <v>2034440.3163366984</v>
          </cell>
        </row>
        <row r="57">
          <cell r="B57">
            <v>4000</v>
          </cell>
          <cell r="C57">
            <v>3500</v>
          </cell>
          <cell r="D57">
            <v>2000</v>
          </cell>
          <cell r="E57">
            <v>3500</v>
          </cell>
          <cell r="F57">
            <v>6925</v>
          </cell>
          <cell r="G57">
            <v>7271.25</v>
          </cell>
          <cell r="H57">
            <v>7634.8125</v>
          </cell>
          <cell r="I57">
            <v>5000</v>
          </cell>
        </row>
        <row r="58">
          <cell r="B58">
            <v>4030</v>
          </cell>
          <cell r="C58">
            <v>3585</v>
          </cell>
          <cell r="D58">
            <v>1994</v>
          </cell>
          <cell r="E58">
            <v>3487</v>
          </cell>
          <cell r="F58">
            <v>7016</v>
          </cell>
          <cell r="G58">
            <v>7344</v>
          </cell>
          <cell r="H58">
            <v>7896</v>
          </cell>
          <cell r="I58">
            <v>4712</v>
          </cell>
        </row>
      </sheetData>
      <sheetData sheetId="6">
        <row r="4">
          <cell r="B4">
            <v>125500</v>
          </cell>
          <cell r="C4">
            <v>129500</v>
          </cell>
          <cell r="D4">
            <v>129763</v>
          </cell>
          <cell r="E4">
            <v>130922</v>
          </cell>
          <cell r="F4">
            <v>138500</v>
          </cell>
          <cell r="G4">
            <v>146390</v>
          </cell>
          <cell r="H4">
            <v>153709.5</v>
          </cell>
          <cell r="I4">
            <v>161394.97500000001</v>
          </cell>
        </row>
        <row r="5">
          <cell r="B5">
            <v>125500</v>
          </cell>
          <cell r="C5">
            <v>128275</v>
          </cell>
          <cell r="D5">
            <v>128353.45</v>
          </cell>
          <cell r="E5">
            <v>128754.68275000001</v>
          </cell>
          <cell r="F5">
            <v>136019.1733845</v>
          </cell>
          <cell r="G5">
            <v>143766.135037731</v>
          </cell>
          <cell r="H5">
            <v>149783.47368735369</v>
          </cell>
          <cell r="I5">
            <v>155969.63895048015</v>
          </cell>
        </row>
        <row r="31">
          <cell r="B31">
            <v>230086.6294820717</v>
          </cell>
          <cell r="C31">
            <v>236087.98027350058</v>
          </cell>
          <cell r="D31">
            <v>234486.46250168758</v>
          </cell>
          <cell r="E31">
            <v>181608.10894251816</v>
          </cell>
          <cell r="F31">
            <v>168768.33002499968</v>
          </cell>
          <cell r="G31">
            <v>209977.8664708189</v>
          </cell>
          <cell r="H31">
            <v>325865.36400700099</v>
          </cell>
          <cell r="I31">
            <v>379783.66320711869</v>
          </cell>
        </row>
        <row r="32">
          <cell r="B32">
            <v>228924.55</v>
          </cell>
          <cell r="C32">
            <v>248631.22508</v>
          </cell>
          <cell r="D32">
            <v>240946.60875437205</v>
          </cell>
          <cell r="E32">
            <v>184048.82579989612</v>
          </cell>
          <cell r="F32">
            <v>170424.81881318954</v>
          </cell>
          <cell r="G32">
            <v>212194.73192509729</v>
          </cell>
          <cell r="H32">
            <v>319401.35096192331</v>
          </cell>
          <cell r="I32">
            <v>384613.33578931098</v>
          </cell>
        </row>
        <row r="33">
          <cell r="B33">
            <v>228924.55</v>
          </cell>
          <cell r="C33">
            <v>248631.22508</v>
          </cell>
          <cell r="D33">
            <v>240946.60875437205</v>
          </cell>
          <cell r="E33">
            <v>184048.82579989612</v>
          </cell>
          <cell r="F33">
            <v>170424.81881318954</v>
          </cell>
          <cell r="G33">
            <v>212194.73192509729</v>
          </cell>
          <cell r="H33">
            <v>319401.35096192331</v>
          </cell>
          <cell r="I33">
            <v>384613.33578931098</v>
          </cell>
        </row>
        <row r="57">
          <cell r="B57">
            <v>4000</v>
          </cell>
          <cell r="C57">
            <v>263</v>
          </cell>
          <cell r="D57">
            <v>1159</v>
          </cell>
          <cell r="E57">
            <v>7578</v>
          </cell>
          <cell r="F57">
            <v>7890</v>
          </cell>
          <cell r="G57">
            <v>7319.5</v>
          </cell>
          <cell r="H57">
            <v>7685.4750000000058</v>
          </cell>
          <cell r="I57">
            <v>10000</v>
          </cell>
        </row>
        <row r="58">
          <cell r="B58">
            <v>4030</v>
          </cell>
          <cell r="C58">
            <v>335</v>
          </cell>
          <cell r="D58">
            <v>1043</v>
          </cell>
          <cell r="E58">
            <v>7522</v>
          </cell>
          <cell r="F58">
            <v>8019</v>
          </cell>
          <cell r="G58">
            <v>7455</v>
          </cell>
          <cell r="H58">
            <v>7684</v>
          </cell>
          <cell r="I58">
            <v>9814</v>
          </cell>
        </row>
      </sheetData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ход"/>
      <sheetName val="вход"/>
      <sheetName val="расслоение"/>
      <sheetName val="Прожит минимум"/>
      <sheetName val="матрица расходов"/>
      <sheetName val="Коэфф фондов"/>
      <sheetName val="доходы"/>
      <sheetName val="расходы"/>
      <sheetName val="Д1"/>
      <sheetName val="Д2"/>
      <sheetName val="Д3"/>
      <sheetName val="Д4"/>
      <sheetName val="Д5"/>
      <sheetName val="Д6"/>
      <sheetName val="Д7"/>
      <sheetName val="Д8"/>
      <sheetName val="Д9"/>
      <sheetName val="Д10"/>
      <sheetName val="Лист1"/>
      <sheetName val="Лист2"/>
      <sheetName val="Лист3"/>
    </sheetNames>
    <sheetDataSet>
      <sheetData sheetId="0">
        <row r="7">
          <cell r="F7">
            <v>51382.333814834201</v>
          </cell>
          <cell r="G7">
            <v>41367.444935477644</v>
          </cell>
          <cell r="H7">
            <v>54355.826054517558</v>
          </cell>
          <cell r="I7">
            <v>41524.980899683731</v>
          </cell>
          <cell r="J7">
            <v>53753.180387553512</v>
          </cell>
          <cell r="K7">
            <v>39037.104910652488</v>
          </cell>
          <cell r="L7">
            <v>50380.530822152839</v>
          </cell>
          <cell r="M7">
            <v>44750.820909502501</v>
          </cell>
          <cell r="N7">
            <v>58460.453570082507</v>
          </cell>
          <cell r="O7">
            <v>53613.571036984846</v>
          </cell>
          <cell r="P7">
            <v>39003.364441146536</v>
          </cell>
          <cell r="Q7">
            <v>73371.107556305942</v>
          </cell>
          <cell r="R7">
            <v>74363.753240636812</v>
          </cell>
          <cell r="S7">
            <v>42770.929201680425</v>
          </cell>
          <cell r="T7">
            <v>33374.964221558141</v>
          </cell>
          <cell r="U7"/>
        </row>
        <row r="8">
          <cell r="H8">
            <v>42528.102048475688</v>
          </cell>
          <cell r="I8">
            <v>30283.489657136939</v>
          </cell>
          <cell r="J8">
            <v>24087.595027840965</v>
          </cell>
          <cell r="K8">
            <v>12093.102311229624</v>
          </cell>
          <cell r="L8">
            <v>19196.015236857322</v>
          </cell>
          <cell r="M8">
            <v>13166.385079230933</v>
          </cell>
          <cell r="N8">
            <v>13140.390019060793</v>
          </cell>
          <cell r="O8">
            <v>13181.22651360268</v>
          </cell>
          <cell r="P8">
            <v>15049.514484709092</v>
          </cell>
          <cell r="Q8">
            <v>23362.42607226974</v>
          </cell>
          <cell r="R8">
            <v>13470.784345992812</v>
          </cell>
          <cell r="S8">
            <v>26401.261392929577</v>
          </cell>
          <cell r="T8">
            <v>49829.411826567622</v>
          </cell>
          <cell r="U8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/>
  </sheetPr>
  <dimension ref="B2:BD111"/>
  <sheetViews>
    <sheetView zoomScale="70" zoomScaleNormal="70" workbookViewId="0">
      <selection activeCell="L34" sqref="L34"/>
    </sheetView>
  </sheetViews>
  <sheetFormatPr defaultRowHeight="12.75" x14ac:dyDescent="0.2"/>
  <cols>
    <col min="6" max="6" width="43" customWidth="1"/>
    <col min="7" max="7" width="29.140625" customWidth="1"/>
    <col min="8" max="8" width="25.28515625" customWidth="1"/>
    <col min="9" max="9" width="20.42578125" customWidth="1"/>
    <col min="10" max="10" width="22.85546875" customWidth="1"/>
    <col min="11" max="11" width="26" customWidth="1"/>
    <col min="12" max="12" width="22" customWidth="1"/>
    <col min="13" max="13" width="24.28515625" customWidth="1"/>
    <col min="14" max="14" width="23.28515625" customWidth="1"/>
    <col min="15" max="15" width="15.140625" customWidth="1"/>
    <col min="20" max="20" width="19.85546875" customWidth="1"/>
    <col min="21" max="21" width="15.42578125" customWidth="1"/>
    <col min="22" max="22" width="13.28515625" customWidth="1"/>
    <col min="23" max="23" width="14.42578125" customWidth="1"/>
    <col min="24" max="24" width="11.85546875" customWidth="1"/>
    <col min="25" max="25" width="12.5703125" customWidth="1"/>
    <col min="26" max="26" width="10" customWidth="1"/>
    <col min="27" max="27" width="9.85546875" bestFit="1" customWidth="1"/>
    <col min="28" max="28" width="16.28515625" customWidth="1"/>
    <col min="29" max="29" width="13.85546875" bestFit="1" customWidth="1"/>
    <col min="30" max="30" width="16.28515625" bestFit="1" customWidth="1"/>
    <col min="31" max="31" width="14" bestFit="1" customWidth="1"/>
    <col min="32" max="33" width="14.140625" bestFit="1" customWidth="1"/>
    <col min="34" max="34" width="17.7109375" customWidth="1"/>
    <col min="35" max="35" width="14.140625" bestFit="1" customWidth="1"/>
    <col min="36" max="36" width="15" bestFit="1" customWidth="1"/>
    <col min="37" max="37" width="26.5703125" customWidth="1"/>
    <col min="38" max="53" width="13.28515625" bestFit="1" customWidth="1"/>
    <col min="54" max="54" width="14.7109375" bestFit="1" customWidth="1"/>
    <col min="55" max="55" width="13.85546875" customWidth="1"/>
  </cols>
  <sheetData>
    <row r="2" spans="2:56" ht="18" x14ac:dyDescent="0.25">
      <c r="H2" s="332" t="s">
        <v>157</v>
      </c>
      <c r="I2" s="316">
        <v>12</v>
      </c>
      <c r="J2" s="340">
        <f>IF(INDEX(AD2:BB2,1,I2),INDEX(AD14:BB14,1,I2))</f>
        <v>2017</v>
      </c>
      <c r="T2" s="72" t="s">
        <v>54</v>
      </c>
      <c r="Z2" s="72" t="s">
        <v>54</v>
      </c>
      <c r="AC2" s="109"/>
      <c r="AD2" s="219">
        <v>1</v>
      </c>
      <c r="AE2" s="219">
        <v>2</v>
      </c>
      <c r="AF2" s="219">
        <v>3</v>
      </c>
      <c r="AG2" s="219">
        <v>4</v>
      </c>
      <c r="AH2" s="219">
        <v>5</v>
      </c>
      <c r="AI2" s="219">
        <v>6</v>
      </c>
      <c r="AJ2" s="219">
        <v>7</v>
      </c>
      <c r="AK2" s="219">
        <v>8</v>
      </c>
      <c r="AL2" s="219">
        <v>9</v>
      </c>
      <c r="AM2" s="219">
        <v>10</v>
      </c>
      <c r="AN2" s="219">
        <v>11</v>
      </c>
      <c r="AO2" s="219">
        <v>12</v>
      </c>
      <c r="AP2" s="219">
        <v>13</v>
      </c>
      <c r="AQ2" s="219">
        <v>14</v>
      </c>
      <c r="AR2" s="219">
        <v>15</v>
      </c>
      <c r="AS2" s="219">
        <v>16</v>
      </c>
      <c r="AT2" s="219">
        <v>17</v>
      </c>
      <c r="AU2" s="219">
        <v>18</v>
      </c>
      <c r="AV2" s="219">
        <v>19</v>
      </c>
      <c r="AW2" s="219">
        <v>20</v>
      </c>
      <c r="AX2" s="219">
        <v>21</v>
      </c>
      <c r="AY2" s="219">
        <v>22</v>
      </c>
      <c r="AZ2" s="219">
        <v>23</v>
      </c>
      <c r="BA2" s="219">
        <v>24</v>
      </c>
      <c r="BB2" s="219">
        <v>25</v>
      </c>
    </row>
    <row r="3" spans="2:56" ht="18" x14ac:dyDescent="0.25">
      <c r="H3" s="332"/>
      <c r="I3" s="324"/>
      <c r="J3" s="175"/>
      <c r="T3" s="72"/>
      <c r="Z3" s="72"/>
      <c r="AC3" s="10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</row>
    <row r="4" spans="2:56" ht="25.5" customHeight="1" thickBot="1" x14ac:dyDescent="0.3">
      <c r="F4" s="319" t="s">
        <v>189</v>
      </c>
      <c r="G4" s="319"/>
      <c r="H4" s="319"/>
      <c r="I4" s="327" t="s">
        <v>170</v>
      </c>
      <c r="J4" s="327" t="s">
        <v>188</v>
      </c>
      <c r="K4" s="319" t="s">
        <v>190</v>
      </c>
      <c r="AA4" s="3"/>
      <c r="AB4" s="3"/>
      <c r="AC4" s="3"/>
      <c r="AD4" s="229"/>
      <c r="AE4" s="229"/>
      <c r="AF4" s="229"/>
      <c r="AG4" s="229"/>
      <c r="AH4" s="229"/>
      <c r="AI4" s="229"/>
      <c r="AJ4" s="229"/>
      <c r="AK4" s="229"/>
      <c r="AL4" s="228"/>
      <c r="AM4" s="224"/>
      <c r="AS4" s="224"/>
      <c r="AT4" s="224"/>
      <c r="AU4" s="224"/>
      <c r="AV4" s="224"/>
      <c r="AW4" s="224"/>
      <c r="AX4" s="225"/>
      <c r="AY4" s="224"/>
      <c r="AZ4" s="224"/>
    </row>
    <row r="5" spans="2:56" ht="13.5" thickBot="1" x14ac:dyDescent="0.25">
      <c r="G5">
        <v>1</v>
      </c>
      <c r="H5" t="s">
        <v>36</v>
      </c>
      <c r="I5" s="210">
        <f t="shared" ref="I5:I11" si="0">INDEX(INDPLAN_2030,$G5,$I$2-8)</f>
        <v>22.098271470588234</v>
      </c>
      <c r="J5" s="38">
        <f>(INDEX(VvodNewMosh,ПУЛЬТ!G5,ПУЛЬТ!$I$2)+G67)/INDEX(demograf,1,$I$2)*0.001</f>
        <v>22.376456266092724</v>
      </c>
      <c r="K5" s="329" t="str">
        <f>IF(I5&gt;J5,"да","нет")</f>
        <v>нет</v>
      </c>
      <c r="AD5" s="229"/>
      <c r="AE5" s="229"/>
      <c r="AF5" s="229"/>
      <c r="AG5" s="229"/>
      <c r="AH5" s="229"/>
      <c r="AI5" s="229"/>
      <c r="AJ5" s="229"/>
      <c r="AK5" s="229"/>
      <c r="AS5" s="224"/>
      <c r="AT5" s="224"/>
      <c r="AU5" s="224"/>
      <c r="AV5" s="224"/>
      <c r="AW5" s="224"/>
      <c r="AX5" s="225"/>
      <c r="AY5" s="224"/>
      <c r="AZ5" s="224"/>
    </row>
    <row r="6" spans="2:56" ht="16.5" thickBot="1" x14ac:dyDescent="0.3">
      <c r="G6">
        <v>2</v>
      </c>
      <c r="H6" t="s">
        <v>3</v>
      </c>
      <c r="I6" s="210">
        <f t="shared" si="0"/>
        <v>0.67439705882352929</v>
      </c>
      <c r="J6" s="38">
        <f>(INDEX(VvodNewMosh,ПУЛЬТ!G6,ПУЛЬТ!$I$2)+I67)/INDEX(demograf,2,$I$2)*0.001</f>
        <v>0.61747169004646363</v>
      </c>
      <c r="K6" s="329" t="str">
        <f t="shared" ref="K6:K11" si="1">IF(I6&gt;J6,"да","нет")</f>
        <v>да</v>
      </c>
      <c r="T6" s="65" t="s">
        <v>89</v>
      </c>
      <c r="U6" s="142"/>
      <c r="V6" s="3"/>
      <c r="W6" s="3"/>
      <c r="X6" s="3"/>
      <c r="Z6">
        <f>управление!G33</f>
        <v>2006</v>
      </c>
      <c r="AA6">
        <f>управление!H33</f>
        <v>2007</v>
      </c>
      <c r="AB6">
        <f>управление!I33</f>
        <v>2008</v>
      </c>
      <c r="AC6">
        <f>управление!J33</f>
        <v>2009</v>
      </c>
      <c r="AD6">
        <f>управление!K33</f>
        <v>2010</v>
      </c>
      <c r="AE6">
        <f>управление!L33</f>
        <v>2011</v>
      </c>
      <c r="AF6">
        <f>управление!M33</f>
        <v>2012</v>
      </c>
      <c r="AG6">
        <f>управление!N33</f>
        <v>2013</v>
      </c>
      <c r="AH6">
        <f>управление!O33</f>
        <v>2014</v>
      </c>
      <c r="AI6">
        <f>управление!P33</f>
        <v>2015</v>
      </c>
      <c r="AJ6">
        <f>управление!Q33</f>
        <v>2016</v>
      </c>
      <c r="AK6">
        <f>управление!R33</f>
        <v>2017</v>
      </c>
      <c r="AL6">
        <f>управление!S33</f>
        <v>2018</v>
      </c>
      <c r="AM6">
        <f>управление!T33</f>
        <v>2019</v>
      </c>
      <c r="AN6">
        <f>управление!U33</f>
        <v>2020</v>
      </c>
      <c r="AO6">
        <f>управление!V33</f>
        <v>2021</v>
      </c>
      <c r="AP6">
        <f>управление!W33</f>
        <v>2022</v>
      </c>
      <c r="AQ6">
        <f>управление!X33</f>
        <v>2023</v>
      </c>
      <c r="AR6">
        <f>управление!Y33</f>
        <v>2024</v>
      </c>
      <c r="AS6">
        <f>управление!Z33</f>
        <v>2025</v>
      </c>
      <c r="AT6">
        <f>управление!AA33</f>
        <v>2026</v>
      </c>
      <c r="AU6">
        <f>управление!AB33</f>
        <v>2027</v>
      </c>
      <c r="AV6">
        <f>управление!AC33</f>
        <v>2028</v>
      </c>
      <c r="AW6">
        <f>управление!AD33</f>
        <v>2029</v>
      </c>
      <c r="AX6">
        <f>управление!AE33</f>
        <v>2030</v>
      </c>
      <c r="AY6">
        <f>управление!AF33</f>
        <v>2031</v>
      </c>
      <c r="AZ6" s="224"/>
    </row>
    <row r="7" spans="2:56" ht="16.5" thickBot="1" x14ac:dyDescent="0.3">
      <c r="G7">
        <v>3</v>
      </c>
      <c r="H7" t="s">
        <v>29</v>
      </c>
      <c r="I7" s="210">
        <f t="shared" si="0"/>
        <v>0.99992352941176477</v>
      </c>
      <c r="J7" s="38">
        <f>(INDEX(VvodNewMosh,ПУЛЬТ!G7,ПУЛЬТ!$I$2)+J67)/INDEX(demograf,3,$I$2)*0.001</f>
        <v>0.93784226547968597</v>
      </c>
      <c r="K7" s="329" t="str">
        <f t="shared" si="1"/>
        <v>да</v>
      </c>
      <c r="T7" s="65" t="s">
        <v>88</v>
      </c>
      <c r="U7" s="142"/>
      <c r="V7" s="3"/>
      <c r="W7" s="3"/>
      <c r="X7" s="3"/>
      <c r="Z7">
        <f>управление!G34</f>
        <v>1</v>
      </c>
      <c r="AA7">
        <f>управление!H34</f>
        <v>2</v>
      </c>
      <c r="AB7">
        <f>управление!I34</f>
        <v>3</v>
      </c>
      <c r="AC7">
        <f>управление!J34</f>
        <v>4</v>
      </c>
      <c r="AD7">
        <f>управление!K34</f>
        <v>5</v>
      </c>
      <c r="AE7">
        <f>управление!L34</f>
        <v>6</v>
      </c>
      <c r="AF7">
        <f>управление!M34</f>
        <v>7</v>
      </c>
      <c r="AG7">
        <f>управление!N34</f>
        <v>8</v>
      </c>
      <c r="AH7">
        <f>управление!O34</f>
        <v>9</v>
      </c>
      <c r="AI7">
        <f>управление!P34</f>
        <v>10</v>
      </c>
      <c r="AJ7">
        <f>управление!Q34</f>
        <v>11</v>
      </c>
      <c r="AK7">
        <f>управление!R34</f>
        <v>12</v>
      </c>
      <c r="AL7">
        <f>управление!S34</f>
        <v>13</v>
      </c>
      <c r="AM7">
        <f>управление!T34</f>
        <v>14</v>
      </c>
      <c r="AN7">
        <f>управление!U34</f>
        <v>15</v>
      </c>
      <c r="AO7">
        <f>управление!V34</f>
        <v>16</v>
      </c>
      <c r="AP7">
        <f>управление!W34</f>
        <v>17</v>
      </c>
      <c r="AQ7">
        <f>управление!X34</f>
        <v>18</v>
      </c>
      <c r="AR7">
        <f>управление!Y34</f>
        <v>19</v>
      </c>
      <c r="AS7">
        <f>управление!Z34</f>
        <v>20</v>
      </c>
      <c r="AT7">
        <f>управление!AA34</f>
        <v>21</v>
      </c>
      <c r="AU7">
        <f>управление!AB34</f>
        <v>22</v>
      </c>
      <c r="AV7">
        <f>управление!AC34</f>
        <v>23</v>
      </c>
      <c r="AW7">
        <f>управление!AD34</f>
        <v>24</v>
      </c>
      <c r="AX7">
        <f>управление!AE34</f>
        <v>25</v>
      </c>
      <c r="AY7">
        <f>управление!AF34</f>
        <v>26</v>
      </c>
      <c r="AZ7" s="224"/>
    </row>
    <row r="8" spans="2:56" ht="16.5" thickBot="1" x14ac:dyDescent="0.3">
      <c r="G8">
        <v>4</v>
      </c>
      <c r="H8" t="s">
        <v>5</v>
      </c>
      <c r="I8" s="210">
        <f t="shared" si="0"/>
        <v>1.6388235294117648E-2</v>
      </c>
      <c r="J8" s="38">
        <f>(INDEX(VvodNewMosh,ПУЛЬТ!G8,ПУЛЬТ!$I$2)+K67)/INDEX(demograf,1,$I$2)*0.001</f>
        <v>1.4451028779872619E-2</v>
      </c>
      <c r="K8" s="329" t="str">
        <f t="shared" si="1"/>
        <v>да</v>
      </c>
      <c r="T8" s="65"/>
      <c r="U8" s="142"/>
      <c r="V8" s="3"/>
      <c r="W8" s="203" t="s">
        <v>172</v>
      </c>
      <c r="Z8" s="151">
        <v>0.7</v>
      </c>
      <c r="AA8" s="151">
        <v>0.7</v>
      </c>
      <c r="AB8" s="151">
        <v>0.7</v>
      </c>
      <c r="AC8" s="151">
        <v>0.6</v>
      </c>
      <c r="AD8" s="151">
        <v>0.6</v>
      </c>
      <c r="AE8" s="151">
        <v>0.7</v>
      </c>
      <c r="AF8" s="151">
        <v>0.6</v>
      </c>
      <c r="AG8" s="151">
        <v>0.6</v>
      </c>
      <c r="AH8" s="151">
        <v>0.8</v>
      </c>
      <c r="AI8" s="151">
        <v>0.8</v>
      </c>
      <c r="AJ8" s="151">
        <v>0.8</v>
      </c>
      <c r="AK8" s="151">
        <v>0.8</v>
      </c>
      <c r="AL8" s="151">
        <v>0.8</v>
      </c>
      <c r="AM8" s="151">
        <v>0.8</v>
      </c>
      <c r="AN8" s="151">
        <v>0.8</v>
      </c>
      <c r="AO8" s="151">
        <v>0.8</v>
      </c>
      <c r="AP8" s="151">
        <v>0.8</v>
      </c>
      <c r="AQ8" s="151">
        <v>0.8</v>
      </c>
      <c r="AR8" s="151">
        <v>0.8</v>
      </c>
      <c r="AS8" s="151">
        <v>0.8</v>
      </c>
      <c r="AT8" s="151">
        <v>0.8</v>
      </c>
      <c r="AU8" s="151">
        <v>0.8</v>
      </c>
      <c r="AV8" s="151">
        <v>0.8</v>
      </c>
      <c r="AW8" s="151">
        <v>0.8</v>
      </c>
      <c r="AX8" s="151">
        <v>0.8</v>
      </c>
      <c r="AY8" s="151">
        <v>0.8</v>
      </c>
      <c r="AZ8" s="224"/>
    </row>
    <row r="9" spans="2:56" ht="13.5" thickBot="1" x14ac:dyDescent="0.25">
      <c r="G9">
        <v>5</v>
      </c>
      <c r="H9" t="s">
        <v>6</v>
      </c>
      <c r="I9" s="210">
        <f t="shared" si="0"/>
        <v>3.0805882352941176E-2</v>
      </c>
      <c r="J9" s="328">
        <f>(INDEX(VvodNewMosh,ПУЛЬТ!G9,ПУЛЬТ!$I$2)+L67)/INDEX(demograf,1,$I$2)*0.001</f>
        <v>2.8310842913609014E-2</v>
      </c>
      <c r="K9" s="329" t="str">
        <f t="shared" si="1"/>
        <v>да</v>
      </c>
      <c r="AS9" s="224"/>
      <c r="AT9" s="224"/>
      <c r="AU9" s="224"/>
      <c r="AV9" s="224"/>
      <c r="AW9" s="224"/>
      <c r="AX9" s="225"/>
      <c r="AY9" s="225"/>
      <c r="AZ9" s="224"/>
    </row>
    <row r="10" spans="2:56" ht="16.5" thickBot="1" x14ac:dyDescent="0.3">
      <c r="G10">
        <v>6</v>
      </c>
      <c r="H10" t="s">
        <v>1</v>
      </c>
      <c r="I10" s="210">
        <f t="shared" si="0"/>
        <v>0.1826176470588235</v>
      </c>
      <c r="J10" s="328">
        <f>(INDEX(VvodNewMosh,ПУЛЬТ!G10,ПУЛЬТ!$I$2)+M67)/INDEX(demograf,1,$I$2)*0.001</f>
        <v>0.16070053572228327</v>
      </c>
      <c r="K10" s="329" t="str">
        <f t="shared" si="1"/>
        <v>да</v>
      </c>
      <c r="T10" s="65" t="s">
        <v>105</v>
      </c>
      <c r="U10" s="142"/>
      <c r="V10" s="3"/>
      <c r="W10" s="3"/>
      <c r="X10" s="3"/>
      <c r="Z10">
        <v>2006</v>
      </c>
      <c r="AA10">
        <v>2007</v>
      </c>
      <c r="AB10">
        <v>2008</v>
      </c>
      <c r="AC10">
        <v>2009</v>
      </c>
      <c r="AD10">
        <v>2010</v>
      </c>
      <c r="AE10">
        <v>2011</v>
      </c>
      <c r="AF10">
        <v>2012</v>
      </c>
      <c r="AG10">
        <v>2013</v>
      </c>
      <c r="AH10">
        <v>2014</v>
      </c>
      <c r="AI10">
        <v>2015</v>
      </c>
      <c r="AJ10">
        <v>2016</v>
      </c>
      <c r="AK10">
        <v>2017</v>
      </c>
      <c r="AL10">
        <v>2018</v>
      </c>
      <c r="AM10">
        <v>2019</v>
      </c>
      <c r="AN10">
        <v>2020</v>
      </c>
      <c r="AO10">
        <v>2021</v>
      </c>
      <c r="AP10">
        <v>2022</v>
      </c>
      <c r="AQ10">
        <v>2023</v>
      </c>
      <c r="AR10">
        <v>2024</v>
      </c>
      <c r="AS10">
        <v>2025</v>
      </c>
      <c r="AT10">
        <v>2026</v>
      </c>
      <c r="AU10">
        <v>2027</v>
      </c>
      <c r="AV10">
        <v>2028</v>
      </c>
      <c r="AW10">
        <v>2029</v>
      </c>
      <c r="AX10">
        <v>2030</v>
      </c>
      <c r="AY10">
        <v>2030</v>
      </c>
      <c r="AZ10" s="224"/>
    </row>
    <row r="11" spans="2:56" ht="16.5" thickBot="1" x14ac:dyDescent="0.3">
      <c r="G11">
        <v>7</v>
      </c>
      <c r="H11" t="s">
        <v>2</v>
      </c>
      <c r="I11" s="210">
        <f t="shared" si="0"/>
        <v>0.18682352941176469</v>
      </c>
      <c r="J11" s="328">
        <f>(INDEX(VvodNewMosh,ПУЛЬТ!G11,ПУЛЬТ!$I$2)+N67)/INDEX(demograf,1,$I$2)*0.001</f>
        <v>0.16212832598433038</v>
      </c>
      <c r="K11" s="329" t="str">
        <f t="shared" si="1"/>
        <v>да</v>
      </c>
      <c r="T11" s="65" t="s">
        <v>131</v>
      </c>
      <c r="U11" s="142"/>
      <c r="V11" s="3"/>
      <c r="W11" s="3"/>
      <c r="X11" s="3"/>
      <c r="Z11">
        <v>1</v>
      </c>
      <c r="AA11">
        <v>2</v>
      </c>
      <c r="AB11">
        <v>3</v>
      </c>
      <c r="AC11">
        <v>4</v>
      </c>
      <c r="AD11">
        <v>5</v>
      </c>
      <c r="AE11">
        <v>6</v>
      </c>
      <c r="AF11">
        <v>7</v>
      </c>
      <c r="AG11">
        <v>8</v>
      </c>
      <c r="AH11">
        <v>9</v>
      </c>
      <c r="AI11">
        <v>10</v>
      </c>
      <c r="AJ11">
        <v>11</v>
      </c>
      <c r="AK11">
        <v>12</v>
      </c>
      <c r="AL11">
        <v>13</v>
      </c>
      <c r="AM11">
        <v>14</v>
      </c>
      <c r="AN11">
        <v>15</v>
      </c>
      <c r="AO11">
        <v>16</v>
      </c>
      <c r="AP11">
        <v>17</v>
      </c>
      <c r="AQ11">
        <v>18</v>
      </c>
      <c r="AR11">
        <v>19</v>
      </c>
      <c r="AS11">
        <v>20</v>
      </c>
      <c r="AT11">
        <v>21</v>
      </c>
      <c r="AU11">
        <v>22</v>
      </c>
      <c r="AV11">
        <v>23</v>
      </c>
      <c r="AW11">
        <v>24</v>
      </c>
      <c r="AX11">
        <v>25</v>
      </c>
      <c r="AY11">
        <v>25</v>
      </c>
      <c r="AZ11" s="224"/>
    </row>
    <row r="12" spans="2:56" ht="18" x14ac:dyDescent="0.25">
      <c r="H12" s="332"/>
      <c r="I12" s="324"/>
      <c r="J12" s="175"/>
      <c r="T12" s="72"/>
      <c r="Z12" s="72"/>
      <c r="AC12" s="10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19"/>
    </row>
    <row r="13" spans="2:56" s="333" customFormat="1" x14ac:dyDescent="0.2">
      <c r="B13" s="334" t="s">
        <v>191</v>
      </c>
      <c r="T13" s="333" t="s">
        <v>35</v>
      </c>
      <c r="W13" s="333">
        <v>2030</v>
      </c>
      <c r="Z13" s="333" t="s">
        <v>35</v>
      </c>
      <c r="AC13" s="333">
        <v>2014</v>
      </c>
      <c r="AL13" s="333">
        <v>1</v>
      </c>
      <c r="AM13" s="333">
        <v>2</v>
      </c>
      <c r="AN13" s="333">
        <v>3</v>
      </c>
      <c r="AO13" s="333">
        <v>4</v>
      </c>
      <c r="AP13" s="333">
        <v>5</v>
      </c>
      <c r="AQ13" s="333">
        <v>6</v>
      </c>
      <c r="AR13" s="333">
        <v>7</v>
      </c>
      <c r="AS13" s="333">
        <v>8</v>
      </c>
      <c r="AT13" s="333">
        <v>9</v>
      </c>
      <c r="AU13" s="333">
        <v>10</v>
      </c>
      <c r="AV13" s="333">
        <v>11</v>
      </c>
      <c r="AW13" s="333">
        <v>12</v>
      </c>
      <c r="AX13" s="333">
        <v>13</v>
      </c>
      <c r="AY13" s="333">
        <v>14</v>
      </c>
      <c r="AZ13" s="333">
        <v>15</v>
      </c>
      <c r="BA13" s="333">
        <v>16</v>
      </c>
      <c r="BB13" s="333">
        <v>17</v>
      </c>
    </row>
    <row r="14" spans="2:56" ht="13.5" thickBot="1" x14ac:dyDescent="0.25">
      <c r="T14" s="67" t="s">
        <v>37</v>
      </c>
      <c r="Z14" s="67" t="s">
        <v>84</v>
      </c>
      <c r="AB14" t="s">
        <v>226</v>
      </c>
      <c r="AC14" s="93">
        <v>2005</v>
      </c>
      <c r="AD14" s="108">
        <v>2006</v>
      </c>
      <c r="AE14" s="108">
        <v>2007</v>
      </c>
      <c r="AF14" s="108">
        <v>2008</v>
      </c>
      <c r="AG14" s="108">
        <v>2009</v>
      </c>
      <c r="AH14" s="108">
        <v>2010</v>
      </c>
      <c r="AI14" s="108">
        <v>2011</v>
      </c>
      <c r="AJ14" s="108">
        <v>2012</v>
      </c>
      <c r="AK14" s="108">
        <v>2013</v>
      </c>
      <c r="AL14" s="249">
        <v>2014</v>
      </c>
      <c r="AM14" s="108">
        <v>2015</v>
      </c>
      <c r="AN14" s="108">
        <v>2016</v>
      </c>
      <c r="AO14" s="108">
        <v>2017</v>
      </c>
      <c r="AP14" s="108">
        <v>2018</v>
      </c>
      <c r="AQ14" s="108">
        <v>2019</v>
      </c>
      <c r="AR14" s="108">
        <v>2020</v>
      </c>
      <c r="AS14" s="108">
        <v>2021</v>
      </c>
      <c r="AT14" s="108">
        <v>2022</v>
      </c>
      <c r="AU14" s="108">
        <v>2023</v>
      </c>
      <c r="AV14" s="108">
        <v>2024</v>
      </c>
      <c r="AW14" s="108">
        <v>2025</v>
      </c>
      <c r="AX14" s="108">
        <v>2026</v>
      </c>
      <c r="AY14" s="108">
        <v>2027</v>
      </c>
      <c r="AZ14" s="108">
        <v>2028</v>
      </c>
      <c r="BA14" s="108">
        <v>2029</v>
      </c>
      <c r="BB14" s="108">
        <v>2030</v>
      </c>
      <c r="BC14" s="108">
        <v>2031</v>
      </c>
    </row>
    <row r="15" spans="2:56" ht="20.100000000000001" customHeight="1" x14ac:dyDescent="0.25">
      <c r="D15" s="60" t="s">
        <v>31</v>
      </c>
      <c r="E15" s="60"/>
      <c r="F15" s="60"/>
      <c r="G15" s="61">
        <v>2</v>
      </c>
      <c r="I15" s="3" t="s">
        <v>195</v>
      </c>
      <c r="K15" s="60" t="s">
        <v>217</v>
      </c>
      <c r="N15" s="60" t="s">
        <v>221</v>
      </c>
      <c r="O15" s="298"/>
      <c r="P15" s="298"/>
      <c r="Q15" s="298"/>
      <c r="R15" s="298"/>
      <c r="T15" t="s">
        <v>36</v>
      </c>
      <c r="W15" s="68">
        <v>22</v>
      </c>
      <c r="Y15">
        <v>1</v>
      </c>
      <c r="Z15" t="s">
        <v>36</v>
      </c>
      <c r="AB15" s="380">
        <f>AC15/BB15</f>
        <v>0.66664701586890096</v>
      </c>
      <c r="AC15" s="201">
        <f>'распределение '!C69</f>
        <v>18.666116444329226</v>
      </c>
      <c r="AD15" s="222">
        <v>18.8246</v>
      </c>
      <c r="AE15" s="222">
        <v>19.090380499999998</v>
      </c>
      <c r="AF15" s="222">
        <v>19.38</v>
      </c>
      <c r="AG15" s="226">
        <v>19.55</v>
      </c>
      <c r="AH15" s="228">
        <v>19.71</v>
      </c>
      <c r="AI15" s="228">
        <v>19.945</v>
      </c>
      <c r="AJ15" s="228">
        <v>20.23</v>
      </c>
      <c r="AK15" s="228">
        <v>20.282354999999999</v>
      </c>
      <c r="AL15" s="305">
        <f>AK15+($BB15-AK15)/($BB$14-AK$14)</f>
        <v>20.736334117647058</v>
      </c>
      <c r="AM15" s="228">
        <f>AL15+($BB15-AL15)/($BB14-AL14)</f>
        <v>21.190313235294116</v>
      </c>
      <c r="AN15" s="228">
        <f t="shared" ref="AN15:BA15" si="2">AM15+($BB$15-AM15)/($BB$14-AM14)</f>
        <v>21.644292352941175</v>
      </c>
      <c r="AO15" s="228">
        <f t="shared" si="2"/>
        <v>22.098271470588234</v>
      </c>
      <c r="AP15" s="228">
        <f t="shared" si="2"/>
        <v>22.552250588235292</v>
      </c>
      <c r="AQ15" s="228">
        <f t="shared" si="2"/>
        <v>23.006229705882351</v>
      </c>
      <c r="AR15" s="228">
        <f t="shared" si="2"/>
        <v>23.46020882352941</v>
      </c>
      <c r="AS15" s="228">
        <f t="shared" si="2"/>
        <v>23.914187941176468</v>
      </c>
      <c r="AT15" s="228">
        <f t="shared" si="2"/>
        <v>24.368167058823527</v>
      </c>
      <c r="AU15" s="228">
        <f t="shared" si="2"/>
        <v>24.822146176470586</v>
      </c>
      <c r="AV15" s="228">
        <f t="shared" si="2"/>
        <v>25.276125294117644</v>
      </c>
      <c r="AW15" s="228">
        <f t="shared" si="2"/>
        <v>25.730104411764703</v>
      </c>
      <c r="AX15" s="228">
        <f t="shared" si="2"/>
        <v>26.184083529411762</v>
      </c>
      <c r="AY15" s="228">
        <f t="shared" si="2"/>
        <v>26.63806264705882</v>
      </c>
      <c r="AZ15" s="228">
        <f t="shared" si="2"/>
        <v>27.092041764705879</v>
      </c>
      <c r="BA15" s="228">
        <f t="shared" si="2"/>
        <v>27.546020882352941</v>
      </c>
      <c r="BB15" s="350">
        <f>'[2]ГИПЕР-Пульт'!$M$25</f>
        <v>28</v>
      </c>
      <c r="BC15" s="350">
        <f>'[2]ГИПЕР-Пульт'!$M$25</f>
        <v>28</v>
      </c>
      <c r="BD15" t="s">
        <v>36</v>
      </c>
    </row>
    <row r="16" spans="2:56" ht="20.100000000000001" customHeight="1" x14ac:dyDescent="0.25">
      <c r="I16" s="3" t="s">
        <v>193</v>
      </c>
      <c r="K16" t="s">
        <v>175</v>
      </c>
      <c r="N16" s="298"/>
      <c r="O16" s="298"/>
      <c r="P16" s="298"/>
      <c r="Q16" s="363" t="s">
        <v>169</v>
      </c>
      <c r="R16" s="364">
        <v>20</v>
      </c>
      <c r="S16" s="365">
        <f>J2</f>
        <v>2017</v>
      </c>
      <c r="T16" t="s">
        <v>3</v>
      </c>
      <c r="W16" s="69">
        <v>0.9</v>
      </c>
      <c r="Y16">
        <v>2</v>
      </c>
      <c r="Z16" t="s">
        <v>3</v>
      </c>
      <c r="AB16" s="381">
        <f t="shared" ref="AB16:AB21" si="3">AC16/BB16</f>
        <v>0.71744316587145662</v>
      </c>
      <c r="AC16" s="201">
        <f>'распределение '!C70</f>
        <v>0.57395453269716534</v>
      </c>
      <c r="AD16" s="223">
        <v>0.61545000000000005</v>
      </c>
      <c r="AE16" s="223">
        <v>0.629</v>
      </c>
      <c r="AF16" s="223">
        <v>0.626</v>
      </c>
      <c r="AG16" s="227">
        <v>0.61658999999999997</v>
      </c>
      <c r="AH16" s="227">
        <v>0.60860000000000003</v>
      </c>
      <c r="AI16" s="228">
        <v>0.60750000000000004</v>
      </c>
      <c r="AJ16" s="228">
        <v>0.62</v>
      </c>
      <c r="AK16" s="228">
        <v>0.63575000000000004</v>
      </c>
      <c r="AL16" s="305">
        <f>AK16+($BB16-AK16)/($BB$14-AK$14)</f>
        <v>0.64541176470588235</v>
      </c>
      <c r="AM16" s="228">
        <f>AL16+($BB16-AL16)/($BB$14-AL$14)</f>
        <v>0.65507352941176467</v>
      </c>
      <c r="AN16" s="228">
        <f t="shared" ref="AN16:BA16" si="4">AM16+($BB16-AM16)/($BB$14-AM$14)</f>
        <v>0.66473529411764698</v>
      </c>
      <c r="AO16" s="228">
        <f t="shared" si="4"/>
        <v>0.67439705882352929</v>
      </c>
      <c r="AP16" s="228">
        <f t="shared" si="4"/>
        <v>0.68405882352941161</v>
      </c>
      <c r="AQ16" s="228">
        <f t="shared" si="4"/>
        <v>0.69372058823529392</v>
      </c>
      <c r="AR16" s="228">
        <f t="shared" si="4"/>
        <v>0.70338235294117635</v>
      </c>
      <c r="AS16" s="228">
        <f t="shared" si="4"/>
        <v>0.71304411764705877</v>
      </c>
      <c r="AT16" s="228">
        <f t="shared" si="4"/>
        <v>0.72270588235294109</v>
      </c>
      <c r="AU16" s="228">
        <f t="shared" si="4"/>
        <v>0.7323676470588234</v>
      </c>
      <c r="AV16" s="228">
        <f t="shared" si="4"/>
        <v>0.74202941176470583</v>
      </c>
      <c r="AW16" s="228">
        <f t="shared" si="4"/>
        <v>0.75169117647058825</v>
      </c>
      <c r="AX16" s="228">
        <f t="shared" si="4"/>
        <v>0.76135294117647057</v>
      </c>
      <c r="AY16" s="228">
        <f t="shared" si="4"/>
        <v>0.77101470588235288</v>
      </c>
      <c r="AZ16" s="228">
        <f t="shared" si="4"/>
        <v>0.78067647058823531</v>
      </c>
      <c r="BA16" s="228">
        <f t="shared" si="4"/>
        <v>0.79033823529411773</v>
      </c>
      <c r="BB16" s="350">
        <f>'[2]ГИПЕР-Пульт'!$P$45</f>
        <v>0.8</v>
      </c>
      <c r="BC16" s="350">
        <f>'[2]ГИПЕР-Пульт'!$P$45</f>
        <v>0.8</v>
      </c>
      <c r="BD16" t="s">
        <v>3</v>
      </c>
    </row>
    <row r="17" spans="4:56" ht="20.100000000000001" customHeight="1" x14ac:dyDescent="0.25">
      <c r="D17" s="60" t="s">
        <v>230</v>
      </c>
      <c r="G17" s="61">
        <v>1</v>
      </c>
      <c r="I17" s="3" t="s">
        <v>194</v>
      </c>
      <c r="K17">
        <v>1</v>
      </c>
      <c r="L17" s="61">
        <v>1</v>
      </c>
      <c r="N17">
        <v>1</v>
      </c>
      <c r="O17" s="362">
        <f t="shared" ref="O17:O23" si="5">INDEX(KoefRostTarif,N17,$R$16-8)</f>
        <v>0</v>
      </c>
      <c r="P17" s="298"/>
      <c r="Q17" s="298"/>
      <c r="R17" s="298"/>
      <c r="T17" t="s">
        <v>29</v>
      </c>
      <c r="W17" s="69">
        <v>1</v>
      </c>
      <c r="Y17">
        <v>3</v>
      </c>
      <c r="Z17" t="s">
        <v>29</v>
      </c>
      <c r="AB17" s="381">
        <f t="shared" si="3"/>
        <v>0.91611274638512319</v>
      </c>
      <c r="AC17" s="201">
        <f>'распределение '!C71</f>
        <v>0.91611274638512319</v>
      </c>
      <c r="AD17" s="223">
        <v>0.92500000000000004</v>
      </c>
      <c r="AE17" s="223">
        <v>0.92949999999999999</v>
      </c>
      <c r="AF17" s="223">
        <v>0.93769999999999998</v>
      </c>
      <c r="AG17" s="227">
        <v>0.97497699999999998</v>
      </c>
      <c r="AH17" s="228">
        <v>0.996</v>
      </c>
      <c r="AI17" s="228">
        <v>1.0175000000000001</v>
      </c>
      <c r="AJ17" s="228">
        <v>1.01335</v>
      </c>
      <c r="AK17" s="228">
        <v>0.99990000000000001</v>
      </c>
      <c r="AL17" s="305">
        <f t="shared" ref="AL17:AM21" si="6">AK17+($BB17-AK17)/($BB$14-AK$14)</f>
        <v>0.9999058823529412</v>
      </c>
      <c r="AM17" s="228">
        <f t="shared" si="6"/>
        <v>0.99991176470588239</v>
      </c>
      <c r="AN17" s="228">
        <f t="shared" ref="AN17:BA17" si="7">AM17+($BB17-AM17)/($BB$14-AM$14)</f>
        <v>0.99991764705882358</v>
      </c>
      <c r="AO17" s="228">
        <f t="shared" si="7"/>
        <v>0.99992352941176477</v>
      </c>
      <c r="AP17" s="228">
        <f t="shared" si="7"/>
        <v>0.99992941176470596</v>
      </c>
      <c r="AQ17" s="228">
        <f t="shared" si="7"/>
        <v>0.99993529411764714</v>
      </c>
      <c r="AR17" s="228">
        <f t="shared" si="7"/>
        <v>0.99994117647058833</v>
      </c>
      <c r="AS17" s="228">
        <f t="shared" si="7"/>
        <v>0.99994705882352952</v>
      </c>
      <c r="AT17" s="228">
        <f t="shared" si="7"/>
        <v>0.99995294117647071</v>
      </c>
      <c r="AU17" s="228">
        <f t="shared" si="7"/>
        <v>0.9999588235294119</v>
      </c>
      <c r="AV17" s="228">
        <f t="shared" si="7"/>
        <v>0.99996470588235309</v>
      </c>
      <c r="AW17" s="228">
        <f t="shared" si="7"/>
        <v>0.99997058823529428</v>
      </c>
      <c r="AX17" s="228">
        <f t="shared" si="7"/>
        <v>0.99997647058823547</v>
      </c>
      <c r="AY17" s="228">
        <f t="shared" si="7"/>
        <v>0.99998235294117666</v>
      </c>
      <c r="AZ17" s="228">
        <f t="shared" si="7"/>
        <v>0.99998823529411773</v>
      </c>
      <c r="BA17" s="228">
        <f t="shared" si="7"/>
        <v>0.99999411764705881</v>
      </c>
      <c r="BB17" s="350">
        <f>'[2]ГИПЕР-Пульт'!$P$68</f>
        <v>1</v>
      </c>
      <c r="BC17" s="350">
        <f>'[2]ГИПЕР-Пульт'!$P$68</f>
        <v>1</v>
      </c>
      <c r="BD17" t="s">
        <v>29</v>
      </c>
    </row>
    <row r="18" spans="4:56" ht="20.100000000000001" customHeight="1" x14ac:dyDescent="0.25">
      <c r="D18" s="60" t="s">
        <v>231</v>
      </c>
      <c r="G18" s="61">
        <v>1</v>
      </c>
      <c r="K18">
        <v>2</v>
      </c>
      <c r="L18" s="61">
        <v>1</v>
      </c>
      <c r="N18">
        <v>2</v>
      </c>
      <c r="O18" s="362">
        <f t="shared" si="5"/>
        <v>0</v>
      </c>
      <c r="P18" s="298"/>
      <c r="Q18" s="298"/>
      <c r="R18" s="298"/>
      <c r="T18" t="s">
        <v>5</v>
      </c>
      <c r="W18" s="69">
        <v>2.3E-2</v>
      </c>
      <c r="Y18">
        <v>4</v>
      </c>
      <c r="Z18" t="s">
        <v>5</v>
      </c>
      <c r="AB18" s="381">
        <f t="shared" si="3"/>
        <v>0.4573429257778871</v>
      </c>
      <c r="AC18" s="202">
        <f>'распределение '!C72</f>
        <v>1.3720287773336613E-2</v>
      </c>
      <c r="AD18" s="223">
        <v>1.3809E-2</v>
      </c>
      <c r="AE18" s="223">
        <v>1.3860000000000001E-2</v>
      </c>
      <c r="AF18" s="223">
        <v>1.285E-2</v>
      </c>
      <c r="AG18" s="227">
        <v>1.2012E-2</v>
      </c>
      <c r="AH18" s="228">
        <v>1.1780000000000001E-2</v>
      </c>
      <c r="AI18" s="228">
        <v>1.1735000000000001E-2</v>
      </c>
      <c r="AJ18" s="228">
        <v>1.23E-2</v>
      </c>
      <c r="AK18" s="228">
        <v>1.2200000000000001E-2</v>
      </c>
      <c r="AL18" s="305">
        <f t="shared" si="6"/>
        <v>1.3247058823529412E-2</v>
      </c>
      <c r="AM18" s="228">
        <f t="shared" si="6"/>
        <v>1.4294117647058823E-2</v>
      </c>
      <c r="AN18" s="228">
        <f t="shared" ref="AN18:BA18" si="8">AM18+($BB18-AM18)/($BB$14-AM$14)</f>
        <v>1.5341176470588235E-2</v>
      </c>
      <c r="AO18" s="228">
        <f t="shared" si="8"/>
        <v>1.6388235294117648E-2</v>
      </c>
      <c r="AP18" s="228">
        <f t="shared" si="8"/>
        <v>1.7435294117647059E-2</v>
      </c>
      <c r="AQ18" s="228">
        <f t="shared" si="8"/>
        <v>1.8482352941176471E-2</v>
      </c>
      <c r="AR18" s="228">
        <f t="shared" si="8"/>
        <v>1.9529411764705882E-2</v>
      </c>
      <c r="AS18" s="228">
        <f t="shared" si="8"/>
        <v>2.0576470588235293E-2</v>
      </c>
      <c r="AT18" s="228">
        <f t="shared" si="8"/>
        <v>2.1623529411764705E-2</v>
      </c>
      <c r="AU18" s="228">
        <f t="shared" si="8"/>
        <v>2.2670588235294116E-2</v>
      </c>
      <c r="AV18" s="228">
        <f t="shared" si="8"/>
        <v>2.3717647058823527E-2</v>
      </c>
      <c r="AW18" s="228">
        <f t="shared" si="8"/>
        <v>2.4764705882352939E-2</v>
      </c>
      <c r="AX18" s="228">
        <f t="shared" si="8"/>
        <v>2.581176470588235E-2</v>
      </c>
      <c r="AY18" s="228">
        <f t="shared" si="8"/>
        <v>2.6858823529411761E-2</v>
      </c>
      <c r="AZ18" s="228">
        <f t="shared" si="8"/>
        <v>2.7905882352941173E-2</v>
      </c>
      <c r="BA18" s="228">
        <f t="shared" si="8"/>
        <v>2.8952941176470584E-2</v>
      </c>
      <c r="BB18" s="350">
        <f>'[2]ГИПЕР-Пульт'!$P$87</f>
        <v>0.03</v>
      </c>
      <c r="BC18" s="350">
        <f>'[2]ГИПЕР-Пульт'!$P$87</f>
        <v>0.03</v>
      </c>
      <c r="BD18" t="s">
        <v>5</v>
      </c>
    </row>
    <row r="19" spans="4:56" ht="20.100000000000001" customHeight="1" x14ac:dyDescent="0.25">
      <c r="D19" s="60" t="s">
        <v>32</v>
      </c>
      <c r="G19" s="61">
        <f>'[2]ГИПЕР-Пульт'!L3</f>
        <v>1</v>
      </c>
      <c r="K19">
        <v>3</v>
      </c>
      <c r="L19" s="61">
        <v>1</v>
      </c>
      <c r="N19">
        <v>3</v>
      </c>
      <c r="O19" s="362">
        <f t="shared" si="5"/>
        <v>0</v>
      </c>
      <c r="P19" s="298"/>
      <c r="Q19" s="298"/>
      <c r="R19" s="298"/>
      <c r="T19" t="s">
        <v>6</v>
      </c>
      <c r="W19" s="69">
        <v>0.08</v>
      </c>
      <c r="Y19">
        <v>5</v>
      </c>
      <c r="Z19" t="s">
        <v>6</v>
      </c>
      <c r="AB19" s="381">
        <f t="shared" si="3"/>
        <v>0.45167610597776009</v>
      </c>
      <c r="AC19" s="201">
        <f>'распределение '!C73</f>
        <v>2.2583805298888007E-2</v>
      </c>
      <c r="AD19" s="223">
        <v>2.3910000000000001E-2</v>
      </c>
      <c r="AE19" s="223">
        <v>2.5149999999999999E-2</v>
      </c>
      <c r="AF19" s="223">
        <v>2.6200000000000001E-2</v>
      </c>
      <c r="AG19" s="227">
        <v>2.4899999999999999E-2</v>
      </c>
      <c r="AH19" s="228">
        <v>2.58E-2</v>
      </c>
      <c r="AI19" s="228">
        <v>2.5935E-2</v>
      </c>
      <c r="AJ19" s="228">
        <v>2.5819999999999999E-2</v>
      </c>
      <c r="AK19" s="228">
        <v>2.4899999999999999E-2</v>
      </c>
      <c r="AL19" s="305">
        <f t="shared" si="6"/>
        <v>2.6376470588235293E-2</v>
      </c>
      <c r="AM19" s="228">
        <f t="shared" si="6"/>
        <v>2.7852941176470587E-2</v>
      </c>
      <c r="AN19" s="228">
        <f t="shared" ref="AN19:BA19" si="9">AM19+($BB19-AM19)/($BB$14-AM$14)</f>
        <v>2.9329411764705882E-2</v>
      </c>
      <c r="AO19" s="228">
        <f t="shared" si="9"/>
        <v>3.0805882352941176E-2</v>
      </c>
      <c r="AP19" s="228">
        <f t="shared" si="9"/>
        <v>3.228235294117647E-2</v>
      </c>
      <c r="AQ19" s="228">
        <f t="shared" si="9"/>
        <v>3.3758823529411765E-2</v>
      </c>
      <c r="AR19" s="228">
        <f t="shared" si="9"/>
        <v>3.5235294117647059E-2</v>
      </c>
      <c r="AS19" s="228">
        <f t="shared" si="9"/>
        <v>3.6711764705882353E-2</v>
      </c>
      <c r="AT19" s="228">
        <f t="shared" si="9"/>
        <v>3.8188235294117648E-2</v>
      </c>
      <c r="AU19" s="228">
        <f t="shared" si="9"/>
        <v>3.9664705882352942E-2</v>
      </c>
      <c r="AV19" s="228">
        <f t="shared" si="9"/>
        <v>4.1141176470588237E-2</v>
      </c>
      <c r="AW19" s="228">
        <f t="shared" si="9"/>
        <v>4.2617647058823531E-2</v>
      </c>
      <c r="AX19" s="228">
        <f t="shared" si="9"/>
        <v>4.4094117647058825E-2</v>
      </c>
      <c r="AY19" s="228">
        <f t="shared" si="9"/>
        <v>4.557058823529412E-2</v>
      </c>
      <c r="AZ19" s="228">
        <f t="shared" si="9"/>
        <v>4.7047058823529414E-2</v>
      </c>
      <c r="BA19" s="228">
        <f t="shared" si="9"/>
        <v>4.8523529411764708E-2</v>
      </c>
      <c r="BB19" s="350">
        <f>'[2]ГИПЕР-Пульт'!$P$105</f>
        <v>0.05</v>
      </c>
      <c r="BC19" s="350">
        <f>'[2]ГИПЕР-Пульт'!$P$105</f>
        <v>0.05</v>
      </c>
      <c r="BD19" t="s">
        <v>6</v>
      </c>
    </row>
    <row r="20" spans="4:56" ht="20.100000000000001" customHeight="1" x14ac:dyDescent="0.25">
      <c r="K20">
        <v>4</v>
      </c>
      <c r="L20" s="61">
        <v>1</v>
      </c>
      <c r="N20">
        <v>4</v>
      </c>
      <c r="O20" s="362">
        <f t="shared" si="5"/>
        <v>0</v>
      </c>
      <c r="P20" s="298"/>
      <c r="Q20" s="298"/>
      <c r="R20" s="298"/>
      <c r="T20" t="s">
        <v>1</v>
      </c>
      <c r="W20" s="69">
        <v>0.2</v>
      </c>
      <c r="Y20">
        <v>6</v>
      </c>
      <c r="Z20" t="s">
        <v>1</v>
      </c>
      <c r="AB20" s="381">
        <f t="shared" si="3"/>
        <v>0.36887234694810306</v>
      </c>
      <c r="AC20" s="201">
        <f>'распределение '!C74</f>
        <v>0.11066170408443091</v>
      </c>
      <c r="AD20" s="223">
        <v>0.1142</v>
      </c>
      <c r="AE20" s="223">
        <v>0.1172</v>
      </c>
      <c r="AF20" s="223">
        <v>0.11945</v>
      </c>
      <c r="AG20" s="227">
        <v>0.1225</v>
      </c>
      <c r="AH20" s="228">
        <v>0.1293</v>
      </c>
      <c r="AI20" s="228">
        <v>0.13650000000000001</v>
      </c>
      <c r="AJ20" s="228">
        <v>0.1429</v>
      </c>
      <c r="AK20" s="228">
        <v>0.14649999999999999</v>
      </c>
      <c r="AL20" s="305">
        <f t="shared" si="6"/>
        <v>0.15552941176470586</v>
      </c>
      <c r="AM20" s="228">
        <f t="shared" si="6"/>
        <v>0.16455882352941176</v>
      </c>
      <c r="AN20" s="228">
        <f t="shared" ref="AN20:BA20" si="10">AM20+($BB20-AM20)/($BB$14-AM$14)</f>
        <v>0.17358823529411763</v>
      </c>
      <c r="AO20" s="228">
        <f t="shared" si="10"/>
        <v>0.1826176470588235</v>
      </c>
      <c r="AP20" s="228">
        <f t="shared" si="10"/>
        <v>0.19164705882352939</v>
      </c>
      <c r="AQ20" s="228">
        <f t="shared" si="10"/>
        <v>0.20067647058823529</v>
      </c>
      <c r="AR20" s="228">
        <f t="shared" si="10"/>
        <v>0.20970588235294116</v>
      </c>
      <c r="AS20" s="228">
        <f t="shared" si="10"/>
        <v>0.21873529411764703</v>
      </c>
      <c r="AT20" s="228">
        <f t="shared" si="10"/>
        <v>0.22776470588235292</v>
      </c>
      <c r="AU20" s="228">
        <f t="shared" si="10"/>
        <v>0.23679411764705882</v>
      </c>
      <c r="AV20" s="228">
        <f t="shared" si="10"/>
        <v>0.24582352941176469</v>
      </c>
      <c r="AW20" s="228">
        <f t="shared" si="10"/>
        <v>0.25485294117647056</v>
      </c>
      <c r="AX20" s="228">
        <f t="shared" si="10"/>
        <v>0.26388235294117646</v>
      </c>
      <c r="AY20" s="228">
        <f t="shared" si="10"/>
        <v>0.27291176470588235</v>
      </c>
      <c r="AZ20" s="228">
        <f t="shared" si="10"/>
        <v>0.28194117647058825</v>
      </c>
      <c r="BA20" s="228">
        <f t="shared" si="10"/>
        <v>0.29097058823529409</v>
      </c>
      <c r="BB20" s="350">
        <f>'[2]ГИПЕР-Пульт'!$P$123</f>
        <v>0.3</v>
      </c>
      <c r="BC20" s="350">
        <f>'[2]ГИПЕР-Пульт'!$P$123</f>
        <v>0.3</v>
      </c>
      <c r="BD20" t="s">
        <v>1</v>
      </c>
    </row>
    <row r="21" spans="4:56" ht="20.100000000000001" customHeight="1" thickBot="1" x14ac:dyDescent="0.3">
      <c r="D21" s="60" t="s">
        <v>55</v>
      </c>
      <c r="G21" s="61">
        <f>'[2]ГИПЕР-Пульт'!P3</f>
        <v>2</v>
      </c>
      <c r="K21">
        <v>5</v>
      </c>
      <c r="L21" s="61">
        <v>1</v>
      </c>
      <c r="N21">
        <v>5</v>
      </c>
      <c r="O21" s="362">
        <f t="shared" si="5"/>
        <v>0</v>
      </c>
      <c r="P21" s="298"/>
      <c r="Q21" s="298"/>
      <c r="R21" s="298"/>
      <c r="T21" t="s">
        <v>2</v>
      </c>
      <c r="W21" s="70">
        <v>0.1</v>
      </c>
      <c r="Y21">
        <v>7</v>
      </c>
      <c r="Z21" t="s">
        <v>2</v>
      </c>
      <c r="AB21" s="382">
        <f t="shared" si="3"/>
        <v>0.36887234694810306</v>
      </c>
      <c r="AC21" s="201">
        <f>'распределение '!C75</f>
        <v>0.11066170408443091</v>
      </c>
      <c r="AD21" s="223">
        <v>0.1142</v>
      </c>
      <c r="AE21" s="223">
        <v>0.11429</v>
      </c>
      <c r="AF21" s="223">
        <v>0.1158</v>
      </c>
      <c r="AG21" s="227">
        <v>0.1225</v>
      </c>
      <c r="AH21" s="228">
        <v>0.13020000000000001</v>
      </c>
      <c r="AI21" s="228">
        <v>0.13750000000000001</v>
      </c>
      <c r="AJ21" s="228">
        <v>0.14369999999999999</v>
      </c>
      <c r="AK21" s="228">
        <v>0.152</v>
      </c>
      <c r="AL21" s="305">
        <f t="shared" si="6"/>
        <v>0.16070588235294117</v>
      </c>
      <c r="AM21" s="228">
        <f t="shared" si="6"/>
        <v>0.16941176470588235</v>
      </c>
      <c r="AN21" s="228">
        <f t="shared" ref="AN21:BA21" si="11">AM21+($BB21-AM21)/($BB$14-AM$14)</f>
        <v>0.17811764705882352</v>
      </c>
      <c r="AO21" s="228">
        <f t="shared" si="11"/>
        <v>0.18682352941176469</v>
      </c>
      <c r="AP21" s="228">
        <f t="shared" si="11"/>
        <v>0.19552941176470587</v>
      </c>
      <c r="AQ21" s="228">
        <f t="shared" si="11"/>
        <v>0.20423529411764704</v>
      </c>
      <c r="AR21" s="228">
        <f t="shared" si="11"/>
        <v>0.21294117647058822</v>
      </c>
      <c r="AS21" s="228">
        <f t="shared" si="11"/>
        <v>0.22164705882352939</v>
      </c>
      <c r="AT21" s="228">
        <f t="shared" si="11"/>
        <v>0.23035294117647057</v>
      </c>
      <c r="AU21" s="228">
        <f t="shared" si="11"/>
        <v>0.23905882352941174</v>
      </c>
      <c r="AV21" s="228">
        <f t="shared" si="11"/>
        <v>0.24776470588235291</v>
      </c>
      <c r="AW21" s="228">
        <f t="shared" si="11"/>
        <v>0.25647058823529412</v>
      </c>
      <c r="AX21" s="228">
        <f t="shared" si="11"/>
        <v>0.26517647058823529</v>
      </c>
      <c r="AY21" s="228">
        <f t="shared" si="11"/>
        <v>0.27388235294117647</v>
      </c>
      <c r="AZ21" s="228">
        <f t="shared" si="11"/>
        <v>0.28258823529411764</v>
      </c>
      <c r="BA21" s="228">
        <f t="shared" si="11"/>
        <v>0.29129411764705881</v>
      </c>
      <c r="BB21" s="350">
        <f>'[2]ГИПЕР-Пульт'!$P$143</f>
        <v>0.3</v>
      </c>
      <c r="BC21" s="350">
        <f>'[2]ГИПЕР-Пульт'!$P$143</f>
        <v>0.3</v>
      </c>
      <c r="BD21" t="s">
        <v>2</v>
      </c>
    </row>
    <row r="22" spans="4:56" ht="20.100000000000001" customHeight="1" x14ac:dyDescent="0.25">
      <c r="D22" s="60"/>
      <c r="G22" s="61"/>
      <c r="K22">
        <v>6</v>
      </c>
      <c r="L22" s="61">
        <v>1</v>
      </c>
      <c r="N22">
        <v>6</v>
      </c>
      <c r="O22" s="362">
        <f t="shared" si="5"/>
        <v>0</v>
      </c>
      <c r="P22" s="298"/>
      <c r="Q22" s="298"/>
      <c r="R22" s="298"/>
      <c r="W22" s="330"/>
      <c r="AB22" t="s">
        <v>227</v>
      </c>
      <c r="AC22" s="351"/>
      <c r="AD22" s="228"/>
      <c r="AE22" s="228"/>
      <c r="AF22" s="228"/>
      <c r="AG22" s="228"/>
      <c r="AH22" s="228"/>
      <c r="AI22" s="228"/>
      <c r="AJ22" s="228"/>
      <c r="AK22" s="228"/>
      <c r="AL22" s="303"/>
      <c r="AM22" s="303"/>
      <c r="AN22" s="303"/>
      <c r="AO22" s="303"/>
      <c r="AP22" s="303"/>
      <c r="AQ22" s="303"/>
      <c r="AR22" s="303"/>
      <c r="AS22" s="303"/>
      <c r="AT22" s="303"/>
      <c r="AU22" s="303"/>
      <c r="AV22" s="303"/>
      <c r="AW22" s="303"/>
      <c r="AX22" s="303"/>
      <c r="AY22" s="303"/>
      <c r="AZ22" s="303"/>
      <c r="BA22" s="303"/>
      <c r="BB22" s="228"/>
    </row>
    <row r="23" spans="4:56" ht="20.100000000000001" customHeight="1" x14ac:dyDescent="0.25">
      <c r="D23" s="60" t="s">
        <v>228</v>
      </c>
      <c r="G23" s="61">
        <f>'[2]ГИПЕР-Пульт'!$G$6</f>
        <v>2</v>
      </c>
      <c r="K23">
        <v>7</v>
      </c>
      <c r="L23" s="61">
        <v>1</v>
      </c>
      <c r="N23">
        <v>7</v>
      </c>
      <c r="O23" s="362">
        <f t="shared" si="5"/>
        <v>0</v>
      </c>
      <c r="P23" s="298"/>
      <c r="Q23" s="298"/>
      <c r="R23" s="298"/>
      <c r="W23" s="330"/>
      <c r="AC23" s="351"/>
      <c r="AD23" s="228"/>
      <c r="AE23" s="228"/>
      <c r="AF23" s="228"/>
      <c r="AG23" s="228"/>
      <c r="AH23" s="228"/>
      <c r="AI23" s="228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8"/>
      <c r="AX23" s="228"/>
      <c r="AY23" s="228"/>
      <c r="AZ23" s="228"/>
      <c r="BA23" s="228"/>
      <c r="BB23" s="228"/>
    </row>
    <row r="24" spans="4:56" ht="20.100000000000001" customHeight="1" x14ac:dyDescent="0.25">
      <c r="D24" s="60"/>
      <c r="G24" s="352"/>
      <c r="W24" s="330"/>
      <c r="AC24" s="351"/>
      <c r="AD24" s="223">
        <v>1.3836630000000001E-2</v>
      </c>
      <c r="AE24" s="223">
        <v>0.94079999999999997</v>
      </c>
      <c r="AF24" s="228"/>
      <c r="AG24" s="228"/>
      <c r="AH24" s="228"/>
      <c r="AI24" s="228"/>
      <c r="AJ24" s="228"/>
      <c r="AK24" s="228"/>
      <c r="AL24" s="303"/>
      <c r="AM24" s="303"/>
      <c r="AN24" s="303"/>
      <c r="AO24" s="303"/>
      <c r="AP24" s="303"/>
      <c r="AQ24" s="303"/>
      <c r="AR24" s="303"/>
      <c r="AS24" s="303"/>
      <c r="AT24" s="303"/>
      <c r="AU24" s="303"/>
      <c r="AV24" s="303"/>
      <c r="AW24" s="303"/>
      <c r="AX24" s="303"/>
      <c r="AY24" s="303"/>
      <c r="AZ24" s="303"/>
      <c r="BA24" s="303"/>
      <c r="BB24" s="228"/>
    </row>
    <row r="25" spans="4:56" ht="20.100000000000001" customHeight="1" x14ac:dyDescent="0.25">
      <c r="D25" s="60" t="s">
        <v>229</v>
      </c>
      <c r="G25" s="61">
        <v>2</v>
      </c>
      <c r="W25" s="330"/>
      <c r="AC25" s="351"/>
      <c r="AD25" s="228"/>
      <c r="AE25" s="228"/>
      <c r="AF25" s="228"/>
      <c r="AG25" s="228"/>
      <c r="AH25" s="228"/>
      <c r="AI25" s="228"/>
      <c r="AJ25" s="228"/>
      <c r="AK25" s="228"/>
      <c r="AL25" s="303"/>
      <c r="AM25" s="303"/>
      <c r="AN25" s="303"/>
      <c r="AO25" s="303"/>
      <c r="AP25" s="303"/>
      <c r="AQ25" s="303"/>
      <c r="AR25" s="303"/>
      <c r="AS25" s="303"/>
      <c r="AT25" s="303"/>
      <c r="AU25" s="303"/>
      <c r="AV25" s="303"/>
      <c r="AW25" s="303"/>
      <c r="AX25" s="303"/>
      <c r="AY25" s="303"/>
      <c r="AZ25" s="303"/>
      <c r="BA25" s="303"/>
      <c r="BB25" s="228"/>
    </row>
    <row r="26" spans="4:56" ht="20.100000000000001" customHeight="1" x14ac:dyDescent="0.25">
      <c r="D26" s="60" t="s">
        <v>264</v>
      </c>
      <c r="G26" s="440">
        <v>0.1</v>
      </c>
      <c r="K26" s="60" t="s">
        <v>212</v>
      </c>
      <c r="N26" s="361" t="s">
        <v>213</v>
      </c>
      <c r="O26" s="298"/>
      <c r="T26" s="60" t="s">
        <v>225</v>
      </c>
      <c r="W26" s="203" t="s">
        <v>219</v>
      </c>
      <c r="AC26" s="351"/>
      <c r="AD26" s="228"/>
      <c r="AE26" s="228"/>
      <c r="AF26" s="228"/>
      <c r="AG26" s="228"/>
      <c r="AH26" s="228"/>
      <c r="AI26" s="228"/>
      <c r="AJ26" s="228"/>
      <c r="AK26" s="228"/>
      <c r="AL26" s="303"/>
      <c r="AM26" s="303"/>
      <c r="AN26" s="303"/>
      <c r="AO26" s="303"/>
      <c r="AP26" s="303"/>
      <c r="AQ26" s="303"/>
      <c r="AR26" s="303"/>
      <c r="AS26" s="303"/>
      <c r="AT26" s="303"/>
      <c r="AU26" s="303"/>
      <c r="AV26" s="303"/>
      <c r="AW26" s="303"/>
      <c r="AX26" s="303"/>
      <c r="AY26" s="303"/>
      <c r="AZ26" s="303"/>
      <c r="BA26" s="303"/>
      <c r="BB26" s="228"/>
    </row>
    <row r="27" spans="4:56" ht="20.100000000000001" customHeight="1" x14ac:dyDescent="0.25">
      <c r="D27" s="60" t="s">
        <v>245</v>
      </c>
      <c r="G27" s="61">
        <v>0.5</v>
      </c>
      <c r="K27" t="s">
        <v>175</v>
      </c>
      <c r="N27" s="298"/>
      <c r="O27" s="298"/>
      <c r="U27" s="25" t="s">
        <v>169</v>
      </c>
      <c r="W27" s="330"/>
      <c r="AC27" s="351"/>
      <c r="AD27" s="228"/>
      <c r="AE27" s="228"/>
      <c r="AF27" s="228"/>
      <c r="AG27" s="228"/>
      <c r="AH27" s="228"/>
      <c r="AI27" s="228"/>
      <c r="AJ27" s="228"/>
      <c r="AK27" s="228"/>
      <c r="AL27" s="303"/>
      <c r="AM27" s="303"/>
      <c r="AN27" s="303"/>
      <c r="AO27" s="303"/>
      <c r="AP27" s="303"/>
      <c r="AQ27" s="303"/>
      <c r="AR27" s="303"/>
      <c r="AS27" s="303"/>
      <c r="AT27" s="303"/>
      <c r="AU27" s="303"/>
      <c r="AV27" s="303"/>
      <c r="AW27" s="303"/>
      <c r="AX27" s="303"/>
      <c r="AY27" s="303"/>
      <c r="AZ27" s="303"/>
      <c r="BA27" s="303"/>
      <c r="BB27" s="228"/>
    </row>
    <row r="28" spans="4:56" ht="20.100000000000001" customHeight="1" x14ac:dyDescent="0.25">
      <c r="D28" s="60"/>
      <c r="G28" s="61"/>
      <c r="K28">
        <v>1</v>
      </c>
      <c r="L28" s="359" t="s">
        <v>218</v>
      </c>
      <c r="N28">
        <v>1</v>
      </c>
      <c r="O28" s="362" t="s">
        <v>223</v>
      </c>
      <c r="T28" s="25" t="s">
        <v>175</v>
      </c>
      <c r="U28" s="84">
        <v>2014</v>
      </c>
      <c r="V28" s="84">
        <v>2015</v>
      </c>
      <c r="W28" s="84">
        <v>2016</v>
      </c>
      <c r="X28" s="84">
        <v>2017</v>
      </c>
      <c r="Y28" s="84">
        <v>2018</v>
      </c>
      <c r="Z28" s="84">
        <v>2019</v>
      </c>
      <c r="AA28" s="84">
        <v>2020</v>
      </c>
      <c r="AB28" s="84">
        <v>2021</v>
      </c>
      <c r="AC28" s="84">
        <v>2022</v>
      </c>
      <c r="AD28" s="84">
        <v>2023</v>
      </c>
      <c r="AE28" s="84">
        <v>2024</v>
      </c>
      <c r="AF28" s="84">
        <v>2025</v>
      </c>
      <c r="AG28" s="84">
        <v>2026</v>
      </c>
      <c r="AH28" s="84">
        <v>2027</v>
      </c>
      <c r="AI28" s="84">
        <v>2028</v>
      </c>
      <c r="AJ28" s="84">
        <v>2029</v>
      </c>
      <c r="AK28" s="84">
        <v>2030</v>
      </c>
      <c r="AL28" s="84">
        <v>2031</v>
      </c>
      <c r="AM28" s="303"/>
      <c r="AN28" s="303"/>
      <c r="AO28" s="303"/>
      <c r="AP28" s="303"/>
      <c r="AQ28" s="303"/>
      <c r="AR28" s="303"/>
      <c r="AS28" s="303"/>
      <c r="AT28" s="303"/>
      <c r="AU28" s="303"/>
      <c r="AV28" s="303"/>
      <c r="AW28" s="303"/>
      <c r="AX28" s="303"/>
      <c r="AY28" s="303"/>
      <c r="AZ28" s="303"/>
      <c r="BA28" s="303"/>
      <c r="BB28" s="228"/>
    </row>
    <row r="29" spans="4:56" ht="20.100000000000001" customHeight="1" x14ac:dyDescent="0.25">
      <c r="D29" s="60"/>
      <c r="G29" s="61"/>
      <c r="K29">
        <v>2</v>
      </c>
      <c r="L29" s="61">
        <v>1</v>
      </c>
      <c r="N29">
        <v>2</v>
      </c>
      <c r="O29" s="362">
        <f t="shared" ref="O29:O34" si="12">INDEX(KoefRostZPl,N29,$R$16-8)</f>
        <v>0</v>
      </c>
      <c r="T29" s="25">
        <v>1</v>
      </c>
      <c r="U29" s="360">
        <f>'[2]ГИПЕР-Пульт'!C30</f>
        <v>0</v>
      </c>
      <c r="V29" s="360">
        <f>'[2]ГИПЕР-Пульт'!D30</f>
        <v>0</v>
      </c>
      <c r="W29" s="360">
        <f>'[2]ГИПЕР-Пульт'!E30</f>
        <v>0</v>
      </c>
      <c r="X29" s="360">
        <f>'[2]ГИПЕР-Пульт'!F30</f>
        <v>0</v>
      </c>
      <c r="Y29" s="360">
        <f>'[2]ГИПЕР-Пульт'!G30</f>
        <v>0</v>
      </c>
      <c r="Z29" s="360">
        <f>'[2]ГИПЕР-Пульт'!H30</f>
        <v>0</v>
      </c>
      <c r="AA29" s="360">
        <f>'[2]ГИПЕР-Пульт'!I30</f>
        <v>0</v>
      </c>
      <c r="AB29" s="360">
        <f>'[2]ГИПЕР-Пульт'!J30</f>
        <v>0</v>
      </c>
      <c r="AC29" s="360">
        <f>'[2]ГИПЕР-Пульт'!K30</f>
        <v>0</v>
      </c>
      <c r="AD29" s="360">
        <f>'[2]ГИПЕР-Пульт'!L30</f>
        <v>0</v>
      </c>
      <c r="AE29" s="360">
        <f>'[2]ГИПЕР-Пульт'!M30</f>
        <v>0</v>
      </c>
      <c r="AF29" s="360">
        <f>'[2]ГИПЕР-Пульт'!N30</f>
        <v>0</v>
      </c>
      <c r="AG29" s="360">
        <f>'[2]ГИПЕР-Пульт'!O30</f>
        <v>0</v>
      </c>
      <c r="AH29" s="360">
        <f>'[2]ГИПЕР-Пульт'!P30</f>
        <v>0</v>
      </c>
      <c r="AI29" s="360">
        <f>'[2]ГИПЕР-Пульт'!Q30</f>
        <v>0</v>
      </c>
      <c r="AJ29" s="360">
        <f>'[2]ГИПЕР-Пульт'!R30</f>
        <v>0</v>
      </c>
      <c r="AK29" s="360">
        <v>0.1</v>
      </c>
      <c r="AL29" s="360">
        <v>0.1</v>
      </c>
      <c r="AM29" s="303"/>
      <c r="AN29" s="303"/>
      <c r="AO29" s="303"/>
      <c r="AP29" s="303"/>
      <c r="AQ29" s="303"/>
      <c r="AR29" s="303"/>
      <c r="AS29" s="303"/>
      <c r="AT29" s="303"/>
      <c r="AU29" s="303"/>
      <c r="AV29" s="303"/>
      <c r="AW29" s="303"/>
      <c r="AX29" s="303"/>
      <c r="AY29" s="303"/>
      <c r="AZ29" s="303"/>
      <c r="BA29" s="303"/>
      <c r="BB29" s="228"/>
    </row>
    <row r="30" spans="4:56" ht="20.100000000000001" customHeight="1" x14ac:dyDescent="0.25">
      <c r="D30" s="60"/>
      <c r="G30" s="61"/>
      <c r="K30">
        <v>3</v>
      </c>
      <c r="L30" s="61">
        <v>1</v>
      </c>
      <c r="N30">
        <v>3</v>
      </c>
      <c r="O30" s="362">
        <f t="shared" si="12"/>
        <v>0</v>
      </c>
      <c r="T30" s="25">
        <v>2</v>
      </c>
      <c r="U30" s="360">
        <f>'[2]ГИПЕР-Пульт'!C48</f>
        <v>0</v>
      </c>
      <c r="V30" s="360">
        <f>'[2]ГИПЕР-Пульт'!D48</f>
        <v>0</v>
      </c>
      <c r="W30" s="360">
        <f>'[2]ГИПЕР-Пульт'!E48</f>
        <v>0</v>
      </c>
      <c r="X30" s="360">
        <f>'[2]ГИПЕР-Пульт'!F48</f>
        <v>0</v>
      </c>
      <c r="Y30" s="360">
        <f>'[2]ГИПЕР-Пульт'!G48</f>
        <v>0</v>
      </c>
      <c r="Z30" s="360">
        <f>'[2]ГИПЕР-Пульт'!H48</f>
        <v>0</v>
      </c>
      <c r="AA30" s="360">
        <f>'[2]ГИПЕР-Пульт'!I48</f>
        <v>0</v>
      </c>
      <c r="AB30" s="360">
        <f>'[2]ГИПЕР-Пульт'!J48</f>
        <v>0</v>
      </c>
      <c r="AC30" s="360">
        <f>'[2]ГИПЕР-Пульт'!K48</f>
        <v>0</v>
      </c>
      <c r="AD30" s="360">
        <f>'[2]ГИПЕР-Пульт'!L48</f>
        <v>0</v>
      </c>
      <c r="AE30" s="360">
        <f>'[2]ГИПЕР-Пульт'!M48</f>
        <v>0</v>
      </c>
      <c r="AF30" s="360">
        <f>'[2]ГИПЕР-Пульт'!N48</f>
        <v>0</v>
      </c>
      <c r="AG30" s="360">
        <f>'[2]ГИПЕР-Пульт'!O48</f>
        <v>0</v>
      </c>
      <c r="AH30" s="360">
        <f>'[2]ГИПЕР-Пульт'!P48</f>
        <v>0</v>
      </c>
      <c r="AI30" s="360">
        <f>'[2]ГИПЕР-Пульт'!Q48</f>
        <v>0</v>
      </c>
      <c r="AJ30" s="360">
        <f>'[2]ГИПЕР-Пульт'!R48</f>
        <v>0</v>
      </c>
      <c r="AK30" s="360">
        <v>0.12</v>
      </c>
      <c r="AL30" s="360">
        <v>0.12</v>
      </c>
      <c r="AM30" s="303"/>
      <c r="AN30" s="303"/>
      <c r="AO30" s="303"/>
      <c r="AP30" s="303"/>
      <c r="AQ30" s="303"/>
      <c r="AR30" s="303"/>
      <c r="AS30" s="303"/>
      <c r="AT30" s="303"/>
      <c r="AU30" s="303"/>
      <c r="AV30" s="303"/>
      <c r="AW30" s="303"/>
      <c r="AX30" s="303"/>
      <c r="AY30" s="303"/>
      <c r="AZ30" s="303"/>
      <c r="BA30" s="303"/>
      <c r="BB30" s="303"/>
    </row>
    <row r="31" spans="4:56" ht="20.100000000000001" customHeight="1" x14ac:dyDescent="0.25">
      <c r="D31" s="60"/>
      <c r="E31" s="249" t="s">
        <v>77</v>
      </c>
      <c r="F31" s="249"/>
      <c r="G31" s="249"/>
      <c r="H31" s="249"/>
      <c r="I31" s="332" t="s">
        <v>157</v>
      </c>
      <c r="J31" s="340">
        <f>J2</f>
        <v>2017</v>
      </c>
      <c r="K31">
        <v>4</v>
      </c>
      <c r="L31" s="61">
        <v>1</v>
      </c>
      <c r="N31">
        <v>4</v>
      </c>
      <c r="O31" s="362">
        <f t="shared" si="12"/>
        <v>0</v>
      </c>
      <c r="T31" s="25">
        <v>3</v>
      </c>
      <c r="U31" s="360">
        <f>'[2]ГИПЕР-Пульт'!C71</f>
        <v>0</v>
      </c>
      <c r="V31" s="360">
        <f>'[2]ГИПЕР-Пульт'!D71</f>
        <v>0</v>
      </c>
      <c r="W31" s="360">
        <f>'[2]ГИПЕР-Пульт'!E71</f>
        <v>0</v>
      </c>
      <c r="X31" s="360">
        <f>'[2]ГИПЕР-Пульт'!F71</f>
        <v>0</v>
      </c>
      <c r="Y31" s="360">
        <f>'[2]ГИПЕР-Пульт'!G71</f>
        <v>0</v>
      </c>
      <c r="Z31" s="360">
        <f>'[2]ГИПЕР-Пульт'!H71</f>
        <v>0</v>
      </c>
      <c r="AA31" s="360">
        <f>'[2]ГИПЕР-Пульт'!I71</f>
        <v>0</v>
      </c>
      <c r="AB31" s="360">
        <f>'[2]ГИПЕР-Пульт'!J71</f>
        <v>0</v>
      </c>
      <c r="AC31" s="360">
        <f>'[2]ГИПЕР-Пульт'!K71</f>
        <v>0</v>
      </c>
      <c r="AD31" s="360">
        <f>'[2]ГИПЕР-Пульт'!L71</f>
        <v>0</v>
      </c>
      <c r="AE31" s="360">
        <f>'[2]ГИПЕР-Пульт'!M71</f>
        <v>0</v>
      </c>
      <c r="AF31" s="360">
        <f>'[2]ГИПЕР-Пульт'!N71</f>
        <v>0</v>
      </c>
      <c r="AG31" s="360">
        <f>'[2]ГИПЕР-Пульт'!O71</f>
        <v>0</v>
      </c>
      <c r="AH31" s="360">
        <f>'[2]ГИПЕР-Пульт'!P71</f>
        <v>0</v>
      </c>
      <c r="AI31" s="360">
        <f>'[2]ГИПЕР-Пульт'!Q71</f>
        <v>0</v>
      </c>
      <c r="AJ31" s="360">
        <f>'[2]ГИПЕР-Пульт'!R71</f>
        <v>0</v>
      </c>
      <c r="AK31" s="360">
        <v>0.13</v>
      </c>
      <c r="AL31" s="360">
        <v>0.13</v>
      </c>
      <c r="AM31" s="303"/>
      <c r="AN31" s="303"/>
      <c r="AO31" s="303"/>
      <c r="AP31" s="303"/>
      <c r="AQ31" s="303"/>
      <c r="AR31" s="303"/>
      <c r="AS31" s="303"/>
      <c r="AT31" s="303"/>
      <c r="AU31" s="303"/>
      <c r="AV31" s="303"/>
      <c r="AW31" s="303"/>
      <c r="AX31" s="303"/>
      <c r="AY31" s="303"/>
      <c r="AZ31" s="303"/>
      <c r="BA31" s="303"/>
      <c r="BB31" s="303"/>
    </row>
    <row r="32" spans="4:56" ht="20.100000000000001" customHeight="1" x14ac:dyDescent="0.25">
      <c r="D32" s="60"/>
      <c r="G32">
        <v>1</v>
      </c>
      <c r="H32" t="s">
        <v>36</v>
      </c>
      <c r="I32">
        <f t="shared" ref="I32:I38" si="13">INDEX(ditarifnas,G32,$I$2)</f>
        <v>1.17</v>
      </c>
      <c r="K32">
        <v>5</v>
      </c>
      <c r="L32" s="61">
        <v>1</v>
      </c>
      <c r="N32">
        <v>5</v>
      </c>
      <c r="O32" s="362">
        <f t="shared" si="12"/>
        <v>0</v>
      </c>
      <c r="T32" s="25">
        <v>4</v>
      </c>
      <c r="U32" s="360">
        <f>'[2]ГИПЕР-Пульт'!C89</f>
        <v>0</v>
      </c>
      <c r="V32" s="360">
        <f>'[2]ГИПЕР-Пульт'!D89</f>
        <v>0</v>
      </c>
      <c r="W32" s="360">
        <f>'[2]ГИПЕР-Пульт'!E89</f>
        <v>0</v>
      </c>
      <c r="X32" s="360">
        <f>'[2]ГИПЕР-Пульт'!F89</f>
        <v>0</v>
      </c>
      <c r="Y32" s="360">
        <f>'[2]ГИПЕР-Пульт'!G89</f>
        <v>0</v>
      </c>
      <c r="Z32" s="360">
        <f>'[2]ГИПЕР-Пульт'!H89</f>
        <v>0</v>
      </c>
      <c r="AA32" s="360">
        <f>'[2]ГИПЕР-Пульт'!I89</f>
        <v>0</v>
      </c>
      <c r="AB32" s="360">
        <f>'[2]ГИПЕР-Пульт'!J89</f>
        <v>0</v>
      </c>
      <c r="AC32" s="360">
        <f>'[2]ГИПЕР-Пульт'!K89</f>
        <v>0</v>
      </c>
      <c r="AD32" s="360">
        <f>'[2]ГИПЕР-Пульт'!L89</f>
        <v>0</v>
      </c>
      <c r="AE32" s="360">
        <f>'[2]ГИПЕР-Пульт'!M89</f>
        <v>0</v>
      </c>
      <c r="AF32" s="360">
        <f>'[2]ГИПЕР-Пульт'!N89</f>
        <v>0</v>
      </c>
      <c r="AG32" s="360">
        <f>'[2]ГИПЕР-Пульт'!O89</f>
        <v>0</v>
      </c>
      <c r="AH32" s="360">
        <f>'[2]ГИПЕР-Пульт'!P89</f>
        <v>0</v>
      </c>
      <c r="AI32" s="360">
        <f>'[2]ГИПЕР-Пульт'!Q89</f>
        <v>0</v>
      </c>
      <c r="AJ32" s="360">
        <f>'[2]ГИПЕР-Пульт'!R89</f>
        <v>0</v>
      </c>
      <c r="AK32" s="360">
        <v>0.14000000000000001</v>
      </c>
      <c r="AL32" s="360">
        <v>0.14000000000000001</v>
      </c>
      <c r="AM32" s="303"/>
      <c r="AN32" s="303"/>
      <c r="AO32" s="303"/>
      <c r="AP32" s="303"/>
      <c r="AQ32" s="303"/>
      <c r="AR32" s="303"/>
      <c r="AS32" s="303"/>
      <c r="AT32" s="303"/>
      <c r="AU32" s="303"/>
      <c r="AV32" s="303"/>
      <c r="AW32" s="303"/>
      <c r="AX32" s="303"/>
      <c r="AY32" s="303"/>
      <c r="AZ32" s="303"/>
      <c r="BA32" s="303"/>
      <c r="BB32" s="303"/>
    </row>
    <row r="33" spans="4:54" ht="20.100000000000001" customHeight="1" x14ac:dyDescent="0.25">
      <c r="D33" s="60"/>
      <c r="G33">
        <v>2</v>
      </c>
      <c r="H33" t="s">
        <v>3</v>
      </c>
      <c r="I33">
        <f t="shared" si="13"/>
        <v>1.17</v>
      </c>
      <c r="K33">
        <v>6</v>
      </c>
      <c r="L33" s="61">
        <v>1</v>
      </c>
      <c r="N33">
        <v>6</v>
      </c>
      <c r="O33" s="362">
        <f t="shared" si="12"/>
        <v>0</v>
      </c>
      <c r="T33" s="25">
        <v>5</v>
      </c>
      <c r="U33" s="360">
        <f>'[2]ГИПЕР-Пульт'!C108</f>
        <v>0</v>
      </c>
      <c r="V33" s="360">
        <f>'[2]ГИПЕР-Пульт'!D108</f>
        <v>0</v>
      </c>
      <c r="W33" s="360">
        <f>'[2]ГИПЕР-Пульт'!E108</f>
        <v>0</v>
      </c>
      <c r="X33" s="360">
        <f>'[2]ГИПЕР-Пульт'!F108</f>
        <v>0</v>
      </c>
      <c r="Y33" s="360">
        <f>'[2]ГИПЕР-Пульт'!G108</f>
        <v>0</v>
      </c>
      <c r="Z33" s="360">
        <f>'[2]ГИПЕР-Пульт'!H108</f>
        <v>0</v>
      </c>
      <c r="AA33" s="360">
        <f>'[2]ГИПЕР-Пульт'!I108</f>
        <v>0</v>
      </c>
      <c r="AB33" s="360">
        <f>'[2]ГИПЕР-Пульт'!J108</f>
        <v>0</v>
      </c>
      <c r="AC33" s="360">
        <f>'[2]ГИПЕР-Пульт'!K108</f>
        <v>0</v>
      </c>
      <c r="AD33" s="360">
        <f>'[2]ГИПЕР-Пульт'!L108</f>
        <v>0</v>
      </c>
      <c r="AE33" s="360">
        <f>'[2]ГИПЕР-Пульт'!M108</f>
        <v>0</v>
      </c>
      <c r="AF33" s="360">
        <f>'[2]ГИПЕР-Пульт'!N108</f>
        <v>0</v>
      </c>
      <c r="AG33" s="360">
        <f>'[2]ГИПЕР-Пульт'!O108</f>
        <v>0</v>
      </c>
      <c r="AH33" s="360">
        <f>'[2]ГИПЕР-Пульт'!P108</f>
        <v>0</v>
      </c>
      <c r="AI33" s="360">
        <f>'[2]ГИПЕР-Пульт'!Q108</f>
        <v>0</v>
      </c>
      <c r="AJ33" s="360">
        <f>'[2]ГИПЕР-Пульт'!R108</f>
        <v>0</v>
      </c>
      <c r="AK33" s="360">
        <v>0.15</v>
      </c>
      <c r="AL33" s="360">
        <v>0.15</v>
      </c>
      <c r="AM33" s="303"/>
      <c r="AN33" s="303"/>
      <c r="AO33" s="303"/>
      <c r="AP33" s="303"/>
      <c r="AQ33" s="303"/>
      <c r="AR33" s="303"/>
      <c r="AS33" s="303"/>
      <c r="AT33" s="303"/>
      <c r="AU33" s="303"/>
      <c r="AV33" s="303"/>
      <c r="AW33" s="303"/>
      <c r="AX33" s="303"/>
      <c r="AY33" s="303"/>
      <c r="AZ33" s="303"/>
      <c r="BA33" s="303"/>
      <c r="BB33" s="303"/>
    </row>
    <row r="34" spans="4:54" ht="20.100000000000001" customHeight="1" x14ac:dyDescent="0.25">
      <c r="D34" s="60"/>
      <c r="G34">
        <v>3</v>
      </c>
      <c r="H34" t="s">
        <v>29</v>
      </c>
      <c r="I34">
        <f t="shared" si="13"/>
        <v>1.17</v>
      </c>
      <c r="K34">
        <v>7</v>
      </c>
      <c r="L34" s="61">
        <v>1</v>
      </c>
      <c r="N34">
        <v>7</v>
      </c>
      <c r="O34" s="362">
        <f t="shared" si="12"/>
        <v>0</v>
      </c>
      <c r="T34" s="25">
        <v>6</v>
      </c>
      <c r="U34" s="360">
        <f>'[2]ГИПЕР-Пульт'!C126</f>
        <v>0</v>
      </c>
      <c r="V34" s="360">
        <f>'[2]ГИПЕР-Пульт'!D126</f>
        <v>0</v>
      </c>
      <c r="W34" s="360">
        <f>'[2]ГИПЕР-Пульт'!E126</f>
        <v>0</v>
      </c>
      <c r="X34" s="360">
        <f>'[2]ГИПЕР-Пульт'!F126</f>
        <v>0</v>
      </c>
      <c r="Y34" s="360">
        <f>'[2]ГИПЕР-Пульт'!G126</f>
        <v>0</v>
      </c>
      <c r="Z34" s="360">
        <f>'[2]ГИПЕР-Пульт'!H126</f>
        <v>0</v>
      </c>
      <c r="AA34" s="360">
        <f>'[2]ГИПЕР-Пульт'!I126</f>
        <v>0</v>
      </c>
      <c r="AB34" s="360">
        <f>'[2]ГИПЕР-Пульт'!J126</f>
        <v>0</v>
      </c>
      <c r="AC34" s="360">
        <f>'[2]ГИПЕР-Пульт'!K126</f>
        <v>0</v>
      </c>
      <c r="AD34" s="360">
        <f>'[2]ГИПЕР-Пульт'!L126</f>
        <v>0</v>
      </c>
      <c r="AE34" s="360">
        <f>'[2]ГИПЕР-Пульт'!M126</f>
        <v>0</v>
      </c>
      <c r="AF34" s="360">
        <f>'[2]ГИПЕР-Пульт'!N126</f>
        <v>0</v>
      </c>
      <c r="AG34" s="360">
        <f>'[2]ГИПЕР-Пульт'!O126</f>
        <v>0</v>
      </c>
      <c r="AH34" s="360">
        <f>'[2]ГИПЕР-Пульт'!P126</f>
        <v>0</v>
      </c>
      <c r="AI34" s="360">
        <f>'[2]ГИПЕР-Пульт'!Q126</f>
        <v>0</v>
      </c>
      <c r="AJ34" s="360">
        <f>'[2]ГИПЕР-Пульт'!R126</f>
        <v>0</v>
      </c>
      <c r="AK34" s="360">
        <v>0.16</v>
      </c>
      <c r="AL34" s="360">
        <v>0.16</v>
      </c>
      <c r="AM34" s="303"/>
      <c r="AN34" s="303"/>
      <c r="AO34" s="303"/>
      <c r="AP34" s="303"/>
      <c r="AQ34" s="303"/>
      <c r="AR34" s="303"/>
      <c r="AS34" s="303"/>
      <c r="AT34" s="303"/>
      <c r="AU34" s="303"/>
      <c r="AV34" s="303"/>
      <c r="AW34" s="303"/>
      <c r="AX34" s="303"/>
      <c r="AY34" s="303"/>
      <c r="AZ34" s="303"/>
      <c r="BA34" s="303"/>
      <c r="BB34" s="303"/>
    </row>
    <row r="35" spans="4:54" ht="20.100000000000001" customHeight="1" x14ac:dyDescent="0.25">
      <c r="D35" s="60"/>
      <c r="G35">
        <v>4</v>
      </c>
      <c r="H35" t="s">
        <v>5</v>
      </c>
      <c r="I35">
        <f t="shared" si="13"/>
        <v>1.17</v>
      </c>
      <c r="T35" s="25">
        <v>7</v>
      </c>
      <c r="U35" s="360">
        <f>'[2]ГИПЕР-Пульт'!C146</f>
        <v>0</v>
      </c>
      <c r="V35" s="360">
        <f>'[2]ГИПЕР-Пульт'!D146</f>
        <v>0</v>
      </c>
      <c r="W35" s="360">
        <f>'[2]ГИПЕР-Пульт'!E146</f>
        <v>0</v>
      </c>
      <c r="X35" s="360">
        <f>'[2]ГИПЕР-Пульт'!F146</f>
        <v>0</v>
      </c>
      <c r="Y35" s="360">
        <f>'[2]ГИПЕР-Пульт'!G146</f>
        <v>0</v>
      </c>
      <c r="Z35" s="360">
        <f>'[2]ГИПЕР-Пульт'!H146</f>
        <v>0</v>
      </c>
      <c r="AA35" s="360">
        <f>'[2]ГИПЕР-Пульт'!I146</f>
        <v>0</v>
      </c>
      <c r="AB35" s="360">
        <f>'[2]ГИПЕР-Пульт'!J146</f>
        <v>0</v>
      </c>
      <c r="AC35" s="360">
        <f>'[2]ГИПЕР-Пульт'!K146</f>
        <v>0</v>
      </c>
      <c r="AD35" s="360">
        <f>'[2]ГИПЕР-Пульт'!L146</f>
        <v>0</v>
      </c>
      <c r="AE35" s="360">
        <f>'[2]ГИПЕР-Пульт'!M146</f>
        <v>0</v>
      </c>
      <c r="AF35" s="360">
        <f>'[2]ГИПЕР-Пульт'!N146</f>
        <v>0</v>
      </c>
      <c r="AG35" s="360">
        <f>'[2]ГИПЕР-Пульт'!O146</f>
        <v>0</v>
      </c>
      <c r="AH35" s="360">
        <f>'[2]ГИПЕР-Пульт'!P146</f>
        <v>0</v>
      </c>
      <c r="AI35" s="360">
        <f>'[2]ГИПЕР-Пульт'!Q146</f>
        <v>0</v>
      </c>
      <c r="AJ35" s="360">
        <f>'[2]ГИПЕР-Пульт'!R146</f>
        <v>0</v>
      </c>
      <c r="AK35" s="360">
        <v>0.17</v>
      </c>
      <c r="AL35" s="360">
        <v>0.17</v>
      </c>
      <c r="AM35" s="303"/>
      <c r="AN35" s="303"/>
      <c r="AO35" s="303"/>
      <c r="AP35" s="303"/>
      <c r="AQ35" s="303"/>
      <c r="AR35" s="303"/>
      <c r="AS35" s="303"/>
      <c r="AT35" s="303"/>
      <c r="AU35" s="303"/>
      <c r="AV35" s="303"/>
      <c r="AW35" s="303"/>
      <c r="AX35" s="303"/>
      <c r="AY35" s="303"/>
      <c r="AZ35" s="303"/>
      <c r="BA35" s="303"/>
      <c r="BB35" s="303"/>
    </row>
    <row r="36" spans="4:54" ht="20.100000000000001" customHeight="1" x14ac:dyDescent="0.25">
      <c r="D36" s="60"/>
      <c r="G36">
        <v>5</v>
      </c>
      <c r="H36" t="s">
        <v>6</v>
      </c>
      <c r="I36">
        <f t="shared" si="13"/>
        <v>1.17</v>
      </c>
      <c r="W36" s="330"/>
      <c r="AC36" s="351"/>
      <c r="AD36" s="228"/>
      <c r="AE36" s="228"/>
      <c r="AF36" s="228"/>
      <c r="AG36" s="228"/>
      <c r="AH36" s="228"/>
      <c r="AI36" s="228"/>
      <c r="AJ36" s="228"/>
      <c r="AK36" s="228"/>
      <c r="AL36" s="303"/>
      <c r="AM36" s="303"/>
      <c r="AN36" s="303"/>
      <c r="AO36" s="303"/>
      <c r="AP36" s="303"/>
      <c r="AQ36" s="303"/>
      <c r="AR36" s="303"/>
      <c r="AS36" s="303"/>
      <c r="AT36" s="303"/>
      <c r="AU36" s="303"/>
      <c r="AV36" s="303"/>
      <c r="AW36" s="303"/>
      <c r="AX36" s="303"/>
      <c r="AY36" s="303"/>
      <c r="AZ36" s="303"/>
      <c r="BA36" s="303"/>
      <c r="BB36" s="303"/>
    </row>
    <row r="37" spans="4:54" ht="20.100000000000001" customHeight="1" x14ac:dyDescent="0.25">
      <c r="D37" s="60"/>
      <c r="G37">
        <v>6</v>
      </c>
      <c r="H37" t="s">
        <v>1</v>
      </c>
      <c r="I37">
        <f t="shared" si="13"/>
        <v>1.17</v>
      </c>
      <c r="T37" s="60" t="s">
        <v>222</v>
      </c>
      <c r="W37" s="330"/>
      <c r="AC37" s="351"/>
      <c r="AD37" s="228"/>
      <c r="AE37" s="228"/>
      <c r="AF37" s="228"/>
      <c r="AG37" s="228"/>
      <c r="AH37" s="228"/>
      <c r="AI37" s="228"/>
      <c r="AJ37" s="228"/>
      <c r="AK37" s="228"/>
      <c r="AL37" s="303"/>
      <c r="AM37" s="303"/>
      <c r="AN37" s="303"/>
      <c r="AO37" s="303"/>
      <c r="AP37" s="303"/>
      <c r="AQ37" s="303"/>
      <c r="AR37" s="303"/>
      <c r="AS37" s="303"/>
      <c r="AT37" s="303"/>
      <c r="AU37" s="303"/>
      <c r="AV37" s="303"/>
      <c r="AW37" s="303"/>
      <c r="AX37" s="303"/>
      <c r="AY37" s="303"/>
      <c r="AZ37" s="303"/>
      <c r="BA37" s="303"/>
      <c r="BB37" s="303"/>
    </row>
    <row r="38" spans="4:54" ht="20.100000000000001" customHeight="1" x14ac:dyDescent="0.25">
      <c r="D38" s="60"/>
      <c r="G38">
        <v>7</v>
      </c>
      <c r="H38" t="s">
        <v>2</v>
      </c>
      <c r="I38">
        <f t="shared" si="13"/>
        <v>1.17</v>
      </c>
      <c r="T38" s="203" t="s">
        <v>220</v>
      </c>
      <c r="W38" s="330"/>
      <c r="AC38" s="351"/>
      <c r="AD38" s="228"/>
      <c r="AE38" s="228"/>
      <c r="AF38" s="228"/>
      <c r="AG38" s="228"/>
      <c r="AH38" s="228"/>
      <c r="AI38" s="228"/>
      <c r="AJ38" s="228"/>
      <c r="AK38" s="228"/>
      <c r="AL38" s="303"/>
      <c r="AM38" s="303"/>
      <c r="AN38" s="303"/>
      <c r="AO38" s="303"/>
      <c r="AP38" s="303"/>
      <c r="AQ38" s="303"/>
      <c r="AR38" s="303"/>
      <c r="AS38" s="303"/>
      <c r="AT38" s="303"/>
      <c r="AU38" s="303"/>
      <c r="AV38" s="303"/>
      <c r="AW38" s="303"/>
      <c r="AX38" s="303"/>
      <c r="AY38" s="303"/>
      <c r="AZ38" s="303"/>
      <c r="BA38" s="303"/>
      <c r="BB38" s="303"/>
    </row>
    <row r="39" spans="4:54" ht="20.100000000000001" customHeight="1" x14ac:dyDescent="0.25">
      <c r="D39" s="60"/>
      <c r="U39" s="25" t="s">
        <v>169</v>
      </c>
      <c r="V39" s="25"/>
      <c r="W39" s="330"/>
      <c r="X39" s="25"/>
      <c r="Y39" s="25"/>
      <c r="Z39" s="25"/>
      <c r="AA39" s="25"/>
      <c r="AB39" s="25"/>
      <c r="AC39" s="351"/>
      <c r="AD39" s="228"/>
      <c r="AE39" s="228"/>
      <c r="AF39" s="228"/>
      <c r="AG39" s="228"/>
      <c r="AH39" s="228"/>
      <c r="AI39" s="228"/>
      <c r="AJ39" s="228"/>
      <c r="AK39" s="228"/>
      <c r="AL39" s="303"/>
      <c r="AM39" s="303"/>
      <c r="AN39" s="303"/>
      <c r="AO39" s="303"/>
      <c r="AP39" s="303"/>
      <c r="AQ39" s="303"/>
      <c r="AR39" s="303"/>
      <c r="AS39" s="303"/>
      <c r="AT39" s="303"/>
      <c r="AU39" s="303"/>
      <c r="AV39" s="303"/>
      <c r="AW39" s="303"/>
      <c r="AX39" s="303"/>
      <c r="AY39" s="303"/>
      <c r="AZ39" s="303"/>
      <c r="BA39" s="303"/>
      <c r="BB39" s="303"/>
    </row>
    <row r="40" spans="4:54" ht="20.100000000000001" customHeight="1" x14ac:dyDescent="0.25">
      <c r="D40" s="60"/>
      <c r="E40" s="249" t="s">
        <v>85</v>
      </c>
      <c r="F40" s="249"/>
      <c r="G40" s="249"/>
      <c r="H40" s="249"/>
      <c r="I40" s="249"/>
      <c r="J40" s="332" t="s">
        <v>157</v>
      </c>
      <c r="K40" s="340">
        <f>J2</f>
        <v>2017</v>
      </c>
      <c r="T40" s="25" t="s">
        <v>175</v>
      </c>
      <c r="U40" s="84">
        <v>2014</v>
      </c>
      <c r="V40" s="84">
        <v>2015</v>
      </c>
      <c r="W40" s="84">
        <v>2016</v>
      </c>
      <c r="X40" s="84">
        <v>2017</v>
      </c>
      <c r="Y40" s="84">
        <v>2018</v>
      </c>
      <c r="Z40" s="84">
        <v>2019</v>
      </c>
      <c r="AA40" s="84">
        <v>2020</v>
      </c>
      <c r="AB40" s="84">
        <v>2021</v>
      </c>
      <c r="AC40" s="84">
        <v>2022</v>
      </c>
      <c r="AD40" s="84">
        <v>2023</v>
      </c>
      <c r="AE40" s="84">
        <v>2024</v>
      </c>
      <c r="AF40" s="84">
        <v>2025</v>
      </c>
      <c r="AG40" s="84">
        <v>2026</v>
      </c>
      <c r="AH40" s="84">
        <v>2027</v>
      </c>
      <c r="AI40" s="84">
        <v>2028</v>
      </c>
      <c r="AJ40" s="84">
        <v>2029</v>
      </c>
      <c r="AK40" s="84">
        <v>2030</v>
      </c>
      <c r="AL40" s="84">
        <v>2031</v>
      </c>
      <c r="AM40" s="303"/>
      <c r="AN40" s="303"/>
      <c r="AO40" s="303"/>
      <c r="AP40" s="303"/>
      <c r="AQ40" s="303"/>
      <c r="AR40" s="303"/>
      <c r="AS40" s="303"/>
      <c r="AT40" s="303"/>
      <c r="AU40" s="303"/>
      <c r="AV40" s="303"/>
      <c r="AW40" s="303"/>
      <c r="AX40" s="303"/>
      <c r="AY40" s="303"/>
      <c r="AZ40" s="303"/>
      <c r="BA40" s="303"/>
      <c r="BB40" s="303"/>
    </row>
    <row r="41" spans="4:54" ht="20.100000000000001" customHeight="1" x14ac:dyDescent="0.25">
      <c r="D41" s="60"/>
      <c r="G41">
        <v>1</v>
      </c>
      <c r="H41" t="s">
        <v>36</v>
      </c>
      <c r="I41">
        <f t="shared" ref="I41:I47" si="14">INDEX(DiZPGOSNS,G41,$I$2)</f>
        <v>0</v>
      </c>
      <c r="T41" s="25">
        <v>1</v>
      </c>
      <c r="U41" s="360"/>
      <c r="V41" s="360"/>
      <c r="W41" s="360"/>
      <c r="X41" s="360"/>
      <c r="Y41" s="360"/>
      <c r="Z41" s="360"/>
      <c r="AA41" s="360"/>
      <c r="AB41" s="360"/>
      <c r="AC41" s="360"/>
      <c r="AD41" s="360"/>
      <c r="AE41" s="360"/>
      <c r="AF41" s="360"/>
      <c r="AG41" s="360"/>
      <c r="AH41" s="360"/>
      <c r="AI41" s="360"/>
      <c r="AJ41" s="360"/>
      <c r="AK41" s="360"/>
      <c r="AL41" s="360"/>
      <c r="AM41" s="303"/>
      <c r="AN41" s="303"/>
      <c r="AO41" s="303"/>
      <c r="AP41" s="303"/>
      <c r="AQ41" s="303"/>
      <c r="AR41" s="303"/>
      <c r="AS41" s="303"/>
      <c r="AT41" s="303"/>
      <c r="AU41" s="303"/>
      <c r="AV41" s="303"/>
      <c r="AW41" s="303"/>
      <c r="AX41" s="303"/>
      <c r="AY41" s="303"/>
      <c r="AZ41" s="303"/>
      <c r="BA41" s="303"/>
      <c r="BB41" s="303"/>
    </row>
    <row r="42" spans="4:54" ht="20.100000000000001" customHeight="1" x14ac:dyDescent="0.25">
      <c r="D42" s="60"/>
      <c r="G42">
        <v>2</v>
      </c>
      <c r="H42" t="s">
        <v>3</v>
      </c>
      <c r="I42">
        <f t="shared" si="14"/>
        <v>1.17</v>
      </c>
      <c r="T42" s="25">
        <v>2</v>
      </c>
      <c r="U42" s="360">
        <f>'[2]ГИПЕР-Пульт'!C49</f>
        <v>0</v>
      </c>
      <c r="V42" s="360">
        <f>'[2]ГИПЕР-Пульт'!D49</f>
        <v>0</v>
      </c>
      <c r="W42" s="360">
        <f>'[2]ГИПЕР-Пульт'!E49</f>
        <v>0</v>
      </c>
      <c r="X42" s="360">
        <f>'[2]ГИПЕР-Пульт'!F49</f>
        <v>0</v>
      </c>
      <c r="Y42" s="360">
        <f>'[2]ГИПЕР-Пульт'!G49</f>
        <v>0</v>
      </c>
      <c r="Z42" s="360">
        <f>'[2]ГИПЕР-Пульт'!H49</f>
        <v>0</v>
      </c>
      <c r="AA42" s="360">
        <f>'[2]ГИПЕР-Пульт'!I49</f>
        <v>0</v>
      </c>
      <c r="AB42" s="360">
        <f>'[2]ГИПЕР-Пульт'!J49</f>
        <v>0</v>
      </c>
      <c r="AC42" s="360">
        <f>'[2]ГИПЕР-Пульт'!K49</f>
        <v>0</v>
      </c>
      <c r="AD42" s="360">
        <f>'[2]ГИПЕР-Пульт'!L49</f>
        <v>0</v>
      </c>
      <c r="AE42" s="360">
        <f>'[2]ГИПЕР-Пульт'!M49</f>
        <v>0</v>
      </c>
      <c r="AF42" s="360">
        <f>'[2]ГИПЕР-Пульт'!N49</f>
        <v>0</v>
      </c>
      <c r="AG42" s="360">
        <f>'[2]ГИПЕР-Пульт'!O49</f>
        <v>0</v>
      </c>
      <c r="AH42" s="360">
        <f>'[2]ГИПЕР-Пульт'!P49</f>
        <v>0</v>
      </c>
      <c r="AI42" s="360">
        <f>'[2]ГИПЕР-Пульт'!Q49</f>
        <v>0</v>
      </c>
      <c r="AJ42" s="360">
        <f>'[2]ГИПЕР-Пульт'!R49</f>
        <v>0</v>
      </c>
      <c r="AK42" s="360">
        <v>0.1</v>
      </c>
      <c r="AL42" s="360">
        <v>0.1</v>
      </c>
      <c r="AM42" s="303"/>
      <c r="AN42" s="303"/>
      <c r="AO42" s="303"/>
      <c r="AP42" s="303"/>
      <c r="AQ42" s="303"/>
      <c r="AR42" s="303"/>
      <c r="AS42" s="303"/>
      <c r="AT42" s="303"/>
      <c r="AU42" s="303"/>
      <c r="AV42" s="303"/>
      <c r="AW42" s="303"/>
      <c r="AX42" s="303"/>
      <c r="AY42" s="303"/>
      <c r="AZ42" s="303"/>
      <c r="BA42" s="303"/>
      <c r="BB42" s="303"/>
    </row>
    <row r="43" spans="4:54" ht="20.100000000000001" customHeight="1" x14ac:dyDescent="0.25">
      <c r="D43" s="60"/>
      <c r="G43">
        <v>3</v>
      </c>
      <c r="H43" t="s">
        <v>29</v>
      </c>
      <c r="I43">
        <f t="shared" si="14"/>
        <v>1.17</v>
      </c>
      <c r="O43" t="e">
        <f>INDEX([0]!KoefRostZPl,2,L123-8)</f>
        <v>#VALUE!</v>
      </c>
      <c r="T43" s="25">
        <v>3</v>
      </c>
      <c r="U43" s="360">
        <f>'[2]ГИПЕР-Пульт'!C72</f>
        <v>0</v>
      </c>
      <c r="V43" s="360">
        <f>'[2]ГИПЕР-Пульт'!D72</f>
        <v>0</v>
      </c>
      <c r="W43" s="360">
        <f>'[2]ГИПЕР-Пульт'!E72</f>
        <v>0</v>
      </c>
      <c r="X43" s="360">
        <f>'[2]ГИПЕР-Пульт'!F72</f>
        <v>0</v>
      </c>
      <c r="Y43" s="360">
        <f>'[2]ГИПЕР-Пульт'!G72</f>
        <v>0</v>
      </c>
      <c r="Z43" s="360">
        <f>'[2]ГИПЕР-Пульт'!H72</f>
        <v>0</v>
      </c>
      <c r="AA43" s="360">
        <f>'[2]ГИПЕР-Пульт'!I72</f>
        <v>0</v>
      </c>
      <c r="AB43" s="360">
        <f>'[2]ГИПЕР-Пульт'!J72</f>
        <v>0</v>
      </c>
      <c r="AC43" s="360">
        <f>'[2]ГИПЕР-Пульт'!K72</f>
        <v>0</v>
      </c>
      <c r="AD43" s="360">
        <f>'[2]ГИПЕР-Пульт'!L72</f>
        <v>0</v>
      </c>
      <c r="AE43" s="360">
        <f>'[2]ГИПЕР-Пульт'!M72</f>
        <v>0</v>
      </c>
      <c r="AF43" s="360">
        <f>'[2]ГИПЕР-Пульт'!N72</f>
        <v>0</v>
      </c>
      <c r="AG43" s="360">
        <f>'[2]ГИПЕР-Пульт'!O72</f>
        <v>0</v>
      </c>
      <c r="AH43" s="360">
        <f>'[2]ГИПЕР-Пульт'!P72</f>
        <v>0</v>
      </c>
      <c r="AI43" s="360">
        <f>'[2]ГИПЕР-Пульт'!Q72</f>
        <v>0</v>
      </c>
      <c r="AJ43" s="360">
        <f>'[2]ГИПЕР-Пульт'!R72</f>
        <v>0</v>
      </c>
      <c r="AK43" s="360">
        <v>0.12</v>
      </c>
      <c r="AL43" s="360">
        <v>0.12</v>
      </c>
      <c r="AM43" s="303"/>
      <c r="AN43" s="303"/>
      <c r="AO43" s="303"/>
      <c r="AP43" s="303"/>
      <c r="AQ43" s="303"/>
      <c r="AR43" s="303"/>
      <c r="AS43" s="303"/>
      <c r="AT43" s="303"/>
      <c r="AU43" s="303"/>
      <c r="AV43" s="303"/>
      <c r="AW43" s="303"/>
      <c r="AX43" s="303"/>
      <c r="AY43" s="303"/>
      <c r="AZ43" s="303"/>
      <c r="BA43" s="303"/>
      <c r="BB43" s="303"/>
    </row>
    <row r="44" spans="4:54" ht="20.100000000000001" customHeight="1" x14ac:dyDescent="0.25">
      <c r="D44" s="60"/>
      <c r="G44">
        <v>4</v>
      </c>
      <c r="H44" t="s">
        <v>5</v>
      </c>
      <c r="I44">
        <f t="shared" si="14"/>
        <v>1.17</v>
      </c>
      <c r="T44" s="25">
        <v>4</v>
      </c>
      <c r="U44" s="360">
        <f>'[2]ГИПЕР-Пульт'!C90</f>
        <v>0</v>
      </c>
      <c r="V44" s="360">
        <f>'[2]ГИПЕР-Пульт'!D90</f>
        <v>0</v>
      </c>
      <c r="W44" s="360">
        <f>'[2]ГИПЕР-Пульт'!E90</f>
        <v>0</v>
      </c>
      <c r="X44" s="360">
        <f>'[2]ГИПЕР-Пульт'!F90</f>
        <v>0</v>
      </c>
      <c r="Y44" s="360">
        <f>'[2]ГИПЕР-Пульт'!G90</f>
        <v>0</v>
      </c>
      <c r="Z44" s="360">
        <f>'[2]ГИПЕР-Пульт'!H90</f>
        <v>0</v>
      </c>
      <c r="AA44" s="360">
        <f>'[2]ГИПЕР-Пульт'!I90</f>
        <v>0</v>
      </c>
      <c r="AB44" s="360">
        <f>'[2]ГИПЕР-Пульт'!J90</f>
        <v>0</v>
      </c>
      <c r="AC44" s="360">
        <f>'[2]ГИПЕР-Пульт'!K90</f>
        <v>0</v>
      </c>
      <c r="AD44" s="360">
        <f>'[2]ГИПЕР-Пульт'!L90</f>
        <v>0</v>
      </c>
      <c r="AE44" s="360">
        <f>'[2]ГИПЕР-Пульт'!M90</f>
        <v>0</v>
      </c>
      <c r="AF44" s="360">
        <f>'[2]ГИПЕР-Пульт'!N90</f>
        <v>0</v>
      </c>
      <c r="AG44" s="360">
        <f>'[2]ГИПЕР-Пульт'!O90</f>
        <v>0</v>
      </c>
      <c r="AH44" s="360">
        <f>'[2]ГИПЕР-Пульт'!P90</f>
        <v>0</v>
      </c>
      <c r="AI44" s="360">
        <f>'[2]ГИПЕР-Пульт'!Q90</f>
        <v>0</v>
      </c>
      <c r="AJ44" s="360">
        <f>'[2]ГИПЕР-Пульт'!R90</f>
        <v>0</v>
      </c>
      <c r="AK44" s="360">
        <v>0.13</v>
      </c>
      <c r="AL44" s="360">
        <v>0.13</v>
      </c>
      <c r="AM44" s="303"/>
      <c r="AN44" s="303"/>
      <c r="AO44" s="303"/>
      <c r="AP44" s="303"/>
      <c r="AQ44" s="303"/>
      <c r="AR44" s="303"/>
      <c r="AS44" s="303"/>
      <c r="AT44" s="303"/>
      <c r="AU44" s="303"/>
      <c r="AV44" s="303"/>
      <c r="AW44" s="303"/>
      <c r="AX44" s="303"/>
      <c r="AY44" s="303"/>
      <c r="AZ44" s="303"/>
      <c r="BA44" s="303"/>
      <c r="BB44" s="303"/>
    </row>
    <row r="45" spans="4:54" ht="20.100000000000001" customHeight="1" x14ac:dyDescent="0.25">
      <c r="D45" s="60"/>
      <c r="G45">
        <v>5</v>
      </c>
      <c r="H45" t="s">
        <v>6</v>
      </c>
      <c r="I45">
        <f t="shared" si="14"/>
        <v>1.17</v>
      </c>
      <c r="T45" s="25">
        <v>5</v>
      </c>
      <c r="U45" s="360">
        <f>'[2]ГИПЕР-Пульт'!C109</f>
        <v>0</v>
      </c>
      <c r="V45" s="360">
        <f>'[2]ГИПЕР-Пульт'!D109</f>
        <v>0</v>
      </c>
      <c r="W45" s="360">
        <f>'[2]ГИПЕР-Пульт'!E109</f>
        <v>0</v>
      </c>
      <c r="X45" s="360">
        <f>'[2]ГИПЕР-Пульт'!F109</f>
        <v>0</v>
      </c>
      <c r="Y45" s="360">
        <f>'[2]ГИПЕР-Пульт'!G109</f>
        <v>0</v>
      </c>
      <c r="Z45" s="360">
        <f>'[2]ГИПЕР-Пульт'!H109</f>
        <v>0</v>
      </c>
      <c r="AA45" s="360">
        <f>'[2]ГИПЕР-Пульт'!I109</f>
        <v>0</v>
      </c>
      <c r="AB45" s="360">
        <f>'[2]ГИПЕР-Пульт'!J109</f>
        <v>0</v>
      </c>
      <c r="AC45" s="360">
        <f>'[2]ГИПЕР-Пульт'!K109</f>
        <v>0</v>
      </c>
      <c r="AD45" s="360">
        <f>'[2]ГИПЕР-Пульт'!L109</f>
        <v>0</v>
      </c>
      <c r="AE45" s="360">
        <f>'[2]ГИПЕР-Пульт'!M109</f>
        <v>0</v>
      </c>
      <c r="AF45" s="360">
        <f>'[2]ГИПЕР-Пульт'!N109</f>
        <v>0</v>
      </c>
      <c r="AG45" s="360">
        <f>'[2]ГИПЕР-Пульт'!O109</f>
        <v>0</v>
      </c>
      <c r="AH45" s="360">
        <f>'[2]ГИПЕР-Пульт'!P109</f>
        <v>0</v>
      </c>
      <c r="AI45" s="360">
        <f>'[2]ГИПЕР-Пульт'!Q109</f>
        <v>0</v>
      </c>
      <c r="AJ45" s="360">
        <f>'[2]ГИПЕР-Пульт'!R109</f>
        <v>0</v>
      </c>
      <c r="AK45" s="360">
        <v>0.14000000000000001</v>
      </c>
      <c r="AL45" s="360">
        <v>0.14000000000000001</v>
      </c>
      <c r="AM45" s="303"/>
      <c r="AN45" s="303"/>
      <c r="AO45" s="303"/>
      <c r="AP45" s="303"/>
      <c r="AQ45" s="303"/>
      <c r="AR45" s="303"/>
      <c r="AS45" s="303"/>
      <c r="AT45" s="303"/>
      <c r="AU45" s="303"/>
      <c r="AV45" s="303"/>
      <c r="AW45" s="303"/>
      <c r="AX45" s="303"/>
      <c r="AY45" s="303"/>
      <c r="AZ45" s="303"/>
      <c r="BA45" s="303"/>
      <c r="BB45" s="303"/>
    </row>
    <row r="46" spans="4:54" ht="20.100000000000001" customHeight="1" x14ac:dyDescent="0.25">
      <c r="D46" s="60"/>
      <c r="G46">
        <v>6</v>
      </c>
      <c r="H46" t="s">
        <v>1</v>
      </c>
      <c r="I46">
        <f t="shared" si="14"/>
        <v>1.17</v>
      </c>
      <c r="T46" s="25">
        <v>6</v>
      </c>
      <c r="U46" s="360">
        <f>'[2]ГИПЕР-Пульт'!C127</f>
        <v>0</v>
      </c>
      <c r="V46" s="360">
        <f>'[2]ГИПЕР-Пульт'!D127</f>
        <v>0</v>
      </c>
      <c r="W46" s="360">
        <f>'[2]ГИПЕР-Пульт'!E127</f>
        <v>0</v>
      </c>
      <c r="X46" s="360">
        <f>'[2]ГИПЕР-Пульт'!F127</f>
        <v>0</v>
      </c>
      <c r="Y46" s="360">
        <f>'[2]ГИПЕР-Пульт'!G127</f>
        <v>0</v>
      </c>
      <c r="Z46" s="360">
        <f>'[2]ГИПЕР-Пульт'!H127</f>
        <v>0</v>
      </c>
      <c r="AA46" s="360">
        <f>'[2]ГИПЕР-Пульт'!I127</f>
        <v>0</v>
      </c>
      <c r="AB46" s="360">
        <f>'[2]ГИПЕР-Пульт'!J127</f>
        <v>0</v>
      </c>
      <c r="AC46" s="360">
        <f>'[2]ГИПЕР-Пульт'!K127</f>
        <v>0</v>
      </c>
      <c r="AD46" s="360">
        <f>'[2]ГИПЕР-Пульт'!L127</f>
        <v>0</v>
      </c>
      <c r="AE46" s="360">
        <f>'[2]ГИПЕР-Пульт'!M127</f>
        <v>0</v>
      </c>
      <c r="AF46" s="360">
        <f>'[2]ГИПЕР-Пульт'!N127</f>
        <v>0</v>
      </c>
      <c r="AG46" s="360">
        <f>'[2]ГИПЕР-Пульт'!O127</f>
        <v>0</v>
      </c>
      <c r="AH46" s="360">
        <f>'[2]ГИПЕР-Пульт'!P127</f>
        <v>0</v>
      </c>
      <c r="AI46" s="360">
        <f>'[2]ГИПЕР-Пульт'!Q127</f>
        <v>0</v>
      </c>
      <c r="AJ46" s="360">
        <f>'[2]ГИПЕР-Пульт'!R127</f>
        <v>0</v>
      </c>
      <c r="AK46" s="360">
        <v>0.15</v>
      </c>
      <c r="AL46" s="360">
        <v>0.15</v>
      </c>
      <c r="AM46" s="303"/>
      <c r="AN46" s="303"/>
      <c r="AO46" s="303"/>
      <c r="AP46" s="303"/>
      <c r="AQ46" s="303"/>
      <c r="AR46" s="303"/>
      <c r="AS46" s="303"/>
      <c r="AT46" s="303"/>
      <c r="AU46" s="303"/>
      <c r="AV46" s="303"/>
      <c r="AW46" s="303"/>
      <c r="AX46" s="303"/>
      <c r="AY46" s="303"/>
      <c r="AZ46" s="303"/>
      <c r="BA46" s="303"/>
      <c r="BB46" s="303"/>
    </row>
    <row r="47" spans="4:54" ht="20.100000000000001" customHeight="1" x14ac:dyDescent="0.25">
      <c r="D47" s="60"/>
      <c r="G47">
        <v>7</v>
      </c>
      <c r="H47" t="s">
        <v>2</v>
      </c>
      <c r="I47">
        <f t="shared" si="14"/>
        <v>1.17</v>
      </c>
      <c r="T47" s="25">
        <v>7</v>
      </c>
      <c r="U47" s="360">
        <f>'[2]ГИПЕР-Пульт'!C147</f>
        <v>0</v>
      </c>
      <c r="V47" s="360">
        <f>'[2]ГИПЕР-Пульт'!D147</f>
        <v>0</v>
      </c>
      <c r="W47" s="360">
        <f>'[2]ГИПЕР-Пульт'!E147</f>
        <v>0</v>
      </c>
      <c r="X47" s="360">
        <f>'[2]ГИПЕР-Пульт'!F147</f>
        <v>0</v>
      </c>
      <c r="Y47" s="360">
        <f>'[2]ГИПЕР-Пульт'!G147</f>
        <v>0</v>
      </c>
      <c r="Z47" s="360">
        <f>'[2]ГИПЕР-Пульт'!H147</f>
        <v>0</v>
      </c>
      <c r="AA47" s="360">
        <f>'[2]ГИПЕР-Пульт'!I147</f>
        <v>0</v>
      </c>
      <c r="AB47" s="360">
        <f>'[2]ГИПЕР-Пульт'!J147</f>
        <v>0</v>
      </c>
      <c r="AC47" s="360">
        <f>'[2]ГИПЕР-Пульт'!K147</f>
        <v>0</v>
      </c>
      <c r="AD47" s="360">
        <f>'[2]ГИПЕР-Пульт'!L147</f>
        <v>0</v>
      </c>
      <c r="AE47" s="360">
        <f>'[2]ГИПЕР-Пульт'!M147</f>
        <v>0</v>
      </c>
      <c r="AF47" s="360">
        <f>'[2]ГИПЕР-Пульт'!N147</f>
        <v>0</v>
      </c>
      <c r="AG47" s="360">
        <f>'[2]ГИПЕР-Пульт'!O147</f>
        <v>0</v>
      </c>
      <c r="AH47" s="360">
        <f>'[2]ГИПЕР-Пульт'!P147</f>
        <v>0</v>
      </c>
      <c r="AI47" s="360">
        <f>'[2]ГИПЕР-Пульт'!Q147</f>
        <v>0</v>
      </c>
      <c r="AJ47" s="360">
        <f>'[2]ГИПЕР-Пульт'!R147</f>
        <v>0</v>
      </c>
      <c r="AK47" s="360">
        <v>0.16</v>
      </c>
      <c r="AL47" s="360">
        <v>0.16</v>
      </c>
      <c r="AM47" s="303"/>
      <c r="AN47" s="303"/>
      <c r="AO47" s="303"/>
      <c r="AP47" s="303"/>
      <c r="AQ47" s="303"/>
      <c r="AR47" s="303"/>
      <c r="AS47" s="303"/>
      <c r="AT47" s="303"/>
      <c r="AU47" s="303"/>
      <c r="AV47" s="303"/>
      <c r="AW47" s="303"/>
      <c r="AX47" s="303"/>
      <c r="AY47" s="303"/>
      <c r="AZ47" s="303"/>
      <c r="BA47" s="303"/>
      <c r="BB47" s="303"/>
    </row>
    <row r="48" spans="4:54" ht="20.100000000000001" customHeight="1" x14ac:dyDescent="0.25">
      <c r="D48" s="60"/>
      <c r="W48" s="330"/>
      <c r="AC48" s="351"/>
      <c r="AD48" s="228"/>
      <c r="AE48" s="228"/>
      <c r="AF48" s="228"/>
      <c r="AG48" s="228"/>
      <c r="AH48" s="228"/>
      <c r="AI48" s="228"/>
      <c r="AJ48" s="228"/>
      <c r="AK48" s="228"/>
      <c r="AL48" s="303"/>
      <c r="AM48" s="303"/>
      <c r="AN48" s="303"/>
      <c r="AO48" s="303"/>
      <c r="AP48" s="303"/>
      <c r="AQ48" s="303"/>
      <c r="AR48" s="303"/>
      <c r="AS48" s="303"/>
      <c r="AT48" s="303"/>
      <c r="AU48" s="303"/>
      <c r="AV48" s="303"/>
      <c r="AW48" s="303"/>
      <c r="AX48" s="303"/>
      <c r="AY48" s="303"/>
      <c r="AZ48" s="303"/>
      <c r="BA48" s="303"/>
      <c r="BB48" s="303"/>
    </row>
    <row r="49" spans="2:55" ht="20.100000000000001" customHeight="1" x14ac:dyDescent="0.25">
      <c r="D49" s="60"/>
      <c r="W49" s="330"/>
      <c r="AC49" s="351"/>
      <c r="AD49" s="228"/>
      <c r="AE49" s="228"/>
      <c r="AF49" s="228"/>
      <c r="AG49" s="228"/>
      <c r="AH49" s="228"/>
      <c r="AI49" s="228"/>
      <c r="AJ49" s="228"/>
      <c r="AK49" s="228"/>
      <c r="AL49" s="303"/>
      <c r="AM49" s="303"/>
      <c r="AN49" s="303"/>
      <c r="AO49" s="303"/>
      <c r="AP49" s="303"/>
      <c r="AQ49" s="303"/>
      <c r="AR49" s="303"/>
      <c r="AS49" s="303"/>
      <c r="AT49" s="303"/>
      <c r="AU49" s="303"/>
      <c r="AV49" s="303"/>
      <c r="AW49" s="303"/>
      <c r="AX49" s="303"/>
      <c r="AY49" s="303"/>
      <c r="AZ49" s="303"/>
      <c r="BA49" s="303"/>
      <c r="BB49" s="303"/>
    </row>
    <row r="50" spans="2:55" ht="27.75" customHeight="1" x14ac:dyDescent="0.25">
      <c r="F50" s="319" t="s">
        <v>171</v>
      </c>
      <c r="T50" s="136"/>
      <c r="U50" s="142"/>
      <c r="V50" s="3"/>
      <c r="W50" s="3"/>
      <c r="X50" s="146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S50" s="224"/>
      <c r="AT50" s="224"/>
      <c r="AU50" s="224"/>
      <c r="AV50" s="224"/>
      <c r="AW50" s="224"/>
      <c r="AX50" s="224"/>
      <c r="AY50" s="224"/>
      <c r="AZ50" s="224"/>
    </row>
    <row r="51" spans="2:55" ht="16.5" thickBot="1" x14ac:dyDescent="0.3">
      <c r="E51" t="s">
        <v>169</v>
      </c>
      <c r="F51" s="175">
        <f>J2</f>
        <v>2017</v>
      </c>
      <c r="T51" s="65"/>
      <c r="U51" s="142"/>
      <c r="V51" s="3"/>
      <c r="W51" s="3"/>
      <c r="Z51">
        <v>1</v>
      </c>
      <c r="AA51">
        <v>2</v>
      </c>
      <c r="AB51">
        <v>3</v>
      </c>
      <c r="AC51">
        <v>4</v>
      </c>
      <c r="AD51">
        <v>5</v>
      </c>
      <c r="AE51">
        <v>6</v>
      </c>
      <c r="AF51">
        <v>7</v>
      </c>
      <c r="AG51">
        <v>8</v>
      </c>
      <c r="AH51">
        <v>9</v>
      </c>
      <c r="AI51">
        <v>10</v>
      </c>
      <c r="AJ51">
        <v>11</v>
      </c>
      <c r="AK51">
        <v>12</v>
      </c>
      <c r="AL51">
        <v>13</v>
      </c>
      <c r="AM51">
        <v>14</v>
      </c>
      <c r="AN51">
        <v>15</v>
      </c>
      <c r="AO51">
        <v>16</v>
      </c>
      <c r="AP51">
        <v>17</v>
      </c>
      <c r="AQ51">
        <v>18</v>
      </c>
      <c r="AR51">
        <v>19</v>
      </c>
      <c r="AS51">
        <v>20</v>
      </c>
      <c r="AT51">
        <v>21</v>
      </c>
      <c r="AU51">
        <v>22</v>
      </c>
      <c r="AV51">
        <v>23</v>
      </c>
      <c r="AW51">
        <v>24</v>
      </c>
      <c r="AX51">
        <v>25</v>
      </c>
      <c r="AY51">
        <v>26</v>
      </c>
      <c r="AZ51">
        <v>27</v>
      </c>
      <c r="BA51">
        <v>28</v>
      </c>
      <c r="BB51">
        <v>29</v>
      </c>
      <c r="BC51">
        <v>30</v>
      </c>
    </row>
    <row r="52" spans="2:55" ht="62.25" customHeight="1" thickBot="1" x14ac:dyDescent="0.3">
      <c r="F52" s="317" t="s">
        <v>89</v>
      </c>
      <c r="G52" s="317" t="s">
        <v>105</v>
      </c>
      <c r="H52" s="317" t="s">
        <v>165</v>
      </c>
      <c r="I52" s="317" t="s">
        <v>175</v>
      </c>
      <c r="T52" s="65" t="s">
        <v>165</v>
      </c>
      <c r="U52" s="142"/>
      <c r="V52" s="3"/>
      <c r="W52" s="3"/>
      <c r="Y52">
        <v>1</v>
      </c>
      <c r="Z52" s="366">
        <v>0.75</v>
      </c>
      <c r="AA52" s="211">
        <v>0.86499999999999999</v>
      </c>
      <c r="AB52" s="211">
        <v>0.4</v>
      </c>
      <c r="AC52" s="211">
        <v>0.5</v>
      </c>
      <c r="AD52" s="367">
        <v>0.5</v>
      </c>
      <c r="AE52" s="211">
        <v>0</v>
      </c>
      <c r="AF52" s="211">
        <v>1</v>
      </c>
      <c r="AG52" s="212">
        <v>0.95</v>
      </c>
      <c r="AH52" s="151">
        <v>0.7</v>
      </c>
      <c r="AI52" s="151">
        <v>0.7</v>
      </c>
      <c r="AJ52" s="151">
        <v>0.7</v>
      </c>
      <c r="AK52" s="151">
        <v>0.7</v>
      </c>
      <c r="AL52" s="151">
        <v>0.7</v>
      </c>
      <c r="AM52" s="151">
        <v>0.7</v>
      </c>
      <c r="AN52" s="151">
        <v>0.7</v>
      </c>
      <c r="AO52" s="151">
        <v>0.7</v>
      </c>
      <c r="AP52" s="151">
        <v>0.7</v>
      </c>
      <c r="AQ52" s="151">
        <v>0.7</v>
      </c>
      <c r="AR52" s="151">
        <v>0.7</v>
      </c>
      <c r="AS52" s="151">
        <v>0.7</v>
      </c>
      <c r="AT52" s="151">
        <v>0.7</v>
      </c>
      <c r="AU52" s="151">
        <v>0.7</v>
      </c>
      <c r="AV52" s="151">
        <v>0.7</v>
      </c>
      <c r="AW52" s="151">
        <v>0.7</v>
      </c>
      <c r="AX52" s="151">
        <v>0.7</v>
      </c>
      <c r="AY52" s="151">
        <v>0.7</v>
      </c>
      <c r="AZ52" s="151">
        <v>0.7</v>
      </c>
      <c r="BA52" s="151">
        <v>0.7</v>
      </c>
      <c r="BB52" s="151">
        <v>0.7</v>
      </c>
      <c r="BC52" s="151">
        <v>0.7</v>
      </c>
    </row>
    <row r="53" spans="2:55" ht="16.5" thickBot="1" x14ac:dyDescent="0.3">
      <c r="F53" s="318">
        <f>INDEX(Doli_Prop_1,1,$I$2)</f>
        <v>0.8</v>
      </c>
      <c r="G53" s="318">
        <f>INDEX(Doli_Prior,1,$I$2)</f>
        <v>0.7</v>
      </c>
      <c r="H53" s="318">
        <f t="shared" ref="H53:H59" si="15">INDEX(Doli_Prop_st,$I53,$I$2)</f>
        <v>0.7</v>
      </c>
      <c r="I53">
        <v>1</v>
      </c>
      <c r="U53" s="142"/>
      <c r="V53" s="3"/>
      <c r="W53" s="203" t="s">
        <v>174</v>
      </c>
      <c r="Y53">
        <v>2</v>
      </c>
      <c r="Z53" s="213">
        <v>0.33</v>
      </c>
      <c r="AA53" s="214">
        <v>0.5</v>
      </c>
      <c r="AB53" s="214">
        <v>1</v>
      </c>
      <c r="AC53" s="214">
        <v>0.5</v>
      </c>
      <c r="AD53" s="214">
        <v>1</v>
      </c>
      <c r="AE53" s="214">
        <v>1</v>
      </c>
      <c r="AF53" s="214">
        <v>0.5</v>
      </c>
      <c r="AG53" s="215">
        <v>0.5</v>
      </c>
      <c r="AH53" s="151">
        <v>0.7</v>
      </c>
      <c r="AI53" s="151">
        <v>0.7</v>
      </c>
      <c r="AJ53" s="151">
        <v>0.7</v>
      </c>
      <c r="AK53" s="151">
        <v>0.7</v>
      </c>
      <c r="AL53" s="151">
        <v>0.7</v>
      </c>
      <c r="AM53" s="151">
        <v>0.7</v>
      </c>
      <c r="AN53" s="151">
        <v>0.7</v>
      </c>
      <c r="AO53" s="151">
        <v>0.7</v>
      </c>
      <c r="AP53" s="151">
        <v>0.7</v>
      </c>
      <c r="AQ53" s="151">
        <v>0.7</v>
      </c>
      <c r="AR53" s="151">
        <v>0.7</v>
      </c>
      <c r="AS53" s="151">
        <v>0.7</v>
      </c>
      <c r="AT53" s="151">
        <v>0.7</v>
      </c>
      <c r="AU53" s="151">
        <v>0.7</v>
      </c>
      <c r="AV53" s="151">
        <v>0.7</v>
      </c>
      <c r="AW53" s="151">
        <v>0.7</v>
      </c>
      <c r="AX53" s="151">
        <v>0.7</v>
      </c>
      <c r="AY53" s="151">
        <v>0.7</v>
      </c>
      <c r="AZ53" s="151">
        <v>0.7</v>
      </c>
      <c r="BA53" s="151">
        <v>0.7</v>
      </c>
      <c r="BB53" s="151">
        <v>0.7</v>
      </c>
      <c r="BC53" s="151">
        <v>0.7</v>
      </c>
    </row>
    <row r="54" spans="2:55" ht="16.5" thickBot="1" x14ac:dyDescent="0.3">
      <c r="H54" s="318">
        <f t="shared" si="15"/>
        <v>0.7</v>
      </c>
      <c r="I54">
        <v>2</v>
      </c>
      <c r="T54" s="65"/>
      <c r="U54" s="142"/>
      <c r="V54" s="3"/>
      <c r="W54" s="3"/>
      <c r="Y54">
        <v>3</v>
      </c>
      <c r="Z54" s="213">
        <v>0.5</v>
      </c>
      <c r="AA54" s="214">
        <v>0.5</v>
      </c>
      <c r="AB54" s="214">
        <v>1</v>
      </c>
      <c r="AC54" s="214">
        <v>0.5</v>
      </c>
      <c r="AD54" s="214">
        <v>1</v>
      </c>
      <c r="AE54" s="214">
        <v>1</v>
      </c>
      <c r="AF54" s="214">
        <v>1</v>
      </c>
      <c r="AG54" s="215">
        <v>0.77</v>
      </c>
      <c r="AH54" s="151">
        <v>0.75</v>
      </c>
      <c r="AI54" s="151">
        <v>0.75</v>
      </c>
      <c r="AJ54" s="151">
        <v>0.75</v>
      </c>
      <c r="AK54" s="151">
        <v>0.75</v>
      </c>
      <c r="AL54" s="151">
        <v>0.75</v>
      </c>
      <c r="AM54" s="151">
        <v>0.75</v>
      </c>
      <c r="AN54" s="151">
        <v>0.75</v>
      </c>
      <c r="AO54" s="151">
        <v>0.75</v>
      </c>
      <c r="AP54" s="151">
        <v>0.75</v>
      </c>
      <c r="AQ54" s="151">
        <v>0.75</v>
      </c>
      <c r="AR54" s="151">
        <v>0.75</v>
      </c>
      <c r="AS54" s="151">
        <v>0.75</v>
      </c>
      <c r="AT54" s="151">
        <v>0.75</v>
      </c>
      <c r="AU54" s="151">
        <v>0.75</v>
      </c>
      <c r="AV54" s="151">
        <v>0.75</v>
      </c>
      <c r="AW54" s="151">
        <v>0.75</v>
      </c>
      <c r="AX54" s="151">
        <v>0.75</v>
      </c>
      <c r="AY54" s="151">
        <v>0.75</v>
      </c>
      <c r="AZ54" s="151">
        <v>0.75</v>
      </c>
      <c r="BA54" s="151">
        <v>0.75</v>
      </c>
      <c r="BB54" s="151">
        <v>0.75</v>
      </c>
      <c r="BC54" s="151">
        <v>0.75</v>
      </c>
    </row>
    <row r="55" spans="2:55" ht="16.5" thickBot="1" x14ac:dyDescent="0.3">
      <c r="H55" s="318">
        <f t="shared" si="15"/>
        <v>0.7</v>
      </c>
      <c r="I55">
        <v>2</v>
      </c>
      <c r="T55" s="65"/>
      <c r="U55" s="142"/>
      <c r="V55" s="3"/>
      <c r="W55" s="3"/>
      <c r="Y55">
        <v>4</v>
      </c>
      <c r="Z55" s="213">
        <v>1</v>
      </c>
      <c r="AA55" s="214">
        <v>0.55000000000000004</v>
      </c>
      <c r="AB55" s="214">
        <v>0.5</v>
      </c>
      <c r="AC55" s="214">
        <v>1</v>
      </c>
      <c r="AD55" s="214">
        <v>0.6</v>
      </c>
      <c r="AE55" s="214">
        <v>0.7</v>
      </c>
      <c r="AF55" s="214">
        <v>0.5</v>
      </c>
      <c r="AG55" s="215">
        <v>0.5</v>
      </c>
      <c r="AH55" s="151">
        <v>0.65</v>
      </c>
      <c r="AI55" s="151">
        <v>0.65</v>
      </c>
      <c r="AJ55" s="151">
        <v>0.65</v>
      </c>
      <c r="AK55" s="151">
        <v>0.65</v>
      </c>
      <c r="AL55" s="151">
        <v>0.65</v>
      </c>
      <c r="AM55" s="151">
        <v>0.65</v>
      </c>
      <c r="AN55" s="151">
        <v>0.65</v>
      </c>
      <c r="AO55" s="151">
        <v>0.65</v>
      </c>
      <c r="AP55" s="151">
        <v>0.65</v>
      </c>
      <c r="AQ55" s="151">
        <v>0.65</v>
      </c>
      <c r="AR55" s="151">
        <v>0.65</v>
      </c>
      <c r="AS55" s="151">
        <v>0.65</v>
      </c>
      <c r="AT55" s="151">
        <v>0.65</v>
      </c>
      <c r="AU55" s="151">
        <v>0.65</v>
      </c>
      <c r="AV55" s="151">
        <v>0.65</v>
      </c>
      <c r="AW55" s="151">
        <v>0.65</v>
      </c>
      <c r="AX55" s="151">
        <v>0.65</v>
      </c>
      <c r="AY55" s="151">
        <v>0.65</v>
      </c>
      <c r="AZ55" s="151">
        <v>0.65</v>
      </c>
      <c r="BA55" s="151">
        <v>0.65</v>
      </c>
      <c r="BB55" s="151">
        <v>0.65</v>
      </c>
      <c r="BC55" s="151">
        <v>0.65</v>
      </c>
    </row>
    <row r="56" spans="2:55" ht="16.5" thickBot="1" x14ac:dyDescent="0.3">
      <c r="H56" s="318">
        <f t="shared" si="15"/>
        <v>0.7</v>
      </c>
      <c r="I56">
        <v>2</v>
      </c>
      <c r="T56" s="65"/>
      <c r="U56" s="142"/>
      <c r="V56" s="3"/>
      <c r="W56" s="3"/>
      <c r="Y56">
        <v>5</v>
      </c>
      <c r="Z56" s="213">
        <v>0.5</v>
      </c>
      <c r="AA56" s="214">
        <v>0.5</v>
      </c>
      <c r="AB56" s="214">
        <v>0.5</v>
      </c>
      <c r="AC56" s="214">
        <v>0.5</v>
      </c>
      <c r="AD56" s="214">
        <v>0.5</v>
      </c>
      <c r="AE56" s="214">
        <v>1</v>
      </c>
      <c r="AF56" s="214">
        <v>1</v>
      </c>
      <c r="AG56" s="215">
        <v>0.43</v>
      </c>
      <c r="AH56" s="151">
        <v>0.65</v>
      </c>
      <c r="AI56" s="151">
        <v>0.65</v>
      </c>
      <c r="AJ56" s="151">
        <v>0.65</v>
      </c>
      <c r="AK56" s="151">
        <v>0.65</v>
      </c>
      <c r="AL56" s="151">
        <v>0.65</v>
      </c>
      <c r="AM56" s="151">
        <v>0.65</v>
      </c>
      <c r="AN56" s="151">
        <v>0.65</v>
      </c>
      <c r="AO56" s="151">
        <v>0.65</v>
      </c>
      <c r="AP56" s="151">
        <v>0.65</v>
      </c>
      <c r="AQ56" s="151">
        <v>0.65</v>
      </c>
      <c r="AR56" s="151">
        <v>0.65</v>
      </c>
      <c r="AS56" s="151">
        <v>0.65</v>
      </c>
      <c r="AT56" s="151">
        <v>0.65</v>
      </c>
      <c r="AU56" s="151">
        <v>0.65</v>
      </c>
      <c r="AV56" s="151">
        <v>0.65</v>
      </c>
      <c r="AW56" s="151">
        <v>0.65</v>
      </c>
      <c r="AX56" s="151">
        <v>0.65</v>
      </c>
      <c r="AY56" s="151">
        <v>0.65</v>
      </c>
      <c r="AZ56" s="151">
        <v>0.65</v>
      </c>
      <c r="BA56" s="151">
        <v>0.65</v>
      </c>
      <c r="BB56" s="151">
        <v>0.65</v>
      </c>
      <c r="BC56" s="151">
        <v>0.65</v>
      </c>
    </row>
    <row r="57" spans="2:55" ht="16.5" thickBot="1" x14ac:dyDescent="0.3">
      <c r="H57" s="318">
        <f t="shared" si="15"/>
        <v>0.7</v>
      </c>
      <c r="I57">
        <v>2</v>
      </c>
      <c r="T57" s="65"/>
      <c r="U57" s="142"/>
      <c r="V57" s="3"/>
      <c r="W57" s="3"/>
      <c r="Y57">
        <v>6</v>
      </c>
      <c r="Z57" s="213">
        <v>0.5</v>
      </c>
      <c r="AA57" s="214">
        <v>0.5</v>
      </c>
      <c r="AB57" s="214">
        <v>0.5</v>
      </c>
      <c r="AC57" s="214">
        <v>0.5</v>
      </c>
      <c r="AD57" s="214">
        <v>0.5</v>
      </c>
      <c r="AE57" s="214">
        <v>0.5</v>
      </c>
      <c r="AF57" s="214">
        <v>0.5</v>
      </c>
      <c r="AG57" s="215">
        <v>0.5</v>
      </c>
      <c r="AH57" s="151">
        <v>0.5</v>
      </c>
      <c r="AI57" s="151">
        <v>0.5</v>
      </c>
      <c r="AJ57" s="151">
        <v>0.5</v>
      </c>
      <c r="AK57" s="151">
        <v>0.5</v>
      </c>
      <c r="AL57" s="151">
        <v>0.5</v>
      </c>
      <c r="AM57" s="151">
        <v>0.5</v>
      </c>
      <c r="AN57" s="151">
        <v>0.5</v>
      </c>
      <c r="AO57" s="151">
        <v>0.5</v>
      </c>
      <c r="AP57" s="151">
        <v>0.5</v>
      </c>
      <c r="AQ57" s="151">
        <v>0.5</v>
      </c>
      <c r="AR57" s="151">
        <v>0.5</v>
      </c>
      <c r="AS57" s="151">
        <v>0.5</v>
      </c>
      <c r="AT57" s="151">
        <v>0.5</v>
      </c>
      <c r="AU57" s="151">
        <v>0.5</v>
      </c>
      <c r="AV57" s="151">
        <v>0.5</v>
      </c>
      <c r="AW57" s="151">
        <v>0.5</v>
      </c>
      <c r="AX57" s="151">
        <v>0.5</v>
      </c>
      <c r="AY57" s="151">
        <v>0.5</v>
      </c>
      <c r="AZ57" s="151">
        <v>0.5</v>
      </c>
      <c r="BA57" s="151">
        <v>0.5</v>
      </c>
      <c r="BB57" s="151">
        <v>0.5</v>
      </c>
      <c r="BC57" s="151">
        <v>0.5</v>
      </c>
    </row>
    <row r="58" spans="2:55" ht="16.5" thickBot="1" x14ac:dyDescent="0.3">
      <c r="H58" s="318">
        <f t="shared" si="15"/>
        <v>0.7</v>
      </c>
      <c r="I58">
        <v>2</v>
      </c>
      <c r="T58" s="65"/>
      <c r="U58" s="142"/>
      <c r="V58" s="3"/>
      <c r="W58" s="3"/>
      <c r="Y58">
        <v>7</v>
      </c>
      <c r="Z58" s="216">
        <v>0.5</v>
      </c>
      <c r="AA58" s="217">
        <v>0.8</v>
      </c>
      <c r="AB58" s="217">
        <v>0.5</v>
      </c>
      <c r="AC58" s="217">
        <v>0.5</v>
      </c>
      <c r="AD58" s="217">
        <v>0.5</v>
      </c>
      <c r="AE58" s="217">
        <v>0.5</v>
      </c>
      <c r="AF58" s="217">
        <v>0.5</v>
      </c>
      <c r="AG58" s="218">
        <v>0.5</v>
      </c>
      <c r="AH58" s="151">
        <v>0.5</v>
      </c>
      <c r="AI58" s="151">
        <v>0.5</v>
      </c>
      <c r="AJ58" s="151">
        <v>0.5</v>
      </c>
      <c r="AK58" s="151">
        <v>0.5</v>
      </c>
      <c r="AL58" s="151">
        <v>0.5</v>
      </c>
      <c r="AM58" s="151">
        <v>0.5</v>
      </c>
      <c r="AN58" s="151">
        <v>0.5</v>
      </c>
      <c r="AO58" s="151">
        <v>0.5</v>
      </c>
      <c r="AP58" s="151">
        <v>0.5</v>
      </c>
      <c r="AQ58" s="151">
        <v>0.5</v>
      </c>
      <c r="AR58" s="151">
        <v>0.5</v>
      </c>
      <c r="AS58" s="151">
        <v>0.5</v>
      </c>
      <c r="AT58" s="151">
        <v>0.5</v>
      </c>
      <c r="AU58" s="151">
        <v>0.5</v>
      </c>
      <c r="AV58" s="151">
        <v>0.5</v>
      </c>
      <c r="AW58" s="151">
        <v>0.5</v>
      </c>
      <c r="AX58" s="151">
        <v>0.5</v>
      </c>
      <c r="AY58" s="151">
        <v>0.5</v>
      </c>
      <c r="AZ58" s="151">
        <v>0.5</v>
      </c>
      <c r="BA58" s="151">
        <v>0.5</v>
      </c>
      <c r="BB58" s="151">
        <v>0.5</v>
      </c>
      <c r="BC58" s="151">
        <v>0.5</v>
      </c>
    </row>
    <row r="59" spans="2:55" ht="16.5" thickBot="1" x14ac:dyDescent="0.3">
      <c r="H59" s="318">
        <f t="shared" si="15"/>
        <v>0.7</v>
      </c>
      <c r="I59">
        <v>2</v>
      </c>
      <c r="T59" s="65"/>
      <c r="U59" s="142"/>
      <c r="V59" s="3"/>
      <c r="W59" s="3"/>
    </row>
    <row r="60" spans="2:55" ht="20.100000000000001" customHeight="1" x14ac:dyDescent="0.25">
      <c r="D60" s="60"/>
      <c r="W60" s="330"/>
      <c r="AC60" s="331"/>
      <c r="AD60" s="228"/>
      <c r="AE60" s="228"/>
      <c r="AF60" s="228"/>
      <c r="AG60" s="228"/>
      <c r="AH60" s="228"/>
      <c r="AI60" s="228"/>
      <c r="AJ60" s="228"/>
      <c r="AK60" s="228"/>
      <c r="AL60" s="302"/>
      <c r="AM60" s="303"/>
      <c r="AN60" s="303"/>
      <c r="AO60" s="303"/>
      <c r="AP60" s="303"/>
      <c r="AQ60" s="303"/>
      <c r="AR60" s="303"/>
      <c r="AS60" s="303"/>
      <c r="AT60" s="303"/>
      <c r="AU60" s="303"/>
      <c r="AV60" s="303"/>
      <c r="AW60" s="303"/>
      <c r="AX60" s="303"/>
      <c r="AY60" s="303"/>
      <c r="AZ60" s="303"/>
      <c r="BA60" s="303"/>
      <c r="BB60" s="303"/>
    </row>
    <row r="61" spans="2:55" s="333" customFormat="1" ht="20.100000000000001" customHeight="1" x14ac:dyDescent="0.25">
      <c r="B61" s="334" t="s">
        <v>192</v>
      </c>
      <c r="D61" s="335"/>
      <c r="W61" s="336"/>
      <c r="AC61" s="337"/>
      <c r="AD61" s="338"/>
      <c r="AE61" s="338"/>
      <c r="AF61" s="338"/>
      <c r="AG61" s="338"/>
      <c r="AH61" s="338"/>
      <c r="AI61" s="338"/>
      <c r="AJ61" s="338"/>
      <c r="AK61" s="338"/>
      <c r="AL61" s="339"/>
      <c r="AM61" s="339"/>
      <c r="AN61" s="339"/>
      <c r="AO61" s="339"/>
      <c r="AP61" s="339"/>
      <c r="AQ61" s="339"/>
      <c r="AR61" s="339"/>
      <c r="AS61" s="339"/>
      <c r="AT61" s="339"/>
      <c r="AU61" s="339"/>
      <c r="AV61" s="339"/>
      <c r="AW61" s="339"/>
      <c r="AX61" s="339"/>
      <c r="AY61" s="339"/>
      <c r="AZ61" s="339"/>
      <c r="BA61" s="339"/>
      <c r="BB61" s="339"/>
    </row>
    <row r="62" spans="2:55" ht="13.5" thickBot="1" x14ac:dyDescent="0.25">
      <c r="Z62">
        <v>1</v>
      </c>
      <c r="AA62">
        <v>2</v>
      </c>
      <c r="AB62">
        <v>3</v>
      </c>
      <c r="AC62">
        <v>4</v>
      </c>
      <c r="AD62">
        <v>5</v>
      </c>
      <c r="AE62">
        <v>6</v>
      </c>
      <c r="AF62">
        <v>7</v>
      </c>
      <c r="AG62">
        <v>8</v>
      </c>
      <c r="AH62">
        <v>9</v>
      </c>
      <c r="AI62">
        <v>10</v>
      </c>
      <c r="AJ62">
        <v>11</v>
      </c>
      <c r="AK62">
        <v>12</v>
      </c>
      <c r="AL62">
        <v>13</v>
      </c>
      <c r="AM62">
        <v>14</v>
      </c>
      <c r="AN62">
        <v>15</v>
      </c>
      <c r="AO62">
        <v>16</v>
      </c>
      <c r="AP62">
        <v>17</v>
      </c>
      <c r="AQ62">
        <v>18</v>
      </c>
      <c r="AR62">
        <v>19</v>
      </c>
      <c r="AS62">
        <v>20</v>
      </c>
      <c r="AT62">
        <v>21</v>
      </c>
      <c r="AU62">
        <v>22</v>
      </c>
      <c r="AV62">
        <v>23</v>
      </c>
      <c r="AW62">
        <v>24</v>
      </c>
      <c r="AX62">
        <v>25</v>
      </c>
      <c r="AY62">
        <v>26</v>
      </c>
    </row>
    <row r="63" spans="2:55" ht="16.5" thickBot="1" x14ac:dyDescent="0.3">
      <c r="T63" s="136"/>
      <c r="U63" s="142"/>
      <c r="V63" s="3"/>
      <c r="W63" s="203" t="s">
        <v>173</v>
      </c>
      <c r="Z63" s="373">
        <v>0.7</v>
      </c>
      <c r="AA63" s="373">
        <v>0.7</v>
      </c>
      <c r="AB63" s="373">
        <v>0.7</v>
      </c>
      <c r="AC63" s="373">
        <v>0.7</v>
      </c>
      <c r="AD63" s="373">
        <v>0.7</v>
      </c>
      <c r="AE63" s="373">
        <v>0.7</v>
      </c>
      <c r="AF63" s="373">
        <v>0.7</v>
      </c>
      <c r="AG63" s="373">
        <v>0.7</v>
      </c>
      <c r="AH63" s="373">
        <v>0.7</v>
      </c>
      <c r="AI63" s="373">
        <v>0.7</v>
      </c>
      <c r="AJ63" s="373">
        <v>0.7</v>
      </c>
      <c r="AK63" s="373">
        <v>0.7</v>
      </c>
      <c r="AL63" s="373">
        <v>0.7</v>
      </c>
      <c r="AM63" s="373">
        <v>0.7</v>
      </c>
      <c r="AN63" s="373">
        <v>0.7</v>
      </c>
      <c r="AO63" s="373">
        <v>0.7</v>
      </c>
      <c r="AP63" s="373">
        <v>0.7</v>
      </c>
      <c r="AQ63" s="373">
        <v>0.7</v>
      </c>
      <c r="AR63" s="373">
        <v>0.7</v>
      </c>
      <c r="AS63" s="373">
        <v>0.7</v>
      </c>
      <c r="AT63" s="373">
        <v>0.7</v>
      </c>
      <c r="AU63" s="373">
        <v>0.7</v>
      </c>
      <c r="AV63" s="373">
        <v>0.7</v>
      </c>
      <c r="AW63" s="373">
        <v>0.7</v>
      </c>
      <c r="AX63" s="373">
        <v>0.7</v>
      </c>
      <c r="AY63" s="373">
        <v>0.7</v>
      </c>
      <c r="AZ63" s="224"/>
    </row>
    <row r="64" spans="2:55" ht="18.75" thickBot="1" x14ac:dyDescent="0.3">
      <c r="E64" t="s">
        <v>169</v>
      </c>
      <c r="F64" s="175">
        <f>J2</f>
        <v>2017</v>
      </c>
      <c r="T64" s="199">
        <f>SUM(V66:Y72)</f>
        <v>26.533724563178886</v>
      </c>
      <c r="U64" s="175" t="s">
        <v>157</v>
      </c>
      <c r="V64" s="103">
        <v>8</v>
      </c>
      <c r="W64" s="3"/>
      <c r="X64" s="200" t="s">
        <v>163</v>
      </c>
      <c r="Y64" s="220">
        <f>INDEX(IndUdZa,V64)</f>
        <v>0.81684916047850087</v>
      </c>
      <c r="AD64" s="239"/>
      <c r="AE64" s="235"/>
      <c r="AF64" s="236"/>
    </row>
    <row r="65" spans="3:38" ht="21" thickBot="1" x14ac:dyDescent="0.35">
      <c r="F65" s="319" t="s">
        <v>177</v>
      </c>
      <c r="S65" s="221" t="s">
        <v>168</v>
      </c>
      <c r="T65" s="199">
        <f>SUM(V77:Y83)</f>
        <v>1.8762431142552878</v>
      </c>
      <c r="U65" s="142"/>
      <c r="V65" s="3" t="s">
        <v>158</v>
      </c>
      <c r="W65" s="3" t="s">
        <v>161</v>
      </c>
      <c r="X65" s="3" t="s">
        <v>160</v>
      </c>
      <c r="Y65" s="3" t="s">
        <v>159</v>
      </c>
      <c r="Z65" s="189" t="s">
        <v>162</v>
      </c>
      <c r="AA65" s="200" t="s">
        <v>164</v>
      </c>
      <c r="AC65" s="233"/>
      <c r="AD65" s="234"/>
      <c r="AE65" s="235"/>
      <c r="AF65" s="236"/>
    </row>
    <row r="66" spans="3:38" ht="36.75" thickBot="1" x14ac:dyDescent="0.25">
      <c r="F66" s="341">
        <v>1</v>
      </c>
      <c r="G66" s="341" t="s">
        <v>176</v>
      </c>
      <c r="I66" s="341" t="s">
        <v>178</v>
      </c>
      <c r="J66" s="342" t="s">
        <v>179</v>
      </c>
      <c r="K66" s="341" t="s">
        <v>180</v>
      </c>
      <c r="L66" s="341" t="s">
        <v>181</v>
      </c>
      <c r="M66" s="341" t="s">
        <v>182</v>
      </c>
      <c r="N66" s="341" t="s">
        <v>183</v>
      </c>
      <c r="T66">
        <v>1</v>
      </c>
      <c r="U66" t="s">
        <v>36</v>
      </c>
      <c r="V66" s="369">
        <f>IF(INDEX([3]!remo1,1,$V$64)=0,-INDEX([3]!remo1,2,$V$64),INDEX([3]!remo1,2,$V$64)/INDEX([3]!remo1,1,$V$64))</f>
        <v>1.000748743164674</v>
      </c>
      <c r="W66" s="210">
        <f>IF(INDEX([3]!reexpl1,1,$V$64)=0,-INDEX([3]!reexpl1,2,$V$64),INDEX([3]!reexpl1,2,$V$64)/INDEX([3]!reexpl1,1,$V$64))</f>
        <v>1.0135914715296701</v>
      </c>
      <c r="X66" s="210">
        <f>IF(INDEX([3]!reexpl1,1,$V$64)=0,-INDEX([3]!reexpl1,3,$V$64),INDEX([3]!reexpl1,3,$V$64)/INDEX([3]!reexpl1,1,$V$64))</f>
        <v>1.0135914715296701</v>
      </c>
      <c r="Y66" s="210">
        <f>IF(INDEX([3]!revvod1,1,$V$64)=0,-INDEX([3]!revvod1,2,$V$64),INDEX([3]!revvod1,2,$V$64)/INDEX([3]!revvod1,1,$V$64))</f>
        <v>1.0664105440269209</v>
      </c>
      <c r="Z66" s="186">
        <f>INDEX(normprio,ПУЛЬТ!T66,ПУЛЬТ!V$64)*100</f>
        <v>5.693876934043046</v>
      </c>
      <c r="AA66" s="370">
        <f>INDEX(StepUdZa,ПУЛЬТ!T66,ПУЛЬТ!V$64)</f>
        <v>0.97056642294281892</v>
      </c>
      <c r="AC66" s="109"/>
      <c r="AD66" s="240"/>
      <c r="AE66" s="237"/>
      <c r="AF66" s="238"/>
      <c r="AG66" s="3"/>
      <c r="AH66" s="3"/>
      <c r="AI66" s="3"/>
      <c r="AJ66" s="3"/>
      <c r="AK66" s="3"/>
      <c r="AL66" s="3"/>
    </row>
    <row r="67" spans="3:38" ht="15.75" thickBot="1" x14ac:dyDescent="0.25">
      <c r="E67">
        <v>1</v>
      </c>
      <c r="F67" s="9" t="s">
        <v>9</v>
      </c>
      <c r="G67" s="21">
        <f>INDEX('Лист2_прогнозные цены'!$N$5:$AE$9,E67,ПУЛЬТ!$I$2)</f>
        <v>23525364.52677438</v>
      </c>
      <c r="H67" s="9" t="s">
        <v>9</v>
      </c>
      <c r="I67" s="21">
        <f>INDEX('Лист2_прогнозные цены'!$F$13:$AE$18,E67,$I$2)</f>
        <v>53333.614571249716</v>
      </c>
      <c r="J67" s="21">
        <f>INDEX('Лист2_прогнозные цены'!$F$22:$AE$27,ПУЛЬТ!E67,$I$2)</f>
        <v>149298.79996813563</v>
      </c>
      <c r="K67" s="21">
        <f>INDEX('Лист2_прогнозные цены'!$F$31:$AE$36,ПУЛЬТ!E67,ПУЛЬТ!$I$2)</f>
        <v>14777.706086916298</v>
      </c>
      <c r="L67" s="21">
        <f>INDEX('Лист2_прогнозные цены'!$F$40:$AE$45,ПУЛЬТ!E67,ПУЛЬТ!$I$2)</f>
        <v>28769.822199344813</v>
      </c>
      <c r="M67" s="21">
        <f>INDEX('Лист2_прогнозные цены'!$F$50:$AE$55,ПУЛЬТ!E67,ПУЛЬТ!$I$2)</f>
        <v>164480.05227722609</v>
      </c>
      <c r="N67" s="21">
        <f>INDEX('Лист2_прогнозные цены'!$F$60:$AE$65,ПУЛЬТ!E67,ПУЛЬТ!$I$2)</f>
        <v>168565.27436960279</v>
      </c>
      <c r="R67" s="18"/>
      <c r="T67">
        <v>2</v>
      </c>
      <c r="U67" t="s">
        <v>3</v>
      </c>
      <c r="V67" s="210">
        <f>IF(INDEX([3]!remo2,1,$V$64)=0,-INDEX([3]!remo2,2,$V$64),INDEX([3]!remo2,2,$V$64)/INDEX([3]!remo2,1,$V$64))</f>
        <v>0.93991475571933403</v>
      </c>
      <c r="W67" s="210">
        <f>IF(INDEX([3]!reexpl2,1,$V$64)=0,-INDEX([3]!reexpl2,2,$V$64),INDEX([3]!reexpl2,2,$V$64)/INDEX([3]!reexpl2,1,$V$64))</f>
        <v>1.01581456626886</v>
      </c>
      <c r="X67" s="210">
        <f>IF(INDEX([3]!reexpl2,1,$V$64)=0,-INDEX([3]!reexpl2,3,$V$64),INDEX([3]!reexpl2,3,$V$64)/INDEX([3]!reexpl2,1,$V$64))</f>
        <v>1.01581456626886</v>
      </c>
      <c r="Y67" s="210">
        <f>IF(INDEX([3]!revvod2,1,$V$64)=0,-INDEX([3]!revvod2,2,$V$64),INDEX([3]!revvod2,2,$V$64)/INDEX([3]!revvod2,1,$V$64))</f>
        <v>0.93656249999999996</v>
      </c>
      <c r="Z67" s="187">
        <f>INDEX(normprio,ПУЛЬТ!T67,ПУЛЬТ!V$64)*100</f>
        <v>22.191378724901938</v>
      </c>
      <c r="AA67" s="371">
        <f>INDEX(StepUdZa,ПУЛЬТ!T67,ПУЛЬТ!V$64)</f>
        <v>1</v>
      </c>
      <c r="AC67" s="232"/>
      <c r="AD67" s="240"/>
      <c r="AE67" s="237"/>
      <c r="AF67" s="238"/>
      <c r="AG67" s="3"/>
      <c r="AH67" s="3"/>
      <c r="AI67" s="3"/>
      <c r="AJ67" s="3"/>
      <c r="AK67" s="3"/>
      <c r="AL67" s="3"/>
    </row>
    <row r="68" spans="3:38" ht="15.75" thickBot="1" x14ac:dyDescent="0.25">
      <c r="E68">
        <v>2</v>
      </c>
      <c r="F68" s="53" t="s">
        <v>14</v>
      </c>
      <c r="G68" s="21">
        <f>INDEX('Лист2_прогнозные цены'!$N$5:$AE$9,E68,ПУЛЬТ!$I$2)</f>
        <v>49174628.762843773</v>
      </c>
      <c r="H68" s="53" t="s">
        <v>14</v>
      </c>
      <c r="I68" s="21">
        <f>INDEX('Лист2_прогнозные цены'!$F$13:$AE$18,E68,$I$2)</f>
        <v>2959575.5124150477</v>
      </c>
      <c r="J68" s="21">
        <f>INDEX('Лист2_прогнозные цены'!$F$22:$AE$27,ПУЛЬТ!E68,$I$2)</f>
        <v>21402532.835208081</v>
      </c>
      <c r="K68" s="21">
        <f>INDEX('Лист2_прогнозные цены'!$F$31:$AE$36,ПУЛЬТ!E68,ПУЛЬТ!$I$2)</f>
        <v>4100203.7285581501</v>
      </c>
      <c r="L68" s="21">
        <f>INDEX('Лист2_прогнозные цены'!$F$40:$AE$45,ПУЛЬТ!E68,ПУЛЬТ!$I$2)</f>
        <v>2527772.2397059775</v>
      </c>
      <c r="M68" s="21">
        <f>INDEX('Лист2_прогнозные цены'!$F$50:$AE$55,ПУЛЬТ!E68,ПУЛЬТ!$I$2)</f>
        <v>3803035.687981457</v>
      </c>
      <c r="N68" s="21">
        <f>INDEX('Лист2_прогнозные цены'!$F$60:$AE$65,ПУЛЬТ!E68,ПУЛЬТ!$I$2)</f>
        <v>935398.17670023418</v>
      </c>
      <c r="T68">
        <v>3</v>
      </c>
      <c r="U68" t="s">
        <v>29</v>
      </c>
      <c r="V68" s="210">
        <f>IF(INDEX([3]!remo3,1,$V$64)=0,-INDEX([3]!remo3,2,$V$64),INDEX([3]!remo3,2,$V$64)/INDEX([3]!remo3,1,$V$64))</f>
        <v>0.94641204314668381</v>
      </c>
      <c r="W68" s="210">
        <f>IF(INDEX([3]!reexpl3,1,$V$64)=0,-INDEX([3]!reexpl3,2,$V$64),INDEX([3]!reexpl3,2,$V$64)/INDEX([3]!reexpl3,1,$V$64))</f>
        <v>1.0029633838775185</v>
      </c>
      <c r="X68" s="210">
        <f>IF(INDEX([3]!reexpl3,1,$V$64)=0,-INDEX([3]!reexpl3,3,$V$64),INDEX([3]!reexpl3,3,$V$64)/INDEX([3]!reexpl3,1,$V$64))</f>
        <v>0.4444228502862772</v>
      </c>
      <c r="Y68" s="210">
        <f>IF(INDEX([3]!revvod3,1,$V$64)=0,-INDEX([3]!revvod3,2,$V$64),INDEX([3]!revvod3,2,$V$64)/INDEX([3]!revvod3,1,$V$64))</f>
        <v>0.876</v>
      </c>
      <c r="Z68" s="187">
        <f>INDEX(normprio,ПУЛЬТ!T68,ПУЛЬТ!V$64)*100</f>
        <v>4.8338058410877638</v>
      </c>
      <c r="AA68" s="371">
        <f>INDEX(StepUdZa,ПУЛЬТ!T68,ПУЛЬТ!V$64)</f>
        <v>0.52233259587435266</v>
      </c>
      <c r="AC68" s="232"/>
      <c r="AD68" s="240"/>
      <c r="AE68" s="237"/>
      <c r="AF68" s="238"/>
      <c r="AG68" s="126"/>
      <c r="AH68" s="126"/>
      <c r="AI68" s="126"/>
      <c r="AJ68" s="126"/>
      <c r="AK68" s="126"/>
      <c r="AL68" s="3"/>
    </row>
    <row r="69" spans="3:38" ht="15.75" thickBot="1" x14ac:dyDescent="0.25">
      <c r="E69">
        <v>3</v>
      </c>
      <c r="F69" s="9" t="s">
        <v>21</v>
      </c>
      <c r="G69" s="21">
        <f>INDEX('Лист2_прогнозные цены'!$N$5:$AE$9,E69,ПУЛЬТ!$I$2)</f>
        <v>32018786.542026561</v>
      </c>
      <c r="H69" s="9" t="s">
        <v>15</v>
      </c>
      <c r="I69" s="21">
        <f>INDEX('Лист2_прогнозные цены'!$F$13:$AE$18,E69,$I$2)</f>
        <v>2688141.5648547388</v>
      </c>
      <c r="J69" s="21">
        <f>INDEX('Лист2_прогнозные цены'!$F$22:$AE$27,ПУЛЬТ!E69,$I$2)</f>
        <v>6524763.8535928018</v>
      </c>
      <c r="K69" s="21">
        <f>INDEX('Лист2_прогнозные цены'!$F$31:$AE$36,ПУЛЬТ!E69,ПУЛЬТ!$I$2)</f>
        <v>6244798.395017691</v>
      </c>
      <c r="L69" s="21">
        <f>INDEX('Лист2_прогнозные цены'!$F$40:$AE$45,ПУЛЬТ!E69,ПУЛЬТ!$I$2)</f>
        <v>1577833.7575232035</v>
      </c>
      <c r="M69" s="21">
        <f>INDEX('Лист2_прогнозные цены'!$F$50:$AE$55,ПУЛЬТ!E69,ПУЛЬТ!$I$2)</f>
        <v>994963.70007085754</v>
      </c>
      <c r="N69" s="21">
        <f>INDEX('Лист2_прогнозные цены'!$F$60:$AE$65,ПУЛЬТ!E69,ПУЛЬТ!$I$2)</f>
        <v>1160792.6502760076</v>
      </c>
      <c r="T69">
        <v>4</v>
      </c>
      <c r="U69" t="s">
        <v>5</v>
      </c>
      <c r="V69" s="210">
        <f>IF(INDEX([3]!remo4,1,$V$64)=0,-INDEX([3]!remo4,2,$V$64),INDEX([3]!remo4,2,$V$64)/INDEX([3]!remo4,1,$V$64))</f>
        <v>1.01614683219497</v>
      </c>
      <c r="W69" s="210">
        <f>IF(INDEX([3]!reexpl4,1,$V$64)=0,-INDEX([3]!reexpl4,2,$V$64),INDEX([3]!reexpl4,2,$V$64)/INDEX([3]!reexpl4,1,$V$64))</f>
        <v>0.96607813500847473</v>
      </c>
      <c r="X69" s="210">
        <f>IF(INDEX([3]!reexpl4,1,$V$64)=0,-INDEX([3]!reexpl4,3,$V$64),INDEX([3]!reexpl4,3,$V$64)/INDEX([3]!reexpl4,1,$V$64))</f>
        <v>0.96607813500847473</v>
      </c>
      <c r="Y69" s="210">
        <f>IF(INDEX([3]!revvod4,1,$V$64)=0,-INDEX([3]!revvod4,2,$V$64),INDEX([3]!revvod4,2,$V$64)/INDEX([3]!revvod4,1,$V$64))</f>
        <v>0.97</v>
      </c>
      <c r="Z69" s="187">
        <f>INDEX(normprio,ПУЛЬТ!T69,ПУЛЬТ!V$64)*100</f>
        <v>29.679487236199876</v>
      </c>
      <c r="AA69" s="371">
        <f>INDEX(StepUdZa,ПУЛЬТ!T69,ПУЛЬТ!V$64)</f>
        <v>1</v>
      </c>
      <c r="AC69" s="232"/>
      <c r="AD69" s="240"/>
      <c r="AE69" s="237"/>
      <c r="AF69" s="238"/>
      <c r="AG69" s="126"/>
      <c r="AH69" s="126"/>
      <c r="AI69" s="126"/>
      <c r="AJ69" s="126"/>
      <c r="AK69" s="126"/>
      <c r="AL69" s="3"/>
    </row>
    <row r="70" spans="3:38" ht="15.75" thickBot="1" x14ac:dyDescent="0.25">
      <c r="E70">
        <v>4</v>
      </c>
      <c r="F70" s="9" t="s">
        <v>22</v>
      </c>
      <c r="G70" s="21">
        <f>INDEX('Лист2_прогнозные цены'!$N$5:$AE$9,E70,ПУЛЬТ!$I$2)</f>
        <v>32018786.542026561</v>
      </c>
      <c r="H70" s="9" t="s">
        <v>16</v>
      </c>
      <c r="I70" s="21">
        <f>INDEX('Лист2_прогнозные цены'!$F$13:$AE$18,E70,$I$2)</f>
        <v>349458.40343111608</v>
      </c>
      <c r="J70" s="21">
        <f>INDEX('Лист2_прогнозные цены'!$F$22:$AE$27,ПУЛЬТ!E70,$I$2)</f>
        <v>848219.30096706422</v>
      </c>
      <c r="K70" s="21">
        <f>INDEX('Лист2_прогнозные цены'!$F$31:$AE$36,ПУЛЬТ!E70,ПУЛЬТ!$I$2)</f>
        <v>811823.79135229986</v>
      </c>
      <c r="L70" s="21">
        <f>INDEX('Лист2_прогнозные цены'!$F$40:$AE$45,ПУЛЬТ!E70,ПУЛЬТ!$I$2)</f>
        <v>205118.38847801645</v>
      </c>
      <c r="M70" s="21">
        <f>INDEX('Лист2_прогнозные цены'!$F$50:$AE$55,ПУЛЬТ!E70,ПУЛЬТ!$I$2)</f>
        <v>129345.28100921148</v>
      </c>
      <c r="N70" s="21">
        <f>INDEX('Лист2_прогнозные цены'!$F$60:$AE$65,ПУЛЬТ!E70,ПУЛЬТ!$I$2)</f>
        <v>150903.044535881</v>
      </c>
      <c r="T70">
        <v>5</v>
      </c>
      <c r="U70" t="s">
        <v>6</v>
      </c>
      <c r="V70" s="210">
        <f>IF(INDEX([3]!remo5,1,$V$64)=0,-INDEX([3]!remo5,2,$V$64),INDEX([3]!remo5,2,$V$64)/INDEX([3]!remo5,1,$V$64))</f>
        <v>1.0063069897723635</v>
      </c>
      <c r="W70" s="210">
        <f>IF(INDEX([3]!reexpl5,1,$V$64)=0,-INDEX([3]!reexpl5,2,$V$64),INDEX([3]!reexpl5,2,$V$64)/INDEX([3]!reexpl5,1,$V$64))</f>
        <v>0.99446583266909261</v>
      </c>
      <c r="X70" s="210">
        <f>IF(INDEX([3]!reexpl5,1,$V$64)=0,-INDEX([3]!reexpl5,3,$V$64),INDEX([3]!reexpl5,3,$V$64)/INDEX([3]!reexpl5,1,$V$64))</f>
        <v>0.64032428729554203</v>
      </c>
      <c r="Y70" s="210">
        <f>IF(INDEX([3]!revvod5,1,$V$64)=0,-INDEX([3]!revvod5,2,$V$64),INDEX([3]!revvod5,2,$V$64)/INDEX([3]!revvod5,1,$V$64))</f>
        <v>0.79090909090909089</v>
      </c>
      <c r="Z70" s="187">
        <f>INDEX(normprio,ПУЛЬТ!T70,ПУЛЬТ!V$64)*100</f>
        <v>1.6398735900905279</v>
      </c>
      <c r="AA70" s="371">
        <f>INDEX(StepUdZa,ПУЛЬТ!T70,ПУЛЬТ!V$64)</f>
        <v>0.63526193747457593</v>
      </c>
      <c r="AC70" s="232"/>
      <c r="AD70" s="240"/>
      <c r="AE70" s="237"/>
      <c r="AF70" s="238"/>
      <c r="AG70" s="126"/>
      <c r="AH70" s="126"/>
      <c r="AI70" s="126"/>
      <c r="AJ70" s="126"/>
      <c r="AK70" s="126"/>
      <c r="AL70" s="3"/>
    </row>
    <row r="71" spans="3:38" ht="15.75" thickBot="1" x14ac:dyDescent="0.25">
      <c r="E71">
        <v>5</v>
      </c>
      <c r="F71" s="9" t="s">
        <v>74</v>
      </c>
      <c r="G71" s="21">
        <f>INDEX('Лист2_прогнозные цены'!$N$5:$AE$9,E71,ПУЛЬТ!$I$2)</f>
        <v>0</v>
      </c>
      <c r="H71" s="9" t="s">
        <v>21</v>
      </c>
      <c r="I71" s="21">
        <f>INDEX('Лист2_прогнозные цены'!$F$13:$AE$18,E71,$I$2)</f>
        <v>726698.19436508964</v>
      </c>
      <c r="J71" s="21">
        <f>INDEX('Лист2_прогнозные цены'!$F$22:$AE$27,ПУЛЬТ!E71,$I$2)</f>
        <v>2493139.238816326</v>
      </c>
      <c r="K71" s="21">
        <f>INDEX('Лист2_прогнозные цены'!$F$31:$AE$36,ПУЛЬТ!E71,ПУЛЬТ!$I$2)</f>
        <v>1906589.7947113889</v>
      </c>
      <c r="L71" s="21">
        <f>INDEX('Лист2_прогнозные цены'!$F$40:$AE$45,ПУЛЬТ!E71,ПУЛЬТ!$I$2)</f>
        <v>1591642.3118081107</v>
      </c>
      <c r="M71" s="21">
        <f>INDEX('Лист2_прогнозные цены'!$F$50:$AE$55,ПУЛЬТ!E71,ПУЛЬТ!$I$2)</f>
        <v>567978.84515091707</v>
      </c>
      <c r="N71" s="21">
        <f>INDEX('Лист2_прогнозные цены'!$F$60:$AE$65,ПУЛЬТ!E71,ПУЛЬТ!$I$2)</f>
        <v>123982.71226859199</v>
      </c>
      <c r="T71">
        <v>6</v>
      </c>
      <c r="U71" t="s">
        <v>1</v>
      </c>
      <c r="V71" s="210">
        <f>IF(INDEX([3]!remo6,1,$V$64)=0,-INDEX([3]!remo6,2,$V$64),INDEX([3]!remo6,2,$V$64)/INDEX([3]!remo6,1,$V$64))</f>
        <v>0.96738836682442708</v>
      </c>
      <c r="W71" s="210">
        <f>IF(INDEX([3]!reexpl6,1,$V$64)=0,-INDEX([3]!reexpl6,2,$V$64),INDEX([3]!reexpl6,2,$V$64)/INDEX([3]!reexpl6,1,$V$64))</f>
        <v>1.0140807305246027</v>
      </c>
      <c r="X71" s="210">
        <f>IF(INDEX([3]!reexpl6,1,$V$64)=0,-INDEX([3]!reexpl6,3,$V$64),INDEX([3]!reexpl6,3,$V$64)/INDEX([3]!reexpl6,1,$V$64))</f>
        <v>1.0140807305246027</v>
      </c>
      <c r="Y71" s="210">
        <f>IF(INDEX([3]!revvod666,1,$V$64)=0,-INDEX([3]!revvod666,2,$V$64),INDEX([3]!revvod666,2,$V$64)/INDEX([3]!revvod666,1,$V$64))</f>
        <v>0.94240000000000002</v>
      </c>
      <c r="Z71" s="187">
        <f>INDEX(normprio,ПУЛЬТ!T71,ПУЛЬТ!V$64)*100</f>
        <v>11.914011079723982</v>
      </c>
      <c r="AA71" s="371">
        <f>INDEX(StepUdZa,ПУЛЬТ!T71,ПУЛЬТ!V$64)</f>
        <v>0.99999999999999989</v>
      </c>
      <c r="AC71" s="232"/>
      <c r="AD71" s="240"/>
      <c r="AE71" s="237"/>
      <c r="AF71" s="238"/>
      <c r="AG71" s="126"/>
      <c r="AH71" s="126"/>
      <c r="AI71" s="126"/>
      <c r="AJ71" s="126"/>
      <c r="AK71" s="126"/>
      <c r="AL71" s="3"/>
    </row>
    <row r="72" spans="3:38" ht="15.75" thickBot="1" x14ac:dyDescent="0.25">
      <c r="E72">
        <v>6</v>
      </c>
      <c r="F72" s="9"/>
      <c r="G72" s="21">
        <f>INDEX('Лист2_прогнозные цены'!$N$5:$AE$9,E72-1,ПУЛЬТ!$I$2)</f>
        <v>0</v>
      </c>
      <c r="H72" s="9" t="s">
        <v>22</v>
      </c>
      <c r="I72" s="21">
        <f>INDEX('Лист2_прогнозные цены'!$F$13:$AE$18,E72,$I$2)</f>
        <v>726698.19436508964</v>
      </c>
      <c r="J72" s="21">
        <f>INDEX('Лист2_прогнозные цены'!$F$22:$AE$27,ПУЛЬТ!E72,$I$2)</f>
        <v>2493139.238816326</v>
      </c>
      <c r="K72" s="21">
        <f>INDEX('Лист2_прогнозные цены'!$F$31:$AE$36,ПУЛЬТ!E72,ПУЛЬТ!$I$2)</f>
        <v>1906589.7947113889</v>
      </c>
      <c r="L72" s="21">
        <f>INDEX('Лист2_прогнозные цены'!$F$40:$AE$45,ПУЛЬТ!E72,ПУЛЬТ!$I$2)</f>
        <v>1591642.3118081107</v>
      </c>
      <c r="M72" s="21">
        <f>INDEX('Лист2_прогнозные цены'!$F$50:$AE$55,ПУЛЬТ!E72,ПУЛЬТ!$I$2)</f>
        <v>567978.84515091707</v>
      </c>
      <c r="N72" s="21">
        <f>INDEX('Лист2_прогнозные цены'!$F$60:$AE$65,ПУЛЬТ!E72,ПУЛЬТ!$I$2)</f>
        <v>123982.71226859199</v>
      </c>
      <c r="T72">
        <v>7</v>
      </c>
      <c r="U72" t="s">
        <v>2</v>
      </c>
      <c r="V72" s="210">
        <f>IF(INDEX([3]!remo7,1,$V$64)=0,-INDEX([3]!remo7,2,$V$64),INDEX([3]!remo7,2,$V$64)/INDEX([3]!remo7,1,$V$64))</f>
        <v>0.96638472759440086</v>
      </c>
      <c r="W72" s="210">
        <f>IF(INDEX([3]!reexpl7,1,$V$64)=0,-INDEX([3]!reexpl7,2,$V$64),INDEX([3]!reexpl7,2,$V$64)/INDEX([3]!reexpl7,1,$V$64))</f>
        <v>1.0127169045171867</v>
      </c>
      <c r="X72" s="210">
        <f>IF(INDEX([3]!reexpl7,1,$V$64)=0,-INDEX([3]!reexpl7,3,$V$64),INDEX([3]!reexpl7,3,$V$64)/INDEX([3]!reexpl7,1,$V$64))</f>
        <v>1.0127169045171867</v>
      </c>
      <c r="Y72" s="210">
        <f>IF(INDEX([3]!revvod7,1,$V$64)=0,-INDEX([3]!revvod7,2,$V$64),INDEX([3]!revvod7,2,$V$64)/INDEX([3]!revvod7,1,$V$64))</f>
        <v>0.98140000000000005</v>
      </c>
      <c r="Z72" s="188">
        <f>INDEX(normprio,ПУЛЬТ!T72,ПУЛЬТ!V$64)*100</f>
        <v>24.047566593952858</v>
      </c>
      <c r="AA72" s="372">
        <f>INDEX(StepUdZa,ПУЛЬТ!T72,ПУЛЬТ!V$64)</f>
        <v>1</v>
      </c>
      <c r="AC72" s="232"/>
      <c r="AD72" s="240"/>
      <c r="AE72" s="237"/>
      <c r="AF72" s="238"/>
      <c r="AG72" s="126"/>
      <c r="AH72" s="126"/>
      <c r="AI72" s="126"/>
      <c r="AJ72" s="126"/>
      <c r="AK72" s="126"/>
      <c r="AL72" s="3"/>
    </row>
    <row r="73" spans="3:38" ht="18" x14ac:dyDescent="0.25">
      <c r="F73" s="316"/>
      <c r="G73" s="316"/>
      <c r="T73" s="65"/>
      <c r="U73" s="142"/>
      <c r="V73" s="3"/>
      <c r="W73" s="3"/>
      <c r="AC73" s="232"/>
      <c r="AD73" s="232"/>
      <c r="AE73" s="109"/>
      <c r="AF73" s="109"/>
      <c r="AG73" s="126"/>
      <c r="AH73" s="126"/>
      <c r="AI73" s="126"/>
      <c r="AJ73" s="126"/>
      <c r="AK73" s="126"/>
      <c r="AL73" s="76"/>
    </row>
    <row r="74" spans="3:38" ht="18" x14ac:dyDescent="0.25">
      <c r="C74" s="324"/>
      <c r="D74" s="324"/>
      <c r="T74" s="65"/>
      <c r="U74" s="142"/>
      <c r="W74" s="3"/>
      <c r="AC74" s="109"/>
      <c r="AD74" s="109"/>
      <c r="AE74" s="3"/>
      <c r="AF74" s="3"/>
      <c r="AG74" s="3"/>
      <c r="AH74" s="3"/>
      <c r="AI74" s="3"/>
      <c r="AJ74" s="3"/>
      <c r="AK74" s="3"/>
      <c r="AL74" s="3"/>
    </row>
    <row r="75" spans="3:38" ht="18" x14ac:dyDescent="0.25">
      <c r="C75" s="316" t="s">
        <v>184</v>
      </c>
      <c r="D75" s="316"/>
      <c r="T75" s="65"/>
      <c r="U75" s="142" t="s">
        <v>167</v>
      </c>
      <c r="V75" s="3"/>
      <c r="W75" s="3"/>
      <c r="AD75" s="3"/>
      <c r="AE75" s="3"/>
      <c r="AF75" s="126"/>
      <c r="AG75" s="3"/>
      <c r="AH75" s="3"/>
      <c r="AI75" s="3"/>
      <c r="AJ75" s="3"/>
      <c r="AK75" s="3"/>
      <c r="AL75" s="3"/>
    </row>
    <row r="76" spans="3:38" ht="16.5" thickBot="1" x14ac:dyDescent="0.3">
      <c r="F76" s="343" t="s">
        <v>169</v>
      </c>
      <c r="G76" s="340">
        <f>J2</f>
        <v>2017</v>
      </c>
      <c r="AD76" s="3"/>
      <c r="AE76" s="3"/>
      <c r="AF76" s="126"/>
      <c r="AG76" s="126"/>
      <c r="AH76" s="126"/>
      <c r="AI76" s="126"/>
      <c r="AJ76" s="126"/>
      <c r="AK76" s="126"/>
      <c r="AL76" s="3"/>
    </row>
    <row r="77" spans="3:38" ht="18.75" thickBot="1" x14ac:dyDescent="0.3">
      <c r="D77" s="316" t="s">
        <v>186</v>
      </c>
      <c r="E77" s="316"/>
      <c r="F77" s="316"/>
      <c r="U77">
        <v>1</v>
      </c>
      <c r="V77" s="114">
        <f t="shared" ref="V77:Y83" si="16">ABS(V66-1)</f>
        <v>7.4874316467399282E-4</v>
      </c>
      <c r="W77" s="114">
        <f t="shared" si="16"/>
        <v>1.3591471529670107E-2</v>
      </c>
      <c r="X77" s="114">
        <f t="shared" si="16"/>
        <v>1.3591471529670107E-2</v>
      </c>
      <c r="Y77" s="207">
        <f t="shared" si="16"/>
        <v>6.6410544026920926E-2</v>
      </c>
      <c r="AD77" s="3"/>
      <c r="AE77" s="3"/>
      <c r="AF77" s="126"/>
      <c r="AG77" s="126"/>
      <c r="AH77" s="126"/>
      <c r="AI77" s="126"/>
      <c r="AJ77" s="126"/>
      <c r="AK77" s="126"/>
      <c r="AL77" s="3"/>
    </row>
    <row r="78" spans="3:38" ht="23.45" customHeight="1" thickBot="1" x14ac:dyDescent="0.25">
      <c r="G78" s="321" t="s">
        <v>76</v>
      </c>
      <c r="H78" s="321" t="s">
        <v>53</v>
      </c>
      <c r="I78" s="325" t="s">
        <v>61</v>
      </c>
      <c r="J78" s="322" t="s">
        <v>185</v>
      </c>
      <c r="U78">
        <v>2</v>
      </c>
      <c r="V78" s="114">
        <f t="shared" si="16"/>
        <v>6.0085244280665973E-2</v>
      </c>
      <c r="W78" s="114">
        <f t="shared" si="16"/>
        <v>1.581456626886002E-2</v>
      </c>
      <c r="X78" s="114">
        <f t="shared" si="16"/>
        <v>1.581456626886002E-2</v>
      </c>
      <c r="Y78" s="207">
        <f t="shared" si="16"/>
        <v>6.3437500000000036E-2</v>
      </c>
      <c r="AD78" s="3"/>
      <c r="AE78" s="3"/>
      <c r="AF78" s="126"/>
      <c r="AG78" s="126"/>
      <c r="AH78" s="126"/>
      <c r="AI78" s="126"/>
      <c r="AJ78" s="126"/>
      <c r="AK78" s="126"/>
      <c r="AL78" s="3"/>
    </row>
    <row r="79" spans="3:38" ht="13.5" thickBot="1" x14ac:dyDescent="0.25">
      <c r="E79">
        <v>1</v>
      </c>
      <c r="F79" t="s">
        <v>36</v>
      </c>
      <c r="G79" s="21">
        <f>INDEX('распределение '!$C$10:$AA$16,ПУЛЬТ!E79,ПУЛЬТ!$I$2)</f>
        <v>20282538.020059045</v>
      </c>
      <c r="H79" s="21">
        <f>INDEX('распределение '!$C$24:$AA$30,ПУЛЬТ!E79,ПУЛЬТ!$I$2)</f>
        <v>0</v>
      </c>
      <c r="I79" s="21">
        <f>INDEX('распределение '!$C$99:$AA$105,ПУЛЬТ!E79,ПУЛЬТ!$I$2)</f>
        <v>214413884.29560006</v>
      </c>
      <c r="J79" s="21">
        <f>INDEX(ObchObFinansOtr,ПУЛЬТ!E79,ПУЛЬТ!$I$2)</f>
        <v>220097392.44629279</v>
      </c>
      <c r="U79">
        <v>3</v>
      </c>
      <c r="V79" s="114">
        <f t="shared" si="16"/>
        <v>5.3587956853316188E-2</v>
      </c>
      <c r="W79" s="114">
        <f t="shared" si="16"/>
        <v>2.9633838775184884E-3</v>
      </c>
      <c r="X79" s="114">
        <f t="shared" si="16"/>
        <v>0.55557714971372274</v>
      </c>
      <c r="Y79" s="207">
        <f t="shared" si="16"/>
        <v>0.124</v>
      </c>
      <c r="AD79" s="3"/>
      <c r="AE79" s="3"/>
      <c r="AF79" s="126"/>
      <c r="AG79" s="126"/>
      <c r="AH79" s="126"/>
      <c r="AI79" s="126"/>
      <c r="AJ79" s="126"/>
      <c r="AK79" s="126"/>
      <c r="AL79" s="3"/>
    </row>
    <row r="80" spans="3:38" ht="13.5" thickBot="1" x14ac:dyDescent="0.25">
      <c r="E80">
        <v>2</v>
      </c>
      <c r="F80" t="s">
        <v>3</v>
      </c>
      <c r="G80" s="21">
        <f>INDEX('распределение '!$C$10:$AA$16,ПУЛЬТ!E80,ПУЛЬТ!$I$2)</f>
        <v>2959575.5124150477</v>
      </c>
      <c r="H80" s="21">
        <f>INDEX('распределение '!$C$24:$AA$30,ПУЛЬТ!E80,ПУЛЬТ!$I$2)</f>
        <v>2688141.5648547388</v>
      </c>
      <c r="I80" s="21">
        <f>INDEX('распределение '!$C$99:$AA$105,ПУЛЬТ!E80,ПУЛЬТ!$I$2)</f>
        <v>7642520.6457403656</v>
      </c>
      <c r="J80" s="21">
        <f>INDEX(ObchObFinansOtr,ПУЛЬТ!E80,ПУЛЬТ!$I$2)</f>
        <v>12563539.528645063</v>
      </c>
      <c r="U80">
        <v>4</v>
      </c>
      <c r="V80" s="114">
        <f t="shared" si="16"/>
        <v>1.614683219497004E-2</v>
      </c>
      <c r="W80" s="114">
        <f t="shared" si="16"/>
        <v>3.3921864991525275E-2</v>
      </c>
      <c r="X80" s="114">
        <f t="shared" si="16"/>
        <v>3.3921864991525275E-2</v>
      </c>
      <c r="Y80" s="207">
        <f t="shared" si="16"/>
        <v>3.0000000000000027E-2</v>
      </c>
      <c r="AD80" s="3"/>
      <c r="AE80" s="3"/>
      <c r="AF80" s="126"/>
      <c r="AG80" s="126"/>
      <c r="AH80" s="126"/>
      <c r="AI80" s="126"/>
      <c r="AJ80" s="126"/>
      <c r="AK80" s="126"/>
      <c r="AL80" s="3"/>
    </row>
    <row r="81" spans="4:38" ht="13.5" thickBot="1" x14ac:dyDescent="0.25">
      <c r="E81">
        <v>3</v>
      </c>
      <c r="F81" t="s">
        <v>29</v>
      </c>
      <c r="G81" s="21">
        <f>INDEX('распределение '!$C$10:$AA$16,ПУЛЬТ!E81,ПУЛЬТ!$I$2)</f>
        <v>21402532.835208081</v>
      </c>
      <c r="H81" s="21">
        <f>INDEX('распределение '!$C$24:$AA$30,ПУЛЬТ!E81,ПУЛЬТ!$I$2)</f>
        <v>6524763.8535928018</v>
      </c>
      <c r="I81" s="21">
        <f>INDEX('распределение '!$C$99:$AA$105,ПУЛЬТ!E81,ПУЛЬТ!$I$2)</f>
        <v>7714415.2115434175</v>
      </c>
      <c r="J81" s="21">
        <f>INDEX(ObchObFinansOtr,ПУЛЬТ!E81,ПУЛЬТ!$I$2)</f>
        <v>33148572.661527973</v>
      </c>
      <c r="U81">
        <v>5</v>
      </c>
      <c r="V81" s="114">
        <f t="shared" si="16"/>
        <v>6.3069897723635471E-3</v>
      </c>
      <c r="W81" s="114">
        <f t="shared" si="16"/>
        <v>5.5341673309073913E-3</v>
      </c>
      <c r="X81" s="114">
        <f t="shared" si="16"/>
        <v>0.35967571270445797</v>
      </c>
      <c r="Y81" s="207">
        <f t="shared" si="16"/>
        <v>0.20909090909090911</v>
      </c>
      <c r="AD81" s="3"/>
      <c r="AE81" s="3"/>
      <c r="AF81" s="126"/>
      <c r="AG81" s="126"/>
      <c r="AH81" s="126"/>
      <c r="AI81" s="126"/>
      <c r="AJ81" s="126"/>
      <c r="AK81" s="126"/>
      <c r="AL81" s="3"/>
    </row>
    <row r="82" spans="4:38" ht="13.5" thickBot="1" x14ac:dyDescent="0.25">
      <c r="E82">
        <v>4</v>
      </c>
      <c r="F82" t="s">
        <v>5</v>
      </c>
      <c r="G82" s="21">
        <f>INDEX('распределение '!$C$10:$AA$16,ПУЛЬТ!E82,ПУЛЬТ!$I$2)</f>
        <v>4100203.7285581501</v>
      </c>
      <c r="H82" s="21">
        <f>INDEX('распределение '!$C$24:$AA$30,ПУЛЬТ!E82,ПУЛЬТ!$I$2)</f>
        <v>6244798.395017691</v>
      </c>
      <c r="I82" s="21">
        <f>INDEX('распределение '!$C$99:$AA$105,ПУЛЬТ!E82,ПУЛЬТ!$I$2)</f>
        <v>5361111.0477997223</v>
      </c>
      <c r="J82" s="21">
        <f>INDEX(ObchObFinansOtr,ПУЛЬТ!E82,ПУЛЬТ!$I$2)</f>
        <v>13799523.376664173</v>
      </c>
      <c r="U82">
        <v>6</v>
      </c>
      <c r="V82" s="114">
        <f t="shared" si="16"/>
        <v>3.2611633175572918E-2</v>
      </c>
      <c r="W82" s="114">
        <f t="shared" si="16"/>
        <v>1.408073052460268E-2</v>
      </c>
      <c r="X82" s="114">
        <f t="shared" si="16"/>
        <v>1.408073052460268E-2</v>
      </c>
      <c r="Y82" s="207">
        <f t="shared" si="16"/>
        <v>5.7599999999999985E-2</v>
      </c>
      <c r="AD82" s="3"/>
      <c r="AE82" s="3"/>
      <c r="AF82" s="3"/>
      <c r="AG82" s="126"/>
      <c r="AH82" s="126"/>
      <c r="AI82" s="126"/>
      <c r="AJ82" s="126"/>
      <c r="AK82" s="126"/>
      <c r="AL82" s="3"/>
    </row>
    <row r="83" spans="4:38" ht="13.5" thickBot="1" x14ac:dyDescent="0.25">
      <c r="E83">
        <v>5</v>
      </c>
      <c r="F83" t="s">
        <v>6</v>
      </c>
      <c r="G83" s="21">
        <f>INDEX('распределение '!$C$10:$AA$16,ПУЛЬТ!E83,ПУЛЬТ!$I$2)</f>
        <v>2527772.2397059775</v>
      </c>
      <c r="H83" s="21">
        <f>INDEX('распределение '!$C$24:$AA$30,ПУЛЬТ!E83,ПУЛЬТ!$I$2)</f>
        <v>1577833.7575232035</v>
      </c>
      <c r="I83" s="21">
        <f>INDEX('распределение '!$C$99:$AA$105,ПУЛЬТ!E83,ПУЛЬТ!$I$2)</f>
        <v>2678428.8005770291</v>
      </c>
      <c r="J83" s="21">
        <f>INDEX(ObchObFinansOtr,ПУЛЬТ!E83,ПУЛЬТ!$I$2)</f>
        <v>5192392.4859980997</v>
      </c>
      <c r="U83">
        <v>7</v>
      </c>
      <c r="V83" s="208">
        <f t="shared" si="16"/>
        <v>3.3615272405599139E-2</v>
      </c>
      <c r="W83" s="208">
        <f t="shared" si="16"/>
        <v>1.2716904517186656E-2</v>
      </c>
      <c r="X83" s="208">
        <f t="shared" si="16"/>
        <v>1.2716904517186656E-2</v>
      </c>
      <c r="Y83" s="209">
        <f t="shared" si="16"/>
        <v>1.859999999999995E-2</v>
      </c>
      <c r="AD83" s="3"/>
      <c r="AG83" s="3"/>
      <c r="AH83" s="3"/>
      <c r="AI83" s="3"/>
      <c r="AJ83" s="3"/>
      <c r="AK83" s="3"/>
      <c r="AL83" s="3"/>
    </row>
    <row r="84" spans="4:38" x14ac:dyDescent="0.2">
      <c r="E84">
        <v>6</v>
      </c>
      <c r="F84" t="s">
        <v>1</v>
      </c>
      <c r="G84" s="21">
        <f>INDEX('распределение '!$C$10:$AA$16,ПУЛЬТ!E84,ПУЛЬТ!$I$2)</f>
        <v>3803035.687981457</v>
      </c>
      <c r="H84" s="21">
        <f>INDEX('распределение '!$C$24:$AA$30,ПУЛЬТ!E84,ПУЛЬТ!$I$2)</f>
        <v>994963.70007085754</v>
      </c>
      <c r="I84" s="21">
        <f>INDEX('распределение '!$C$99:$AA$105,ПУЛЬТ!E84,ПУЛЬТ!$I$2)</f>
        <v>13363055.719086943</v>
      </c>
      <c r="J84" s="21">
        <f>INDEX(ObchObFinansOtr,ПУЛЬТ!E84,ПУЛЬТ!$I$2)</f>
        <v>17593076.261988342</v>
      </c>
    </row>
    <row r="85" spans="4:38" x14ac:dyDescent="0.2">
      <c r="E85">
        <v>7</v>
      </c>
      <c r="F85" t="s">
        <v>2</v>
      </c>
      <c r="G85" s="21">
        <f>INDEX('распределение '!$C$10:$AA$16,ПУЛЬТ!E85,ПУЛЬТ!$I$2)</f>
        <v>935398.17670023418</v>
      </c>
      <c r="H85" s="21">
        <f>INDEX('распределение '!$C$24:$AA$30,ПУЛЬТ!E85,ПУЛЬТ!$I$2)</f>
        <v>1160792.6502760076</v>
      </c>
      <c r="I85" s="21">
        <f>INDEX('распределение '!$C$99:$AA$105,ПУЛЬТ!E85,ПУЛЬТ!$I$2)</f>
        <v>13534821.494994897</v>
      </c>
      <c r="J85" s="21">
        <f>INDEX(ObchObFinansOtr,ПУЛЬТ!E85,ПУЛЬТ!$I$2)</f>
        <v>15507029.609702546</v>
      </c>
      <c r="V85" s="18"/>
    </row>
    <row r="88" spans="4:38" x14ac:dyDescent="0.2">
      <c r="D88" s="25" t="s">
        <v>211</v>
      </c>
      <c r="H88" s="21">
        <f>INDEX('распределение '!C120:AA120,1,ПУЛЬТ!I2)</f>
        <v>51982952.70743037</v>
      </c>
    </row>
    <row r="89" spans="4:38" x14ac:dyDescent="0.2">
      <c r="D89" s="93" t="s">
        <v>59</v>
      </c>
      <c r="H89" s="323">
        <f>INDEX(IndUdZa,1,I2)</f>
        <v>0.16351904094601424</v>
      </c>
    </row>
    <row r="91" spans="4:38" x14ac:dyDescent="0.2">
      <c r="U91" s="163"/>
      <c r="V91" s="163"/>
      <c r="W91" s="163"/>
      <c r="X91" s="163"/>
      <c r="Y91" s="163"/>
      <c r="Z91" s="163"/>
      <c r="AA91" s="163"/>
    </row>
    <row r="92" spans="4:38" ht="18" x14ac:dyDescent="0.25">
      <c r="D92" s="316" t="s">
        <v>187</v>
      </c>
      <c r="E92" s="316"/>
      <c r="F92" s="316"/>
      <c r="G92" s="316"/>
      <c r="H92" s="316"/>
    </row>
    <row r="94" spans="4:38" x14ac:dyDescent="0.2">
      <c r="E94">
        <v>1</v>
      </c>
      <c r="F94" t="s">
        <v>36</v>
      </c>
      <c r="G94" s="21">
        <f t="shared" ref="G94:G100" si="17">INDEX(Fact_finans,E94,$I$2)</f>
        <v>43962014.639611125</v>
      </c>
    </row>
    <row r="95" spans="4:38" x14ac:dyDescent="0.2">
      <c r="E95">
        <v>2</v>
      </c>
      <c r="F95" t="s">
        <v>3</v>
      </c>
      <c r="G95" s="21">
        <f t="shared" si="17"/>
        <v>3300804.5418827776</v>
      </c>
    </row>
    <row r="96" spans="4:38" x14ac:dyDescent="0.2">
      <c r="E96">
        <v>3</v>
      </c>
      <c r="F96" t="s">
        <v>29</v>
      </c>
      <c r="G96" s="21">
        <f t="shared" si="17"/>
        <v>7519676.1052854192</v>
      </c>
    </row>
    <row r="97" spans="4:10" x14ac:dyDescent="0.2">
      <c r="E97">
        <v>4</v>
      </c>
      <c r="F97" t="s">
        <v>5</v>
      </c>
      <c r="G97" s="21">
        <f t="shared" si="17"/>
        <v>5050300.8045095205</v>
      </c>
    </row>
    <row r="98" spans="4:10" x14ac:dyDescent="0.2">
      <c r="E98">
        <v>5</v>
      </c>
      <c r="F98" t="s">
        <v>6</v>
      </c>
      <c r="G98" s="21">
        <f t="shared" si="17"/>
        <v>3336976.0730224159</v>
      </c>
    </row>
    <row r="99" spans="4:10" x14ac:dyDescent="0.2">
      <c r="E99">
        <v>6</v>
      </c>
      <c r="F99" t="s">
        <v>1</v>
      </c>
      <c r="G99" s="21">
        <f t="shared" si="17"/>
        <v>7335781.5198523905</v>
      </c>
    </row>
    <row r="100" spans="4:10" x14ac:dyDescent="0.2">
      <c r="E100">
        <v>7</v>
      </c>
      <c r="F100" t="s">
        <v>2</v>
      </c>
      <c r="G100" s="21">
        <f t="shared" si="17"/>
        <v>3486459.9897534759</v>
      </c>
    </row>
    <row r="102" spans="4:10" ht="18" x14ac:dyDescent="0.25">
      <c r="D102" s="316" t="s">
        <v>147</v>
      </c>
      <c r="E102" s="316"/>
      <c r="F102" s="316"/>
      <c r="G102" s="316"/>
    </row>
    <row r="104" spans="4:10" ht="51" x14ac:dyDescent="0.2">
      <c r="G104" s="321" t="s">
        <v>76</v>
      </c>
      <c r="H104" s="321" t="s">
        <v>53</v>
      </c>
      <c r="I104" s="326" t="s">
        <v>156</v>
      </c>
      <c r="J104" s="320" t="s">
        <v>68</v>
      </c>
    </row>
    <row r="105" spans="4:10" x14ac:dyDescent="0.2">
      <c r="E105">
        <v>1</v>
      </c>
      <c r="F105" t="s">
        <v>36</v>
      </c>
      <c r="G105" s="21">
        <f t="shared" ref="G105:G111" si="18">INDEX(Expl_zatrat_fact,E105,$I$2)</f>
        <v>15848052.103944901</v>
      </c>
      <c r="H105" s="21">
        <f t="shared" ref="H105:H111" si="19">INDEX(Opl_truda_fact,E105,$I$2)</f>
        <v>0</v>
      </c>
      <c r="I105" s="21">
        <f t="shared" ref="I105:I111" si="20">INDEX(KVL_fact,E105,$I$2)</f>
        <v>28113962.535666224</v>
      </c>
      <c r="J105" s="21">
        <f t="shared" ref="J105:J111" si="21">INDEX(VvodNewMosh,E105,$I$2)</f>
        <v>189987</v>
      </c>
    </row>
    <row r="106" spans="4:10" x14ac:dyDescent="0.2">
      <c r="E106">
        <v>2</v>
      </c>
      <c r="F106" t="s">
        <v>3</v>
      </c>
      <c r="G106" s="21">
        <f t="shared" si="18"/>
        <v>514534.52887134807</v>
      </c>
      <c r="H106" s="21">
        <f t="shared" si="19"/>
        <v>1457585.9691849097</v>
      </c>
      <c r="I106" s="21">
        <f t="shared" si="20"/>
        <v>1328684.0438265197</v>
      </c>
      <c r="J106" s="21">
        <f t="shared" si="21"/>
        <v>1149</v>
      </c>
    </row>
    <row r="107" spans="4:10" x14ac:dyDescent="0.2">
      <c r="E107">
        <v>3</v>
      </c>
      <c r="F107" t="s">
        <v>29</v>
      </c>
      <c r="G107" s="21">
        <f t="shared" si="18"/>
        <v>3386624.2565065902</v>
      </c>
      <c r="H107" s="21">
        <f t="shared" si="19"/>
        <v>2912363.3498363933</v>
      </c>
      <c r="I107" s="21">
        <f t="shared" si="20"/>
        <v>1220688.4989424362</v>
      </c>
      <c r="J107" s="21">
        <f t="shared" si="21"/>
        <v>2400</v>
      </c>
    </row>
    <row r="108" spans="4:10" x14ac:dyDescent="0.2">
      <c r="E108">
        <v>4</v>
      </c>
      <c r="F108" t="s">
        <v>5</v>
      </c>
      <c r="G108" s="21">
        <f t="shared" si="18"/>
        <v>856973.35018405365</v>
      </c>
      <c r="H108" s="21">
        <f t="shared" si="19"/>
        <v>3072815.011652946</v>
      </c>
      <c r="I108" s="21">
        <f t="shared" si="20"/>
        <v>1120512.4426725206</v>
      </c>
      <c r="J108" s="21">
        <f t="shared" si="21"/>
        <v>538</v>
      </c>
    </row>
    <row r="109" spans="4:10" x14ac:dyDescent="0.2">
      <c r="E109">
        <v>5</v>
      </c>
      <c r="F109" t="s">
        <v>6</v>
      </c>
      <c r="G109" s="21">
        <f t="shared" si="18"/>
        <v>902778.14481254783</v>
      </c>
      <c r="H109" s="21">
        <f t="shared" si="19"/>
        <v>1577833.7575232035</v>
      </c>
      <c r="I109" s="21">
        <f t="shared" si="20"/>
        <v>856364.17068666429</v>
      </c>
      <c r="J109" s="21">
        <f t="shared" si="21"/>
        <v>1235</v>
      </c>
    </row>
    <row r="110" spans="4:10" x14ac:dyDescent="0.2">
      <c r="E110">
        <v>6</v>
      </c>
      <c r="F110" t="s">
        <v>1</v>
      </c>
      <c r="G110" s="21">
        <f t="shared" si="18"/>
        <v>3641953.2269886835</v>
      </c>
      <c r="H110" s="21">
        <f t="shared" si="19"/>
        <v>994963.70007085754</v>
      </c>
      <c r="I110" s="21">
        <f t="shared" si="20"/>
        <v>2698864.5927928495</v>
      </c>
      <c r="J110" s="21">
        <f t="shared" si="21"/>
        <v>5836</v>
      </c>
    </row>
    <row r="111" spans="4:10" x14ac:dyDescent="0.2">
      <c r="E111">
        <v>7</v>
      </c>
      <c r="F111" t="s">
        <v>2</v>
      </c>
      <c r="G111" s="21">
        <f t="shared" si="18"/>
        <v>816212.52494744107</v>
      </c>
      <c r="H111" s="21">
        <f t="shared" si="19"/>
        <v>1160792.6502760076</v>
      </c>
      <c r="I111" s="21">
        <f t="shared" si="20"/>
        <v>1509454.8145300273</v>
      </c>
      <c r="J111" s="21">
        <f t="shared" si="21"/>
        <v>3264</v>
      </c>
    </row>
  </sheetData>
  <phoneticPr fontId="2" type="noConversion"/>
  <conditionalFormatting sqref="AF75:AF81 AG76:AK82 AZ63 AS50:AZ50 AZ11">
    <cfRule type="cellIs" dxfId="13" priority="27" stopIfTrue="1" operator="notEqual">
      <formula>0</formula>
    </cfRule>
  </conditionalFormatting>
  <conditionalFormatting sqref="V66:Y72">
    <cfRule type="cellIs" dxfId="12" priority="19" stopIfTrue="1" operator="lessThan">
      <formula>0.9</formula>
    </cfRule>
    <cfRule type="cellIs" dxfId="11" priority="20" stopIfTrue="1" operator="greaterThan">
      <formula>1.1</formula>
    </cfRule>
  </conditionalFormatting>
  <conditionalFormatting sqref="Y64">
    <cfRule type="cellIs" dxfId="10" priority="17" stopIfTrue="1" operator="lessThan">
      <formula>0.9</formula>
    </cfRule>
    <cfRule type="cellIs" dxfId="9" priority="18" stopIfTrue="1" operator="greaterThan">
      <formula>1</formula>
    </cfRule>
  </conditionalFormatting>
  <conditionalFormatting sqref="G78:J78 D88:D89 G104:J104">
    <cfRule type="cellIs" dxfId="8" priority="14" stopIfTrue="1" operator="lessThan">
      <formula>0</formula>
    </cfRule>
  </conditionalFormatting>
  <conditionalFormatting sqref="K5:K11">
    <cfRule type="cellIs" dxfId="7" priority="1" stopIfTrue="1" operator="equal">
      <formula>"да"</formula>
    </cfRule>
  </conditionalFormatting>
  <dataValidations count="1">
    <dataValidation allowBlank="1" showInputMessage="1" showErrorMessage="1" errorTitle="Внимание!" error="Число дожно быть &gt;9" promptTitle="Внимание!" prompt="Число в ячейке должно быть &gt;8" sqref="I2:I3 I12" xr:uid="{00000000-0002-0000-0000-000000000000}"/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2:B140"/>
  <sheetViews>
    <sheetView topLeftCell="A13" zoomScale="80" zoomScaleNormal="80" workbookViewId="0">
      <selection activeCell="A2" sqref="A2:B2"/>
    </sheetView>
  </sheetViews>
  <sheetFormatPr defaultRowHeight="12.75" x14ac:dyDescent="0.2"/>
  <sheetData>
    <row r="2" spans="1:2" x14ac:dyDescent="0.2">
      <c r="A2" s="334">
        <v>1</v>
      </c>
      <c r="B2" s="334" t="s">
        <v>176</v>
      </c>
    </row>
    <row r="4" spans="1:2" ht="15" x14ac:dyDescent="0.25">
      <c r="B4" s="344"/>
    </row>
    <row r="26" spans="1:2" ht="15" x14ac:dyDescent="0.25">
      <c r="A26" s="334">
        <v>2</v>
      </c>
      <c r="B26" s="345" t="s">
        <v>196</v>
      </c>
    </row>
    <row r="28" spans="1:2" ht="15" x14ac:dyDescent="0.25">
      <c r="B28" s="344"/>
    </row>
    <row r="49" spans="1:1" x14ac:dyDescent="0.2">
      <c r="A49" s="334" t="s">
        <v>179</v>
      </c>
    </row>
    <row r="72" spans="1:2" x14ac:dyDescent="0.2">
      <c r="A72" s="334">
        <v>4</v>
      </c>
      <c r="B72" s="334" t="s">
        <v>197</v>
      </c>
    </row>
    <row r="94" spans="1:2" x14ac:dyDescent="0.2">
      <c r="A94" s="334">
        <v>5</v>
      </c>
      <c r="B94" s="334" t="s">
        <v>198</v>
      </c>
    </row>
    <row r="117" spans="1:2" x14ac:dyDescent="0.2">
      <c r="A117" s="334">
        <v>6</v>
      </c>
      <c r="B117" s="334" t="s">
        <v>199</v>
      </c>
    </row>
    <row r="140" spans="1:2" x14ac:dyDescent="0.2">
      <c r="A140" s="334">
        <v>7</v>
      </c>
      <c r="B140" s="334" t="s">
        <v>200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3:AB39"/>
  <sheetViews>
    <sheetView zoomScale="80" zoomScaleNormal="80" workbookViewId="0">
      <selection activeCell="A39" sqref="A39"/>
    </sheetView>
  </sheetViews>
  <sheetFormatPr defaultRowHeight="12.75" x14ac:dyDescent="0.2"/>
  <cols>
    <col min="2" max="2" width="11.7109375" customWidth="1"/>
    <col min="4" max="4" width="17.7109375" customWidth="1"/>
    <col min="5" max="28" width="13.85546875" bestFit="1" customWidth="1"/>
  </cols>
  <sheetData>
    <row r="3" spans="1:28" x14ac:dyDescent="0.2">
      <c r="A3" s="334" t="s">
        <v>202</v>
      </c>
      <c r="B3" s="334"/>
      <c r="D3">
        <v>2006</v>
      </c>
      <c r="E3">
        <v>2007</v>
      </c>
      <c r="F3">
        <v>2008</v>
      </c>
      <c r="G3">
        <v>2009</v>
      </c>
      <c r="H3">
        <v>2010</v>
      </c>
      <c r="I3">
        <v>2011</v>
      </c>
      <c r="J3">
        <v>2012</v>
      </c>
      <c r="K3">
        <v>2013</v>
      </c>
      <c r="L3">
        <v>2014</v>
      </c>
      <c r="M3">
        <v>2015</v>
      </c>
      <c r="N3">
        <v>2016</v>
      </c>
      <c r="O3">
        <v>2017</v>
      </c>
      <c r="P3">
        <v>2018</v>
      </c>
      <c r="Q3">
        <v>2019</v>
      </c>
      <c r="R3">
        <v>2020</v>
      </c>
      <c r="S3">
        <v>2021</v>
      </c>
      <c r="T3">
        <v>2022</v>
      </c>
      <c r="U3">
        <v>2023</v>
      </c>
      <c r="V3">
        <v>2024</v>
      </c>
      <c r="W3">
        <v>2025</v>
      </c>
      <c r="X3">
        <v>2026</v>
      </c>
      <c r="Y3">
        <v>2027</v>
      </c>
      <c r="Z3">
        <v>2028</v>
      </c>
      <c r="AA3">
        <v>2029</v>
      </c>
      <c r="AB3">
        <v>2030</v>
      </c>
    </row>
    <row r="4" spans="1:28" x14ac:dyDescent="0.2">
      <c r="B4" s="346" t="s">
        <v>210</v>
      </c>
      <c r="C4">
        <v>1</v>
      </c>
      <c r="D4" s="21">
        <f>'распределение '!C700*0.001</f>
        <v>132.947</v>
      </c>
      <c r="E4" s="21">
        <f>'распределение '!D700*0.001</f>
        <v>173.80799999999999</v>
      </c>
      <c r="F4" s="21">
        <f>'распределение '!E700*0.001</f>
        <v>194.47400000000002</v>
      </c>
      <c r="G4" s="21">
        <f>'распределение '!F700*0.001</f>
        <v>190.61600000000001</v>
      </c>
      <c r="H4" s="21">
        <f>'распределение '!G700*0.001</f>
        <v>195.14500000000001</v>
      </c>
      <c r="I4" s="21">
        <f>'распределение '!H700*0.001</f>
        <v>175.90600000000001</v>
      </c>
      <c r="J4" s="21">
        <f>'распределение '!I700*0.001</f>
        <v>213.89400000000001</v>
      </c>
      <c r="K4" s="21">
        <f>'распределение '!J700*0.001</f>
        <v>190.14099999999999</v>
      </c>
      <c r="L4" s="21">
        <f>'распределение '!K700*0.001</f>
        <v>126.081</v>
      </c>
      <c r="M4" s="21">
        <f>'распределение '!L700*0.001</f>
        <v>167.37100000000001</v>
      </c>
      <c r="N4" s="21">
        <f>'распределение '!M700*0.001</f>
        <v>182.10599999999999</v>
      </c>
      <c r="O4" s="21">
        <f>'распределение '!N700*0.001</f>
        <v>189.98699999999999</v>
      </c>
      <c r="P4" s="21">
        <f>'распределение '!O700*0.001</f>
        <v>258.19299999999998</v>
      </c>
      <c r="Q4" s="21">
        <f>'распределение '!P700*0.001</f>
        <v>376.72899999999998</v>
      </c>
      <c r="R4" s="21">
        <f>'распределение '!Q700*0.001</f>
        <v>428.18600000000004</v>
      </c>
      <c r="S4" s="21">
        <f>'распределение '!R700*0.001</f>
        <v>355.29599999999999</v>
      </c>
      <c r="T4" s="21">
        <f>'распределение '!S700*0.001</f>
        <v>280.43099999999998</v>
      </c>
      <c r="U4" s="21">
        <f>'распределение '!T700*0.001</f>
        <v>235.01599999999999</v>
      </c>
      <c r="V4" s="21">
        <f>'распределение '!U700*0.001</f>
        <v>225.02100000000002</v>
      </c>
      <c r="W4" s="21">
        <f>'распределение '!V700*0.001</f>
        <v>225.90800000000002</v>
      </c>
      <c r="X4" s="21">
        <f>'распределение '!W700*0.001</f>
        <v>292.20100000000002</v>
      </c>
      <c r="Y4" s="21">
        <f>'распределение '!X700*0.001</f>
        <v>369.54200000000003</v>
      </c>
      <c r="Z4" s="21">
        <f>'распределение '!Y700*0.001</f>
        <v>486.98900000000003</v>
      </c>
      <c r="AA4" s="21">
        <f>'распределение '!Z700*0.001</f>
        <v>537.13900000000001</v>
      </c>
      <c r="AB4" s="21">
        <f>'распределение '!AA700*0.001</f>
        <v>351.779</v>
      </c>
    </row>
    <row r="5" spans="1:28" x14ac:dyDescent="0.2">
      <c r="B5" s="346" t="s">
        <v>206</v>
      </c>
      <c r="C5">
        <v>2</v>
      </c>
      <c r="D5" s="21">
        <f>'распределение '!C701</f>
        <v>2999</v>
      </c>
      <c r="E5" s="21">
        <f>'распределение '!D701</f>
        <v>1965</v>
      </c>
      <c r="F5" s="21">
        <f>'распределение '!E701</f>
        <v>977</v>
      </c>
      <c r="G5" s="21">
        <f>'распределение '!F701</f>
        <v>723</v>
      </c>
      <c r="H5" s="21">
        <f>'распределение '!G701</f>
        <v>755</v>
      </c>
      <c r="I5" s="21">
        <f>'распределение '!H701</f>
        <v>1212</v>
      </c>
      <c r="J5" s="21">
        <f>'распределение '!I701</f>
        <v>2227</v>
      </c>
      <c r="K5" s="21">
        <f>'распределение '!J701</f>
        <v>2947</v>
      </c>
      <c r="L5" s="21">
        <f>'распределение '!K701</f>
        <v>1029</v>
      </c>
      <c r="M5" s="21">
        <f>'распределение '!L701</f>
        <v>1211</v>
      </c>
      <c r="N5" s="21">
        <f>'распределение '!M701</f>
        <v>1190</v>
      </c>
      <c r="O5" s="21">
        <f>'распределение '!N701</f>
        <v>1149</v>
      </c>
      <c r="P5" s="21">
        <f>'распределение '!O701</f>
        <v>245</v>
      </c>
      <c r="Q5" s="21">
        <f>'распределение '!P701</f>
        <v>795</v>
      </c>
      <c r="R5" s="21">
        <f>'распределение '!Q701</f>
        <v>1189</v>
      </c>
      <c r="S5" s="21">
        <f>'распределение '!R701</f>
        <v>839</v>
      </c>
      <c r="T5" s="21">
        <f>'распределение '!S701</f>
        <v>693</v>
      </c>
      <c r="U5" s="21">
        <f>'распределение '!T701</f>
        <v>487</v>
      </c>
      <c r="V5" s="21">
        <f>'распределение '!U701</f>
        <v>635</v>
      </c>
      <c r="W5" s="21">
        <f>'распределение '!V701</f>
        <v>858</v>
      </c>
      <c r="X5" s="21">
        <f>'распределение '!W701</f>
        <v>0</v>
      </c>
      <c r="Y5" s="21">
        <f>'распределение '!X701</f>
        <v>0</v>
      </c>
      <c r="Z5" s="21">
        <f>'распределение '!Y701</f>
        <v>0</v>
      </c>
      <c r="AA5" s="21">
        <f>'распределение '!Z701</f>
        <v>0</v>
      </c>
      <c r="AB5" s="21">
        <f>'распределение '!AA701</f>
        <v>0</v>
      </c>
    </row>
    <row r="6" spans="1:28" x14ac:dyDescent="0.2">
      <c r="B6" s="346" t="s">
        <v>206</v>
      </c>
      <c r="C6">
        <v>3</v>
      </c>
      <c r="D6" s="21">
        <f>'распределение '!C702</f>
        <v>1842</v>
      </c>
      <c r="E6" s="21">
        <f>'распределение '!D702</f>
        <v>1813</v>
      </c>
      <c r="F6" s="21">
        <f>'распределение '!E702</f>
        <v>444</v>
      </c>
      <c r="G6" s="21">
        <f>'распределение '!F702</f>
        <v>744</v>
      </c>
      <c r="H6" s="21">
        <f>'распределение '!G702</f>
        <v>1397</v>
      </c>
      <c r="I6" s="21">
        <f>'распределение '!H702</f>
        <v>0</v>
      </c>
      <c r="J6" s="21">
        <f>'распределение '!I702</f>
        <v>164</v>
      </c>
      <c r="K6" s="21">
        <f>'распределение '!J702</f>
        <v>826</v>
      </c>
      <c r="L6" s="21">
        <f>'распределение '!K702</f>
        <v>3083</v>
      </c>
      <c r="M6" s="21">
        <f>'распределение '!L702</f>
        <v>2508</v>
      </c>
      <c r="N6" s="21">
        <f>'распределение '!M702</f>
        <v>2376</v>
      </c>
      <c r="O6" s="21">
        <f>'распределение '!N702</f>
        <v>2400</v>
      </c>
      <c r="P6" s="21">
        <f>'распределение '!O702</f>
        <v>3328</v>
      </c>
      <c r="Q6" s="21">
        <f>'распределение '!P702</f>
        <v>5141</v>
      </c>
      <c r="R6" s="21">
        <f>'распределение '!Q702</f>
        <v>5996</v>
      </c>
      <c r="S6" s="21">
        <f>'распределение '!R702</f>
        <v>5255</v>
      </c>
      <c r="T6" s="21">
        <f>'распределение '!S702</f>
        <v>4064</v>
      </c>
      <c r="U6" s="21">
        <f>'распределение '!T702</f>
        <v>3457</v>
      </c>
      <c r="V6" s="21">
        <f>'распределение '!U702</f>
        <v>3077</v>
      </c>
      <c r="W6" s="21">
        <f>'распределение '!V702</f>
        <v>2356</v>
      </c>
      <c r="X6" s="21">
        <f>'распределение '!W702</f>
        <v>1529</v>
      </c>
      <c r="Y6" s="21">
        <f>'распределение '!X702</f>
        <v>2326</v>
      </c>
      <c r="Z6" s="21">
        <f>'распределение '!Y702</f>
        <v>2890</v>
      </c>
      <c r="AA6" s="21">
        <f>'распределение '!Z702</f>
        <v>2726</v>
      </c>
      <c r="AB6" s="21">
        <f>'распределение '!AA702</f>
        <v>3500</v>
      </c>
    </row>
    <row r="7" spans="1:28" x14ac:dyDescent="0.2">
      <c r="B7" s="346" t="s">
        <v>207</v>
      </c>
      <c r="C7">
        <v>4</v>
      </c>
      <c r="D7" s="21">
        <f>'распределение '!C703</f>
        <v>100</v>
      </c>
      <c r="E7" s="21">
        <f>'распределение '!D703</f>
        <v>0</v>
      </c>
      <c r="F7" s="21">
        <f>'распределение '!E703</f>
        <v>0</v>
      </c>
      <c r="G7" s="21">
        <f>'распределение '!F703</f>
        <v>65</v>
      </c>
      <c r="H7" s="21">
        <f>'распределение '!G703</f>
        <v>48</v>
      </c>
      <c r="I7" s="21">
        <f>'распределение '!H703</f>
        <v>471</v>
      </c>
      <c r="J7" s="21">
        <f>'распределение '!I703</f>
        <v>1091</v>
      </c>
      <c r="K7" s="21">
        <f>'распределение '!J703</f>
        <v>967</v>
      </c>
      <c r="L7" s="21">
        <f>'распределение '!K703</f>
        <v>597</v>
      </c>
      <c r="M7" s="21">
        <f>'распределение '!L703</f>
        <v>463</v>
      </c>
      <c r="N7" s="21">
        <f>'распределение '!M703</f>
        <v>889</v>
      </c>
      <c r="O7" s="21">
        <f>'распределение '!N703</f>
        <v>538</v>
      </c>
      <c r="P7" s="21">
        <f>'распределение '!O703</f>
        <v>630</v>
      </c>
      <c r="Q7" s="21">
        <f>'распределение '!P703</f>
        <v>1019</v>
      </c>
      <c r="R7" s="21">
        <f>'распределение '!Q703</f>
        <v>2755</v>
      </c>
      <c r="S7" s="21">
        <f>'распределение '!R703</f>
        <v>343</v>
      </c>
      <c r="T7" s="21">
        <f>'распределение '!S703</f>
        <v>1218</v>
      </c>
      <c r="U7" s="21">
        <f>'распределение '!T703</f>
        <v>437</v>
      </c>
      <c r="V7" s="21">
        <f>'распределение '!U703</f>
        <v>988</v>
      </c>
      <c r="W7" s="21">
        <f>'распределение '!V703</f>
        <v>598</v>
      </c>
      <c r="X7" s="21">
        <f>'распределение '!W703</f>
        <v>1893</v>
      </c>
      <c r="Y7" s="21">
        <f>'распределение '!X703</f>
        <v>854</v>
      </c>
      <c r="Z7" s="21">
        <f>'распределение '!Y703</f>
        <v>836</v>
      </c>
      <c r="AA7" s="21">
        <f>'распределение '!Z703</f>
        <v>965</v>
      </c>
      <c r="AB7" s="21">
        <f>'распределение '!AA703</f>
        <v>930</v>
      </c>
    </row>
    <row r="8" spans="1:28" x14ac:dyDescent="0.2">
      <c r="B8" s="346" t="s">
        <v>208</v>
      </c>
      <c r="C8">
        <v>5</v>
      </c>
      <c r="D8" s="21">
        <f>'распределение '!C704</f>
        <v>1492</v>
      </c>
      <c r="E8" s="21">
        <f>'распределение '!D704</f>
        <v>1459</v>
      </c>
      <c r="F8" s="21">
        <f>'распределение '!E704</f>
        <v>972</v>
      </c>
      <c r="G8" s="21">
        <f>'распределение '!F704</f>
        <v>646</v>
      </c>
      <c r="H8" s="21">
        <f>'распределение '!G704</f>
        <v>1061</v>
      </c>
      <c r="I8" s="21">
        <f>'распределение '!H704</f>
        <v>70</v>
      </c>
      <c r="J8" s="21">
        <f>'распределение '!I704</f>
        <v>0</v>
      </c>
      <c r="K8" s="21">
        <f>'распределение '!J704</f>
        <v>37</v>
      </c>
      <c r="L8" s="21">
        <f>'распределение '!K704</f>
        <v>1112</v>
      </c>
      <c r="M8" s="21">
        <f>'распределение '!L704</f>
        <v>1139</v>
      </c>
      <c r="N8" s="21">
        <f>'распределение '!M704</f>
        <v>1184</v>
      </c>
      <c r="O8" s="21">
        <f>'распределение '!N704</f>
        <v>1235</v>
      </c>
      <c r="P8" s="21">
        <f>'распределение '!O704</f>
        <v>119</v>
      </c>
      <c r="Q8" s="21">
        <f>'распределение '!P704</f>
        <v>961</v>
      </c>
      <c r="R8" s="21">
        <f>'распределение '!Q704</f>
        <v>1845</v>
      </c>
      <c r="S8" s="21">
        <f>'распределение '!R704</f>
        <v>1304</v>
      </c>
      <c r="T8" s="21">
        <f>'распределение '!S704</f>
        <v>1143</v>
      </c>
      <c r="U8" s="21">
        <f>'распределение '!T704</f>
        <v>1115</v>
      </c>
      <c r="V8" s="21">
        <f>'распределение '!U704</f>
        <v>1166</v>
      </c>
      <c r="W8" s="21">
        <f>'распределение '!V704</f>
        <v>1168</v>
      </c>
      <c r="X8" s="21">
        <f>'распределение '!W704</f>
        <v>2013</v>
      </c>
      <c r="Y8" s="21">
        <f>'распределение '!X704</f>
        <v>1469</v>
      </c>
      <c r="Z8" s="21">
        <f>'распределение '!Y704</f>
        <v>1298</v>
      </c>
      <c r="AA8" s="21">
        <f>'распределение '!Z704</f>
        <v>1508</v>
      </c>
      <c r="AB8" s="21">
        <f>'распределение '!AA704</f>
        <v>1451</v>
      </c>
    </row>
    <row r="9" spans="1:28" x14ac:dyDescent="0.2">
      <c r="B9" s="346" t="s">
        <v>205</v>
      </c>
      <c r="C9">
        <v>6</v>
      </c>
      <c r="D9" s="21">
        <f>'распределение '!C705</f>
        <v>3980</v>
      </c>
      <c r="E9" s="21">
        <f>'распределение '!D705</f>
        <v>3535</v>
      </c>
      <c r="F9" s="21">
        <f>'распределение '!E705</f>
        <v>1944</v>
      </c>
      <c r="G9" s="21">
        <f>'распределение '!F705</f>
        <v>3437</v>
      </c>
      <c r="H9" s="21">
        <f>'распределение '!G705</f>
        <v>6966</v>
      </c>
      <c r="I9" s="21">
        <f>'распределение '!H705</f>
        <v>7294</v>
      </c>
      <c r="J9" s="21">
        <f>'распределение '!I705</f>
        <v>7846</v>
      </c>
      <c r="K9" s="21">
        <f>'распределение '!J705</f>
        <v>4662</v>
      </c>
      <c r="L9" s="21">
        <f>'распределение '!K705</f>
        <v>2597</v>
      </c>
      <c r="M9" s="21">
        <f>'распределение '!L705</f>
        <v>7493</v>
      </c>
      <c r="N9" s="21">
        <f>'распределение '!M705</f>
        <v>2948</v>
      </c>
      <c r="O9" s="21">
        <f>'распределение '!N705</f>
        <v>5836</v>
      </c>
      <c r="P9" s="21">
        <f>'распределение '!O705</f>
        <v>4976</v>
      </c>
      <c r="Q9" s="21">
        <f>'распределение '!P705</f>
        <v>24481</v>
      </c>
      <c r="R9" s="21">
        <f>'распределение '!Q705</f>
        <v>4472</v>
      </c>
      <c r="S9" s="21">
        <f>'распределение '!R705</f>
        <v>19191</v>
      </c>
      <c r="T9" s="21">
        <f>'распределение '!S705</f>
        <v>2023</v>
      </c>
      <c r="U9" s="21">
        <f>'распределение '!T705</f>
        <v>4145</v>
      </c>
      <c r="V9" s="21">
        <f>'распределение '!U705</f>
        <v>4650</v>
      </c>
      <c r="W9" s="21">
        <f>'распределение '!V705</f>
        <v>17726</v>
      </c>
      <c r="X9" s="21">
        <f>'распределение '!W705</f>
        <v>2767</v>
      </c>
      <c r="Y9" s="21">
        <f>'распределение '!X705</f>
        <v>14387</v>
      </c>
      <c r="Z9" s="21">
        <f>'распределение '!Y705</f>
        <v>7880</v>
      </c>
      <c r="AA9" s="21">
        <f>'распределение '!Z705</f>
        <v>9096</v>
      </c>
      <c r="AB9" s="21">
        <f>'распределение '!AA705</f>
        <v>8818</v>
      </c>
    </row>
    <row r="10" spans="1:28" x14ac:dyDescent="0.2">
      <c r="B10" s="346" t="s">
        <v>209</v>
      </c>
      <c r="C10">
        <v>7</v>
      </c>
      <c r="D10" s="21">
        <f>'распределение '!C706</f>
        <v>3980</v>
      </c>
      <c r="E10" s="21">
        <f>'распределение '!D706</f>
        <v>285</v>
      </c>
      <c r="F10" s="21">
        <f>'распределение '!E706</f>
        <v>993</v>
      </c>
      <c r="G10" s="21">
        <f>'распределение '!F706</f>
        <v>7472</v>
      </c>
      <c r="H10" s="21">
        <f>'распределение '!G706</f>
        <v>7969</v>
      </c>
      <c r="I10" s="21">
        <f>'распределение '!H706</f>
        <v>7405</v>
      </c>
      <c r="J10" s="21">
        <f>'распределение '!I706</f>
        <v>7634</v>
      </c>
      <c r="K10" s="21">
        <f>'распределение '!J706</f>
        <v>9764</v>
      </c>
      <c r="L10" s="21">
        <f>'распределение '!K706</f>
        <v>2874</v>
      </c>
      <c r="M10" s="21">
        <f>'распределение '!L706</f>
        <v>3251</v>
      </c>
      <c r="N10" s="21">
        <f>'распределение '!M706</f>
        <v>3174</v>
      </c>
      <c r="O10" s="21">
        <f>'распределение '!N706</f>
        <v>3264</v>
      </c>
      <c r="P10" s="21">
        <f>'распределение '!O706</f>
        <v>18022</v>
      </c>
      <c r="Q10" s="21">
        <f>'распределение '!P706</f>
        <v>7756</v>
      </c>
      <c r="R10" s="21">
        <f>'распределение '!Q706</f>
        <v>16266</v>
      </c>
      <c r="S10" s="21">
        <f>'распределение '!R706</f>
        <v>5586</v>
      </c>
      <c r="T10" s="21">
        <f>'распределение '!S706</f>
        <v>6162</v>
      </c>
      <c r="U10" s="21">
        <f>'распределение '!T706</f>
        <v>14470</v>
      </c>
      <c r="V10" s="21">
        <f>'распределение '!U706</f>
        <v>1720</v>
      </c>
      <c r="W10" s="21">
        <f>'распределение '!V706</f>
        <v>5126</v>
      </c>
      <c r="X10" s="21">
        <f>'распределение '!W706</f>
        <v>11341</v>
      </c>
      <c r="Y10" s="21">
        <f>'распределение '!X706</f>
        <v>9902</v>
      </c>
      <c r="Z10" s="21">
        <f>'распределение '!Y706</f>
        <v>7534</v>
      </c>
      <c r="AA10" s="21">
        <f>'распределение '!Z706</f>
        <v>8800</v>
      </c>
      <c r="AB10" s="21">
        <f>'распределение '!AA706</f>
        <v>8490</v>
      </c>
    </row>
    <row r="12" spans="1:28" x14ac:dyDescent="0.2">
      <c r="A12" s="334" t="s">
        <v>201</v>
      </c>
    </row>
    <row r="14" spans="1:28" x14ac:dyDescent="0.2">
      <c r="A14" s="84"/>
      <c r="B14" s="84"/>
      <c r="D14">
        <v>2006</v>
      </c>
      <c r="E14">
        <v>2007</v>
      </c>
      <c r="F14">
        <v>2008</v>
      </c>
      <c r="G14">
        <v>2009</v>
      </c>
      <c r="H14">
        <v>2010</v>
      </c>
      <c r="I14">
        <v>2011</v>
      </c>
      <c r="J14">
        <v>2012</v>
      </c>
      <c r="K14">
        <v>2013</v>
      </c>
      <c r="L14">
        <v>2014</v>
      </c>
      <c r="M14">
        <v>2015</v>
      </c>
      <c r="N14">
        <v>2016</v>
      </c>
      <c r="O14">
        <v>2017</v>
      </c>
      <c r="P14">
        <v>2018</v>
      </c>
      <c r="Q14">
        <v>2019</v>
      </c>
      <c r="R14">
        <v>2020</v>
      </c>
      <c r="S14">
        <v>2021</v>
      </c>
      <c r="T14">
        <v>2022</v>
      </c>
      <c r="U14">
        <v>2023</v>
      </c>
      <c r="V14">
        <v>2024</v>
      </c>
      <c r="W14">
        <v>2025</v>
      </c>
      <c r="X14">
        <v>2026</v>
      </c>
      <c r="Y14">
        <v>2027</v>
      </c>
      <c r="Z14">
        <v>2028</v>
      </c>
      <c r="AA14">
        <v>2029</v>
      </c>
      <c r="AB14">
        <v>2030</v>
      </c>
    </row>
    <row r="15" spans="1:28" x14ac:dyDescent="0.2">
      <c r="B15" s="347" t="s">
        <v>210</v>
      </c>
      <c r="C15">
        <v>1</v>
      </c>
      <c r="D15">
        <f>'распределение '!C38*0.001</f>
        <v>21169</v>
      </c>
      <c r="E15">
        <f>'распределение '!D38*0.001</f>
        <v>21241.429</v>
      </c>
      <c r="F15">
        <f>'распределение '!E38*0.001</f>
        <v>21387.661283999998</v>
      </c>
      <c r="G15">
        <f>'распределение '!F38*0.001</f>
        <v>21475.591993728001</v>
      </c>
      <c r="H15">
        <f>'распределение '!G38*0.001</f>
        <v>21531.01307379072</v>
      </c>
      <c r="I15">
        <f>'распределение '!H38*0.001</f>
        <v>21652.238982274186</v>
      </c>
      <c r="J15">
        <f>'распределение '!I38*0.001</f>
        <v>21822.583787362815</v>
      </c>
      <c r="K15">
        <f>'распределение '!J38*0.001</f>
        <v>21812.319606017238</v>
      </c>
      <c r="L15">
        <f>'распределение '!K38*0.001</f>
        <v>22005.299007987152</v>
      </c>
      <c r="M15">
        <f>'распределение '!L38*0.001</f>
        <v>22012.778153153868</v>
      </c>
      <c r="N15">
        <f>'распределение '!M38*0.001</f>
        <v>21982.628814292573</v>
      </c>
      <c r="O15">
        <f>'распределение '!N38*0.001</f>
        <v>21930.328739728644</v>
      </c>
      <c r="P15">
        <f>'распределение '!O38*0.001</f>
        <v>21870.370325704218</v>
      </c>
      <c r="Q15">
        <f>'распределение '!P38*0.001</f>
        <v>22268.564936621231</v>
      </c>
      <c r="R15">
        <f>'распределение '!Q38*0.001</f>
        <v>22652.723192067246</v>
      </c>
      <c r="S15">
        <f>'распределение '!R38*0.001</f>
        <v>23022.303254680355</v>
      </c>
      <c r="T15">
        <f>'распределение '!S38*0.001</f>
        <v>23226.165347984857</v>
      </c>
      <c r="U15">
        <f>'распределение '!T38*0.001</f>
        <v>23392.321590453928</v>
      </c>
      <c r="V15">
        <f>'распределение '!U38*0.001</f>
        <v>23467.658610891885</v>
      </c>
      <c r="W15">
        <f>'распределение '!V38*0.001</f>
        <v>23525.364526774381</v>
      </c>
      <c r="X15">
        <f>'распределение '!W38*0.001</f>
        <v>23578.010479549528</v>
      </c>
      <c r="Y15">
        <f>'распределение '!X38*0.001</f>
        <v>23699.773137530676</v>
      </c>
      <c r="Z15">
        <f>'распределение '!Y38*0.001</f>
        <v>23927.116136268112</v>
      </c>
      <c r="AA15">
        <f>'распределение '!Z38*0.001</f>
        <v>24226.400943038341</v>
      </c>
      <c r="AB15">
        <f>'распределение '!AA38*0.001</f>
        <v>24616.620846448044</v>
      </c>
    </row>
    <row r="16" spans="1:28" x14ac:dyDescent="0.2">
      <c r="B16" s="347" t="s">
        <v>206</v>
      </c>
      <c r="C16">
        <v>2</v>
      </c>
      <c r="D16" s="21">
        <f>'распределение '!C39</f>
        <v>40900</v>
      </c>
      <c r="E16" s="21">
        <f>'распределение '!D39</f>
        <v>43540</v>
      </c>
      <c r="F16" s="21">
        <f>'распределение '!E39</f>
        <v>45250.22</v>
      </c>
      <c r="G16" s="21">
        <f>'распределение '!F39</f>
        <v>45824.717800000006</v>
      </c>
      <c r="H16" s="21">
        <f>'распределение '!G39</f>
        <v>46506.068364400009</v>
      </c>
      <c r="I16" s="21">
        <f>'распределение '!H39</f>
        <v>47218.056227671208</v>
      </c>
      <c r="J16" s="21">
        <f>'распределение '!I39</f>
        <v>48432.838171443538</v>
      </c>
      <c r="K16" s="21">
        <f>'распределение '!J39</f>
        <v>50661.405333272101</v>
      </c>
      <c r="L16" s="21">
        <f>'распределение '!K39</f>
        <v>53151.791279939374</v>
      </c>
      <c r="M16" s="21">
        <f>'распределение '!L39</f>
        <v>53137.276715701468</v>
      </c>
      <c r="N16" s="21">
        <f>'распределение '!M39</f>
        <v>53264.699283755705</v>
      </c>
      <c r="O16" s="21">
        <f>'распределение '!N39</f>
        <v>53333.614571249716</v>
      </c>
      <c r="P16" s="21">
        <f>'распределение '!O39</f>
        <v>53338.358272223653</v>
      </c>
      <c r="Q16" s="21">
        <f>'распределение '!P39</f>
        <v>52480.300542143275</v>
      </c>
      <c r="R16" s="21">
        <f>'распределение '!Q39</f>
        <v>52303.670890303394</v>
      </c>
      <c r="S16" s="21">
        <f>'распределение '!R39</f>
        <v>52656.234340862924</v>
      </c>
      <c r="T16" s="21">
        <f>'распределение '!S39</f>
        <v>52749.074074229153</v>
      </c>
      <c r="U16" s="21">
        <f>'распределение '!T39</f>
        <v>52562.765432287168</v>
      </c>
      <c r="V16" s="21">
        <f>'распределение '!U39</f>
        <v>52206.144427509935</v>
      </c>
      <c r="W16" s="21">
        <f>'распределение '!V39</f>
        <v>51942.024129554418</v>
      </c>
      <c r="X16" s="21">
        <f>'распределение '!W39</f>
        <v>52038.91918815946</v>
      </c>
      <c r="Y16" s="21">
        <f>'распределение '!X39</f>
        <v>51510.34426123491</v>
      </c>
      <c r="Z16" s="21">
        <f>'распределение '!Y39</f>
        <v>50667.706809746385</v>
      </c>
      <c r="AA16" s="21">
        <f>'распределение '!Z39</f>
        <v>49768.741507456645</v>
      </c>
      <c r="AB16" s="21">
        <f>'распределение '!AA39</f>
        <v>48970.474781308287</v>
      </c>
    </row>
    <row r="17" spans="1:28" x14ac:dyDescent="0.2">
      <c r="B17" s="347" t="s">
        <v>206</v>
      </c>
      <c r="C17">
        <v>3</v>
      </c>
      <c r="D17" s="21">
        <f>'распределение '!C40</f>
        <v>198878</v>
      </c>
      <c r="E17" s="21">
        <f>'распределение '!D40</f>
        <v>190776.1</v>
      </c>
      <c r="F17" s="21">
        <f>'распределение '!E40</f>
        <v>184004.17550000001</v>
      </c>
      <c r="G17" s="21">
        <f>'распределение '!F40</f>
        <v>180768.09199000002</v>
      </c>
      <c r="H17" s="21">
        <f>'распределение '!G40</f>
        <v>176089.04923030001</v>
      </c>
      <c r="I17" s="21">
        <f>'распределение '!H40</f>
        <v>175725.158737997</v>
      </c>
      <c r="J17" s="21">
        <f>'распределение '!I40</f>
        <v>170577.06431802158</v>
      </c>
      <c r="K17" s="21">
        <f>'распределение '!J40</f>
        <v>162674.03403626775</v>
      </c>
      <c r="L17" s="21">
        <f>'распределение '!K40</f>
        <v>150886.75312784433</v>
      </c>
      <c r="M17" s="21">
        <f>'распределение '!L40</f>
        <v>150925.66090898652</v>
      </c>
      <c r="N17" s="21">
        <f>'распределение '!M40</f>
        <v>150217.2689171964</v>
      </c>
      <c r="O17" s="21">
        <f>'распределение '!N40</f>
        <v>149298.79996813563</v>
      </c>
      <c r="P17" s="21">
        <f>'распределение '!O40</f>
        <v>148370.69382483599</v>
      </c>
      <c r="Q17" s="21">
        <f>'распределение '!P40</f>
        <v>148521.71991048308</v>
      </c>
      <c r="R17" s="21">
        <f>'распределение '!Q40</f>
        <v>150662.02598673329</v>
      </c>
      <c r="S17" s="21">
        <f>'распределение '!R40</f>
        <v>153782.11997964108</v>
      </c>
      <c r="T17" s="21">
        <f>'распределение '!S40</f>
        <v>156140.49946058518</v>
      </c>
      <c r="U17" s="21">
        <f>'распределение '!T40</f>
        <v>157127.33702903311</v>
      </c>
      <c r="V17" s="21">
        <f>'распределение '!U40</f>
        <v>157452.01245589936</v>
      </c>
      <c r="W17" s="21">
        <f>'распределение '!V40</f>
        <v>157422.07902383653</v>
      </c>
      <c r="X17" s="21">
        <f>'распределение '!W40</f>
        <v>156756.73845112318</v>
      </c>
      <c r="Y17" s="21">
        <f>'распределение '!X40</f>
        <v>155417.14506170229</v>
      </c>
      <c r="Z17" s="21">
        <f>'распределение '!Y40</f>
        <v>155136.03705944936</v>
      </c>
      <c r="AA17" s="21">
        <f>'распределение '!Z40</f>
        <v>155855.15180047657</v>
      </c>
      <c r="AB17" s="21">
        <f>'распределение '!AA40</f>
        <v>156654.98469078451</v>
      </c>
    </row>
    <row r="18" spans="1:28" x14ac:dyDescent="0.2">
      <c r="B18" s="347" t="s">
        <v>207</v>
      </c>
      <c r="C18">
        <v>4</v>
      </c>
      <c r="D18" s="21">
        <f>'распределение '!C41</f>
        <v>15560</v>
      </c>
      <c r="E18" s="21">
        <f>'распределение '!D41</f>
        <v>15602.620564798397</v>
      </c>
      <c r="F18" s="21">
        <f>'распределение '!E41</f>
        <v>14376.397816790533</v>
      </c>
      <c r="G18" s="21">
        <f>'распределение '!F41</f>
        <v>13297.077304789347</v>
      </c>
      <c r="H18" s="21">
        <f>'распределение '!G41</f>
        <v>12930.194212597775</v>
      </c>
      <c r="I18" s="21">
        <f>'распределение '!H41</f>
        <v>12431.684501967888</v>
      </c>
      <c r="J18" s="21">
        <f>'распределение '!I41</f>
        <v>12381.100276869494</v>
      </c>
      <c r="K18" s="21">
        <f>'распределение '!J41</f>
        <v>12333.990249182545</v>
      </c>
      <c r="L18" s="21">
        <f>'распределение '!K41</f>
        <v>13277.65034669072</v>
      </c>
      <c r="M18" s="21">
        <f>'распределение '!L41</f>
        <v>13783.041782871485</v>
      </c>
      <c r="N18" s="21">
        <f>'распределение '!M41</f>
        <v>14060.04915220875</v>
      </c>
      <c r="O18" s="21">
        <f>'распределение '!N41</f>
        <v>14777.706086916298</v>
      </c>
      <c r="P18" s="21">
        <f>'распределение '!O41</f>
        <v>15092.593206865935</v>
      </c>
      <c r="Q18" s="21">
        <f>'распределение '!P41</f>
        <v>15510.984839225421</v>
      </c>
      <c r="R18" s="21">
        <f>'распределение '!Q41</f>
        <v>16324.882202487845</v>
      </c>
      <c r="S18" s="21">
        <f>'распределение '!R41</f>
        <v>19014.633380462965</v>
      </c>
      <c r="T18" s="21">
        <f>'распределение '!S41</f>
        <v>19089.888720913928</v>
      </c>
      <c r="U18" s="21">
        <f>'распределение '!T41</f>
        <v>20173.989833704789</v>
      </c>
      <c r="V18" s="21">
        <f>'распределение '!U41</f>
        <v>20314.354855932383</v>
      </c>
      <c r="W18" s="21">
        <f>'распределение '!V41</f>
        <v>21154.362752393445</v>
      </c>
      <c r="X18" s="21">
        <f>'распределение '!W41</f>
        <v>21458.689368359155</v>
      </c>
      <c r="Y18" s="21">
        <f>'распределение '!X41</f>
        <v>23247.102474675565</v>
      </c>
      <c r="Z18" s="21">
        <f>'распределение '!Y41</f>
        <v>23980.631449928809</v>
      </c>
      <c r="AA18" s="21">
        <f>'распределение '!Z41</f>
        <v>24688.825135429521</v>
      </c>
      <c r="AB18" s="21">
        <f>'распределение '!AA41</f>
        <v>25518.936884075229</v>
      </c>
    </row>
    <row r="19" spans="1:28" x14ac:dyDescent="0.2">
      <c r="B19" s="347" t="s">
        <v>208</v>
      </c>
      <c r="C19">
        <v>5</v>
      </c>
      <c r="D19" s="21">
        <f>'распределение '!C42</f>
        <v>25612</v>
      </c>
      <c r="E19" s="21">
        <f>'распределение '!D42</f>
        <v>26821.043999999998</v>
      </c>
      <c r="F19" s="21">
        <f>'распределение '!E42</f>
        <v>28289.812433999996</v>
      </c>
      <c r="G19" s="21">
        <f>'распределение '!F42</f>
        <v>27048.627439279993</v>
      </c>
      <c r="H19" s="21">
        <f>'распределение '!G42</f>
        <v>27474.141164887194</v>
      </c>
      <c r="I19" s="21">
        <f>'распределение '!H42</f>
        <v>28447.770459062762</v>
      </c>
      <c r="J19" s="21">
        <f>'распределение '!I42</f>
        <v>28420.559879032771</v>
      </c>
      <c r="K19" s="21">
        <f>'распределение '!J42</f>
        <v>27049.531885081135</v>
      </c>
      <c r="L19" s="21">
        <f>'распределение '!K42</f>
        <v>26480.729692581252</v>
      </c>
      <c r="M19" s="21">
        <f>'распределение '!L42</f>
        <v>27302.791294093044</v>
      </c>
      <c r="N19" s="21">
        <f>'распределение '!M42</f>
        <v>28049.721805747828</v>
      </c>
      <c r="O19" s="21">
        <f>'распределение '!N42</f>
        <v>28769.822199344813</v>
      </c>
      <c r="P19" s="21">
        <f>'распределение '!O42</f>
        <v>29489.701092187624</v>
      </c>
      <c r="Q19" s="21">
        <f>'распределение '!P42</f>
        <v>29056.531714904602</v>
      </c>
      <c r="R19" s="21">
        <f>'распределение '!Q42</f>
        <v>29618.074952227507</v>
      </c>
      <c r="S19" s="21">
        <f>'распределение '!R42</f>
        <v>31178.894202705233</v>
      </c>
      <c r="T19" s="21">
        <f>'распределение '!S42</f>
        <v>32192.105260678181</v>
      </c>
      <c r="U19" s="21">
        <f>'распределение '!T42</f>
        <v>32998.975688019898</v>
      </c>
      <c r="V19" s="21">
        <f>'распределение '!U42</f>
        <v>33731.982324316334</v>
      </c>
      <c r="W19" s="21">
        <f>'распределение '!V42</f>
        <v>34527.209935310464</v>
      </c>
      <c r="X19" s="21">
        <f>'распределение '!W42</f>
        <v>35352.598006700864</v>
      </c>
      <c r="Y19" s="21">
        <f>'распределение '!X42</f>
        <v>37036.072026633854</v>
      </c>
      <c r="Z19" s="21">
        <f>'распределение '!Y42</f>
        <v>38157.711306367521</v>
      </c>
      <c r="AA19" s="21">
        <f>'распределение '!Z42</f>
        <v>39109.134193303849</v>
      </c>
      <c r="AB19" s="21">
        <f>'распределение '!AA42</f>
        <v>40263.04285137081</v>
      </c>
    </row>
    <row r="20" spans="1:28" x14ac:dyDescent="0.2">
      <c r="B20" s="347" t="s">
        <v>205</v>
      </c>
      <c r="C20">
        <v>6</v>
      </c>
      <c r="D20" s="21">
        <f>'распределение '!C43</f>
        <v>125500</v>
      </c>
      <c r="E20" s="21">
        <f>'распределение '!D43</f>
        <v>128275</v>
      </c>
      <c r="F20" s="21">
        <f>'распределение '!E43</f>
        <v>131475.17499999999</v>
      </c>
      <c r="G20" s="21">
        <f>'распределение '!F43</f>
        <v>132811.79912500002</v>
      </c>
      <c r="H20" s="21">
        <f>'распределение '!G43</f>
        <v>136033.17552675001</v>
      </c>
      <c r="I20" s="21">
        <f>'распределение '!H43</f>
        <v>142777.1091756965</v>
      </c>
      <c r="J20" s="21">
        <f>'распределение '!I43</f>
        <v>148693.33808393954</v>
      </c>
      <c r="K20" s="21">
        <f>'распределение '!J43</f>
        <v>155102.40470310015</v>
      </c>
      <c r="L20" s="21">
        <f>'распределение '!K43</f>
        <v>158263.38065606914</v>
      </c>
      <c r="M20" s="21">
        <f>'распределение '!L43</f>
        <v>158533.40315999518</v>
      </c>
      <c r="N20" s="21">
        <f>'распределение '!M43</f>
        <v>164491.06912839523</v>
      </c>
      <c r="O20" s="21">
        <f>'распределение '!N43</f>
        <v>164480.05227722609</v>
      </c>
      <c r="P20" s="21">
        <f>'распределение '!O43</f>
        <v>168616.75029649184</v>
      </c>
      <c r="Q20" s="21">
        <f>'распределение '!P43</f>
        <v>171431.35312555547</v>
      </c>
      <c r="R20" s="21">
        <f>'распределение '!Q43</f>
        <v>194335.03959429992</v>
      </c>
      <c r="S20" s="21">
        <f>'распределение '!R43</f>
        <v>196773.58674072404</v>
      </c>
      <c r="T20" s="21">
        <f>'распределение '!S43</f>
        <v>214061.85087331678</v>
      </c>
      <c r="U20" s="21">
        <f>'распределение '!T43</f>
        <v>212735.9108469316</v>
      </c>
      <c r="V20" s="21">
        <f>'распределение '!U43</f>
        <v>214413.33070744757</v>
      </c>
      <c r="W20" s="21">
        <f>'распределение '!V43</f>
        <v>216598.77609499785</v>
      </c>
      <c r="X20" s="21">
        <f>'распределение '!W43</f>
        <v>232259.78833404789</v>
      </c>
      <c r="Y20" s="21">
        <f>'распределение '!X43</f>
        <v>232114.95974217405</v>
      </c>
      <c r="Z20" s="21">
        <f>'распределение '!Y43</f>
        <v>244223.81014475229</v>
      </c>
      <c r="AA20" s="21">
        <f>'распределение '!Z43</f>
        <v>249817.5720433048</v>
      </c>
      <c r="AB20" s="21">
        <f>'распределение '!AA43</f>
        <v>256523.39632287176</v>
      </c>
    </row>
    <row r="21" spans="1:28" x14ac:dyDescent="0.2">
      <c r="B21" s="347" t="s">
        <v>209</v>
      </c>
      <c r="C21">
        <v>7</v>
      </c>
      <c r="D21" s="21">
        <f>'распределение '!C44</f>
        <v>125500</v>
      </c>
      <c r="E21" s="21">
        <f>'распределение '!D44</f>
        <v>128275</v>
      </c>
      <c r="F21" s="21">
        <f>'распределение '!E44</f>
        <v>128353.45</v>
      </c>
      <c r="G21" s="21">
        <f>'распределение '!F44</f>
        <v>128754.68275000001</v>
      </c>
      <c r="H21" s="21">
        <f>'распределение '!G44</f>
        <v>136019.1733845</v>
      </c>
      <c r="I21" s="21">
        <f>'распределение '!H44</f>
        <v>143766.135037731</v>
      </c>
      <c r="J21" s="21">
        <f>'распределение '!I44</f>
        <v>149783.47368735369</v>
      </c>
      <c r="K21" s="21">
        <f>'распределение '!J44</f>
        <v>155969.63895048015</v>
      </c>
      <c r="L21" s="21">
        <f>'распределение '!K44</f>
        <v>164223.94256097535</v>
      </c>
      <c r="M21" s="21">
        <f>'распределение '!L44</f>
        <v>165505.70313536559</v>
      </c>
      <c r="N21" s="21">
        <f>'распределение '!M44</f>
        <v>167151.64610401192</v>
      </c>
      <c r="O21" s="21">
        <f>'распределение '!N44</f>
        <v>168565.27436960279</v>
      </c>
      <c r="P21" s="21">
        <f>'распределение '!O44</f>
        <v>169871.45034223745</v>
      </c>
      <c r="Q21" s="21">
        <f>'распределение '!P44</f>
        <v>186244.73583881508</v>
      </c>
      <c r="R21" s="21">
        <f>'распределение '!Q44</f>
        <v>192359.28848042694</v>
      </c>
      <c r="S21" s="21">
        <f>'распределение '!R44</f>
        <v>206796.69559562267</v>
      </c>
      <c r="T21" s="21">
        <f>'распределение '!S44</f>
        <v>210433.72863966646</v>
      </c>
      <c r="U21" s="21">
        <f>'распределение '!T44</f>
        <v>214561.39135326978</v>
      </c>
      <c r="V21" s="21">
        <f>'распределение '!U44</f>
        <v>226988.77743973711</v>
      </c>
      <c r="W21" s="21">
        <f>'распределение '!V44</f>
        <v>225465.07142460189</v>
      </c>
      <c r="X21" s="21">
        <f>'распределение '!W44</f>
        <v>228391.42071035586</v>
      </c>
      <c r="Y21" s="21">
        <f>'распределение '!X44</f>
        <v>237537.50650325231</v>
      </c>
      <c r="Z21" s="21">
        <f>'распределение '!Y44</f>
        <v>245162.13143821977</v>
      </c>
      <c r="AA21" s="21">
        <f>'распределение '!Z44</f>
        <v>250408.51012383759</v>
      </c>
      <c r="AB21" s="21">
        <f>'распределение '!AA44</f>
        <v>256855.42502259923</v>
      </c>
    </row>
    <row r="23" spans="1:28" x14ac:dyDescent="0.2">
      <c r="A23" s="334" t="s">
        <v>203</v>
      </c>
    </row>
    <row r="26" spans="1:28" x14ac:dyDescent="0.2">
      <c r="A26" s="84"/>
      <c r="B26" s="84"/>
      <c r="D26">
        <v>2006</v>
      </c>
      <c r="E26">
        <v>2007</v>
      </c>
      <c r="F26">
        <v>2008</v>
      </c>
      <c r="G26">
        <v>2009</v>
      </c>
      <c r="H26">
        <v>2010</v>
      </c>
      <c r="I26">
        <v>2011</v>
      </c>
      <c r="J26">
        <v>2012</v>
      </c>
      <c r="K26">
        <v>2013</v>
      </c>
      <c r="L26">
        <v>2014</v>
      </c>
      <c r="M26">
        <v>2015</v>
      </c>
      <c r="N26">
        <v>2016</v>
      </c>
      <c r="O26">
        <v>2017</v>
      </c>
      <c r="P26">
        <v>2018</v>
      </c>
      <c r="Q26">
        <v>2019</v>
      </c>
      <c r="R26">
        <v>2020</v>
      </c>
      <c r="S26">
        <v>2021</v>
      </c>
      <c r="T26">
        <v>2022</v>
      </c>
      <c r="U26">
        <v>2023</v>
      </c>
      <c r="V26">
        <v>2024</v>
      </c>
      <c r="W26">
        <v>2025</v>
      </c>
      <c r="X26">
        <v>2026</v>
      </c>
      <c r="Y26">
        <v>2027</v>
      </c>
      <c r="Z26">
        <v>2028</v>
      </c>
      <c r="AA26">
        <v>2029</v>
      </c>
      <c r="AB26">
        <v>2030</v>
      </c>
    </row>
    <row r="27" spans="1:28" x14ac:dyDescent="0.2">
      <c r="B27" t="s">
        <v>204</v>
      </c>
      <c r="C27">
        <v>1</v>
      </c>
      <c r="D27" s="21">
        <f>'распределение '!C69</f>
        <v>18.666116444329226</v>
      </c>
      <c r="E27" s="21">
        <f>'распределение '!D69</f>
        <v>18.883401948486629</v>
      </c>
      <c r="F27" s="21">
        <f>'распределение '!E69</f>
        <v>19.147139596926092</v>
      </c>
      <c r="G27" s="21">
        <f>'распределение '!F69</f>
        <v>19.305777094520636</v>
      </c>
      <c r="H27" s="21">
        <f>'распределение '!G69</f>
        <v>19.462693204278811</v>
      </c>
      <c r="I27" s="21">
        <f>'распределение '!H69</f>
        <v>19.690727474203889</v>
      </c>
      <c r="J27" s="21">
        <f>'распределение '!I69</f>
        <v>19.916568209695001</v>
      </c>
      <c r="K27" s="21">
        <f>'распределение '!J69</f>
        <v>19.997854292496182</v>
      </c>
      <c r="L27" s="21">
        <f>'распределение '!K69</f>
        <v>20.293819721753106</v>
      </c>
      <c r="M27" s="21">
        <f>'распределение '!L69</f>
        <v>20.425682219051357</v>
      </c>
      <c r="N27" s="21">
        <f>'распределение '!M69</f>
        <v>20.564423885455987</v>
      </c>
      <c r="O27" s="21">
        <f>'распределение '!N69</f>
        <v>20.692210334371524</v>
      </c>
      <c r="P27" s="21">
        <f>'распределение '!O69</f>
        <v>20.830650087868438</v>
      </c>
      <c r="Q27" s="21">
        <f>'распределение '!P69</f>
        <v>21.436651370244771</v>
      </c>
      <c r="R27" s="21">
        <f>'распределение '!Q69</f>
        <v>22.070051755665911</v>
      </c>
      <c r="S27" s="21">
        <f>'распределение '!R69</f>
        <v>22.707016332898064</v>
      </c>
      <c r="T27" s="21">
        <f>'распределение '!S69</f>
        <v>23.229580096259006</v>
      </c>
      <c r="U27" s="21">
        <f>'распределение '!T69</f>
        <v>23.757884153930451</v>
      </c>
      <c r="V27" s="21">
        <f>'распределение '!U69</f>
        <v>24.243799611659558</v>
      </c>
      <c r="W27" s="21">
        <f>'распределение '!V69</f>
        <v>24.768886472106491</v>
      </c>
      <c r="X27" s="21">
        <f>'распределение '!W69</f>
        <v>25.308531970066785</v>
      </c>
      <c r="Y27" s="21">
        <f>'распределение '!X69</f>
        <v>25.760622975576823</v>
      </c>
      <c r="Z27" s="21">
        <f>'распределение '!Y69</f>
        <v>26.293534215679244</v>
      </c>
      <c r="AA27" s="21">
        <f>'распределение '!Z69</f>
        <v>26.918223270042599</v>
      </c>
      <c r="AB27" s="21">
        <f>'распределение '!AA69</f>
        <v>27.504604297707314</v>
      </c>
    </row>
    <row r="28" spans="1:28" x14ac:dyDescent="0.2">
      <c r="C28">
        <v>2</v>
      </c>
      <c r="D28" s="21">
        <f>'распределение '!C70</f>
        <v>0.57395453269716534</v>
      </c>
      <c r="E28" s="21">
        <f>'распределение '!D70</f>
        <v>0.6023713008951177</v>
      </c>
      <c r="F28" s="21">
        <f>'распределение '!E70</f>
        <v>0.61305523566948017</v>
      </c>
      <c r="G28" s="21">
        <f>'распределение '!F70</f>
        <v>0.60727163795388295</v>
      </c>
      <c r="H28" s="21">
        <f>'распределение '!G70</f>
        <v>0.59912742826739507</v>
      </c>
      <c r="I28" s="21">
        <f>'распределение '!H70</f>
        <v>0.59264815216787636</v>
      </c>
      <c r="J28" s="21">
        <f>'распределение '!I70</f>
        <v>0.59357605455534701</v>
      </c>
      <c r="K28" s="21">
        <f>'распределение '!J70</f>
        <v>0.60099417924067688</v>
      </c>
      <c r="L28" s="21">
        <f>'распределение '!K70</f>
        <v>0.62690827608911326</v>
      </c>
      <c r="M28" s="21">
        <f>'распределение '!L70</f>
        <v>0.61123699261165343</v>
      </c>
      <c r="N28" s="21">
        <f>'распределение '!M70</f>
        <v>0.60620375667215654</v>
      </c>
      <c r="O28" s="21">
        <f>'распределение '!N70</f>
        <v>0.60444964663965217</v>
      </c>
      <c r="P28" s="21">
        <f>'распределение '!O70</f>
        <v>0.67357237382625179</v>
      </c>
      <c r="Q28" s="21">
        <f>'распределение '!P70</f>
        <v>0.66451521412336845</v>
      </c>
      <c r="R28" s="21">
        <f>'распределение '!Q70</f>
        <v>0.66677453549169863</v>
      </c>
      <c r="S28" s="21">
        <f>'распределение '!R70</f>
        <v>0.67736000961963772</v>
      </c>
      <c r="T28" s="21">
        <f>'распределение '!S70</f>
        <v>0.69509770585673969</v>
      </c>
      <c r="U28" s="21">
        <f>'распределение '!T70</f>
        <v>0.70266608187106527</v>
      </c>
      <c r="V28" s="21">
        <f>'распределение '!U70</f>
        <v>0.71601446493398335</v>
      </c>
      <c r="W28" s="21">
        <f>'распределение '!V70</f>
        <v>0.72148234477856221</v>
      </c>
      <c r="X28" s="21">
        <f>'распределение '!W70</f>
        <v>0.7311047828444962</v>
      </c>
      <c r="Y28" s="21">
        <f>'распределение '!X70</f>
        <v>0.76158511204504853</v>
      </c>
      <c r="Z28" s="21">
        <f>'распределение '!Y70</f>
        <v>0.80266462197006894</v>
      </c>
      <c r="AA28" s="21">
        <f>'распределение '!Z70</f>
        <v>0.80578094031993031</v>
      </c>
      <c r="AB28" s="21">
        <f>'распределение '!AA70</f>
        <v>0.80327131241975558</v>
      </c>
    </row>
    <row r="29" spans="1:28" x14ac:dyDescent="0.2">
      <c r="C29">
        <v>3</v>
      </c>
      <c r="D29" s="21">
        <f>'распределение '!C71</f>
        <v>0.91611274638512319</v>
      </c>
      <c r="E29" s="21">
        <f>'распределение '!D71</f>
        <v>0.92028547860357657</v>
      </c>
      <c r="F29" s="21">
        <f>'распределение '!E71</f>
        <v>0.93531800344636529</v>
      </c>
      <c r="G29" s="21">
        <f>'распределение '!F71</f>
        <v>0.97080149292446505</v>
      </c>
      <c r="H29" s="21">
        <f>'распределение '!G71</f>
        <v>0.98786576997901843</v>
      </c>
      <c r="I29" s="21">
        <f>'распределение '!H71</f>
        <v>1.0235383538244507</v>
      </c>
      <c r="J29" s="21">
        <f>'распределение '!I71</f>
        <v>1.0112884950052563</v>
      </c>
      <c r="K29" s="21">
        <f>'распределение '!J71</f>
        <v>0.98799299145627872</v>
      </c>
      <c r="L29" s="21">
        <f>'распределение '!K71</f>
        <v>0.93909215069018648</v>
      </c>
      <c r="M29" s="21">
        <f>'распределение '!L71</f>
        <v>0.94515205599174956</v>
      </c>
      <c r="N29" s="21">
        <f>'распределение '!M71</f>
        <v>0.93515238938952172</v>
      </c>
      <c r="O29" s="21">
        <f>'распределение '!N71</f>
        <v>0.92300482815240303</v>
      </c>
      <c r="P29" s="21">
        <f>'распределение '!O71</f>
        <v>0.92997284288541204</v>
      </c>
      <c r="Q29" s="21">
        <f>'распределение '!P71</f>
        <v>0.91660453480371273</v>
      </c>
      <c r="R29" s="21">
        <f>'распределение '!Q71</f>
        <v>0.91781724280292831</v>
      </c>
      <c r="S29" s="21">
        <f>'распределение '!R71</f>
        <v>0.92869246166117458</v>
      </c>
      <c r="T29" s="21">
        <f>'распределение '!S71</f>
        <v>0.93878463864483241</v>
      </c>
      <c r="U29" s="21">
        <f>'распределение '!T71</f>
        <v>0.94309641124970156</v>
      </c>
      <c r="V29" s="21">
        <f>'распределение '!U71</f>
        <v>0.94640365174809371</v>
      </c>
      <c r="W29" s="21">
        <f>'распределение '!V71</f>
        <v>0.95407166093088069</v>
      </c>
      <c r="X29" s="21">
        <f>'распределение '!W71</f>
        <v>0.96635892725236405</v>
      </c>
      <c r="Y29" s="21">
        <f>'распределение '!X71</f>
        <v>0.97792283457581497</v>
      </c>
      <c r="Z29" s="21">
        <f>'распределение '!Y71</f>
        <v>0.97678433462222602</v>
      </c>
      <c r="AA29" s="21">
        <f>'распределение '!Z71</f>
        <v>0.98212952339042714</v>
      </c>
      <c r="AB29" s="21">
        <f>'распределение '!AA71</f>
        <v>0.98738261914848557</v>
      </c>
    </row>
    <row r="30" spans="1:28" x14ac:dyDescent="0.2">
      <c r="C30">
        <v>4</v>
      </c>
      <c r="D30" s="348">
        <f>'распределение '!C72</f>
        <v>1.3720287773336613E-2</v>
      </c>
      <c r="E30" s="348">
        <f>'распределение '!D72</f>
        <v>1.3870561889918592E-2</v>
      </c>
      <c r="F30" s="348">
        <f>'распределение '!E72</f>
        <v>1.2870359795016842E-2</v>
      </c>
      <c r="G30" s="348">
        <f>'распределение '!F72</f>
        <v>1.1953589476362061E-2</v>
      </c>
      <c r="H30" s="348">
        <f>'распределение '!G72</f>
        <v>1.1688089277037701E-2</v>
      </c>
      <c r="I30" s="348">
        <f>'распределение '!H72</f>
        <v>1.1305478005019833E-2</v>
      </c>
      <c r="J30" s="348">
        <f>'распределение '!I72</f>
        <v>1.1299717328529246E-2</v>
      </c>
      <c r="K30" s="348">
        <f>'распределение '!J72</f>
        <v>1.1307983025344009E-2</v>
      </c>
      <c r="L30" s="348">
        <f>'распределение '!K72</f>
        <v>1.2244970739384711E-2</v>
      </c>
      <c r="M30" s="348">
        <f>'распределение '!L72</f>
        <v>1.2789300355916423E-2</v>
      </c>
      <c r="N30" s="348">
        <f>'распределение '!M72</f>
        <v>1.3152967875633559E-2</v>
      </c>
      <c r="O30" s="348">
        <f>'распределение '!N72</f>
        <v>1.3943402592777458E-2</v>
      </c>
      <c r="P30" s="348">
        <f>'распределение '!O72</f>
        <v>1.5327549241571384E-2</v>
      </c>
      <c r="Q30" s="348">
        <f>'распределение '!P72</f>
        <v>1.5836405610300867E-2</v>
      </c>
      <c r="R30" s="348">
        <f>'распределение '!Q72</f>
        <v>1.6765847073890072E-2</v>
      </c>
      <c r="S30" s="348">
        <f>'распределение '!R72</f>
        <v>1.9573440163788758E-2</v>
      </c>
      <c r="T30" s="348">
        <f>'распределение '!S72</f>
        <v>1.9873559094100764E-2</v>
      </c>
      <c r="U30" s="348">
        <f>'распределение '!T72</f>
        <v>2.1234631125228682E-2</v>
      </c>
      <c r="V30" s="348">
        <f>'распределение '!U72</f>
        <v>2.1698892997407383E-2</v>
      </c>
      <c r="W30" s="348">
        <f>'распределение '!V72</f>
        <v>2.2955311774210313E-2</v>
      </c>
      <c r="X30" s="348">
        <f>'распределение '!W72</f>
        <v>2.3687970677946157E-2</v>
      </c>
      <c r="Y30" s="348">
        <f>'распределение '!X72</f>
        <v>2.5891410083591498E-2</v>
      </c>
      <c r="Z30" s="348">
        <f>'распределение '!Y72</f>
        <v>2.6944226993432647E-2</v>
      </c>
      <c r="AA30" s="348">
        <f>'распределение '!Z72</f>
        <v>2.7994581491865251E-2</v>
      </c>
      <c r="AB30" s="348">
        <f>'распределение '!AA72</f>
        <v>2.9044533183116738E-2</v>
      </c>
    </row>
    <row r="31" spans="1:28" x14ac:dyDescent="0.2">
      <c r="C31">
        <v>5</v>
      </c>
      <c r="D31" s="21">
        <f>'распределение '!C73</f>
        <v>2.2583805298888007E-2</v>
      </c>
      <c r="E31" s="21">
        <f>'распределение '!D73</f>
        <v>2.3843619679732732E-2</v>
      </c>
      <c r="F31" s="21">
        <f>'распределение '!E73</f>
        <v>2.5326237434378732E-2</v>
      </c>
      <c r="G31" s="21">
        <f>'распределение '!F73</f>
        <v>2.4315733517752725E-2</v>
      </c>
      <c r="H31" s="21">
        <f>'распределение '!G73</f>
        <v>2.4834910401598881E-2</v>
      </c>
      <c r="I31" s="21">
        <f>'распределение '!H73</f>
        <v>2.5870640713724392E-2</v>
      </c>
      <c r="J31" s="21">
        <f>'распределение '!I73</f>
        <v>2.5938267663623959E-2</v>
      </c>
      <c r="K31" s="21">
        <f>'распределение '!J73</f>
        <v>2.4799407265647173E-2</v>
      </c>
      <c r="L31" s="21">
        <f>'распределение '!K73</f>
        <v>2.4421170295693906E-2</v>
      </c>
      <c r="M31" s="21">
        <f>'распределение '!L73</f>
        <v>2.533429150951242E-2</v>
      </c>
      <c r="N31" s="21">
        <f>'распределение '!M73</f>
        <v>2.6240099578421563E-2</v>
      </c>
      <c r="O31" s="21">
        <f>'распределение '!N73</f>
        <v>2.7145567186727004E-2</v>
      </c>
      <c r="P31" s="21">
        <f>'распределение '!O73</f>
        <v>3.1897596364829868E-2</v>
      </c>
      <c r="Q31" s="21">
        <f>'распределение '!P73</f>
        <v>3.1744587753371752E-2</v>
      </c>
      <c r="R31" s="21">
        <f>'распределение '!Q73</f>
        <v>3.2599028013639411E-2</v>
      </c>
      <c r="S31" s="21">
        <f>'распределение '!R73</f>
        <v>3.4465114093516755E-2</v>
      </c>
      <c r="T31" s="21">
        <f>'распределение '!S73</f>
        <v>3.5886853268108594E-2</v>
      </c>
      <c r="U31" s="21">
        <f>'распределение '!T73</f>
        <v>3.718685298205477E-2</v>
      </c>
      <c r="V31" s="21">
        <f>'распределение '!U73</f>
        <v>3.8508151820142375E-2</v>
      </c>
      <c r="W31" s="21">
        <f>'распределение '!V73</f>
        <v>4.0008330290533585E-2</v>
      </c>
      <c r="X31" s="21">
        <f>'распределение '!W73</f>
        <v>4.1600143080439189E-2</v>
      </c>
      <c r="Y31" s="21">
        <f>'распределение '!X73</f>
        <v>4.3881590299080925E-2</v>
      </c>
      <c r="Z31" s="21">
        <f>'распределение '!Y73</f>
        <v>4.5523079707601881E-2</v>
      </c>
      <c r="AA31" s="21">
        <f>'распределение '!Z73</f>
        <v>4.7013399551447822E-2</v>
      </c>
      <c r="AB31" s="21">
        <f>'распределение '!AA73</f>
        <v>4.8493753906491632E-2</v>
      </c>
    </row>
    <row r="32" spans="1:28" x14ac:dyDescent="0.2">
      <c r="C32">
        <v>6</v>
      </c>
      <c r="D32" s="21">
        <f>'распределение '!C74</f>
        <v>0.11066170408443091</v>
      </c>
      <c r="E32" s="21">
        <f>'распределение '!D74</f>
        <v>0.11403509551744952</v>
      </c>
      <c r="F32" s="21">
        <f>'распределение '!E74</f>
        <v>0.11770214124059099</v>
      </c>
      <c r="G32" s="21">
        <f>'распределение '!F74</f>
        <v>0.11939298298171869</v>
      </c>
      <c r="H32" s="21">
        <f>'распределение '!G74</f>
        <v>0.12296550802357652</v>
      </c>
      <c r="I32" s="21">
        <f>'распределение '!H74</f>
        <v>0.12984269888369804</v>
      </c>
      <c r="J32" s="21">
        <f>'распределение '!I74</f>
        <v>0.13570624996252581</v>
      </c>
      <c r="K32" s="21">
        <f>'распределение '!J74</f>
        <v>0.14220015778664455</v>
      </c>
      <c r="L32" s="21">
        <f>'распределение '!K74</f>
        <v>0.14595432283940771</v>
      </c>
      <c r="M32" s="21">
        <f>'распределение '!L74</f>
        <v>0.14710332750920263</v>
      </c>
      <c r="N32" s="21">
        <f>'распределение '!M74</f>
        <v>0.15387896049670077</v>
      </c>
      <c r="O32" s="21">
        <f>'распределение '!N74</f>
        <v>0.15519401819832909</v>
      </c>
      <c r="P32" s="21">
        <f>'распределение '!O74</f>
        <v>0.1653629875013376</v>
      </c>
      <c r="Q32" s="21">
        <f>'распределение '!P74</f>
        <v>0.16974393066433399</v>
      </c>
      <c r="R32" s="21">
        <f>'распределение '!Q74</f>
        <v>0.19401485344840846</v>
      </c>
      <c r="S32" s="21">
        <f>'распределение '!R74</f>
        <v>0.19872031516466271</v>
      </c>
      <c r="T32" s="21">
        <f>'распределение '!S74</f>
        <v>0.2187058414320073</v>
      </c>
      <c r="U32" s="21">
        <f>'распределение '!T74</f>
        <v>0.22065066663849814</v>
      </c>
      <c r="V32" s="21">
        <f>'распределение '!U74</f>
        <v>0.22608027658640473</v>
      </c>
      <c r="W32" s="21">
        <f>'распределение '!V74</f>
        <v>0.23261798994649527</v>
      </c>
      <c r="X32" s="21">
        <f>'распределение '!W74</f>
        <v>0.25387265390287361</v>
      </c>
      <c r="Y32" s="21">
        <f>'распределение '!X74</f>
        <v>0.25683010712263565</v>
      </c>
      <c r="Z32" s="21">
        <f>'распределение '!Y74</f>
        <v>0.27286722437273631</v>
      </c>
      <c r="AA32" s="21">
        <f>'распределение '!Z74</f>
        <v>0.28202358755228196</v>
      </c>
      <c r="AB32" s="21">
        <f>'распределение '!AA74</f>
        <v>0.29100221222519079</v>
      </c>
    </row>
    <row r="33" spans="1:28" x14ac:dyDescent="0.2">
      <c r="C33">
        <v>7</v>
      </c>
      <c r="D33" s="21">
        <f>'распределение '!C75</f>
        <v>0.11066170408443091</v>
      </c>
      <c r="E33" s="21">
        <f>'распределение '!D75</f>
        <v>0.11403509551744952</v>
      </c>
      <c r="F33" s="21">
        <f>'распределение '!E75</f>
        <v>0.11490744089610175</v>
      </c>
      <c r="G33" s="21">
        <f>'распределение '!F75</f>
        <v>0.11574578273666118</v>
      </c>
      <c r="H33" s="21">
        <f>'распределение '!G75</f>
        <v>0.12295285096011738</v>
      </c>
      <c r="I33" s="21">
        <f>'распределение '!H75</f>
        <v>0.13074212728600801</v>
      </c>
      <c r="J33" s="21">
        <f>'распределение '!I75</f>
        <v>0.13670117156827022</v>
      </c>
      <c r="K33" s="21">
        <f>'распределение '!J75</f>
        <v>0.14299525085468226</v>
      </c>
      <c r="L33" s="21">
        <f>'распределение '!K75</f>
        <v>0.15145129739515498</v>
      </c>
      <c r="M33" s="21">
        <f>'распределение '!L75</f>
        <v>0.15357293269224542</v>
      </c>
      <c r="N33" s="21">
        <f>'распределение '!M75</f>
        <v>0.15636789087753369</v>
      </c>
      <c r="O33" s="21">
        <f>'распределение '!N75</f>
        <v>0.15904860131020659</v>
      </c>
      <c r="P33" s="21">
        <f>'распределение '!O75</f>
        <v>0.16655803894440535</v>
      </c>
      <c r="Q33" s="21">
        <f>'распределение '!P75</f>
        <v>0.1840039120211002</v>
      </c>
      <c r="R33" s="21">
        <f>'распределение '!Q75</f>
        <v>0.19208992243813766</v>
      </c>
      <c r="S33" s="21">
        <f>'распределение '!R75</f>
        <v>0.20860615907684074</v>
      </c>
      <c r="T33" s="21">
        <f>'распределение '!S75</f>
        <v>0.21507718578597701</v>
      </c>
      <c r="U33" s="21">
        <f>'распределение '!T75</f>
        <v>0.22250467476792379</v>
      </c>
      <c r="V33" s="21">
        <f>'распределение '!U75</f>
        <v>0.23907162845749538</v>
      </c>
      <c r="W33" s="21">
        <f>'распределение '!V75</f>
        <v>0.2419529467841329</v>
      </c>
      <c r="X33" s="21">
        <f>'распределение '!W75</f>
        <v>0.24972036523708066</v>
      </c>
      <c r="Y33" s="21">
        <f>'распределение '!X75</f>
        <v>0.26272417968902506</v>
      </c>
      <c r="Z33" s="21">
        <f>'распределение '!Y75</f>
        <v>0.27389834667324997</v>
      </c>
      <c r="AA33" s="21">
        <f>'распределение '!Z75</f>
        <v>0.28268018541954065</v>
      </c>
      <c r="AB33" s="21">
        <f>'распределение '!AA75</f>
        <v>0.29137319401259576</v>
      </c>
    </row>
    <row r="34" spans="1:28" s="333" customFormat="1" x14ac:dyDescent="0.2"/>
    <row r="38" spans="1:28" x14ac:dyDescent="0.2">
      <c r="A38" s="426">
        <v>1</v>
      </c>
    </row>
    <row r="39" spans="1:28" x14ac:dyDescent="0.2">
      <c r="A39" s="426">
        <v>2.5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BE78"/>
  <sheetViews>
    <sheetView zoomScale="110" zoomScaleNormal="110" workbookViewId="0">
      <pane xSplit="4" topLeftCell="J1" activePane="topRight" state="frozen"/>
      <selection activeCell="A44" sqref="A44"/>
      <selection pane="topRight" activeCell="AE20" sqref="AE20"/>
    </sheetView>
  </sheetViews>
  <sheetFormatPr defaultRowHeight="12.75" x14ac:dyDescent="0.2"/>
  <cols>
    <col min="1" max="1" width="22" customWidth="1"/>
    <col min="4" max="4" width="20.5703125" customWidth="1"/>
    <col min="5" max="5" width="21" customWidth="1"/>
    <col min="6" max="6" width="27" customWidth="1"/>
    <col min="7" max="7" width="24.5703125" customWidth="1"/>
    <col min="8" max="8" width="21.28515625" customWidth="1"/>
    <col min="9" max="9" width="18.5703125" customWidth="1"/>
    <col min="10" max="10" width="17.5703125" customWidth="1"/>
    <col min="11" max="11" width="18.85546875" customWidth="1"/>
    <col min="12" max="12" width="17.85546875" customWidth="1"/>
    <col min="13" max="13" width="18.28515625" bestFit="1" customWidth="1"/>
    <col min="14" max="14" width="18.28515625" style="248" bestFit="1" customWidth="1"/>
    <col min="15" max="15" width="18.28515625" style="3" bestFit="1" customWidth="1"/>
    <col min="16" max="19" width="18.28515625" bestFit="1" customWidth="1"/>
    <col min="20" max="20" width="15.5703125" customWidth="1"/>
    <col min="21" max="25" width="18.28515625" bestFit="1" customWidth="1"/>
    <col min="26" max="26" width="17.42578125" customWidth="1"/>
    <col min="27" max="27" width="15.140625" customWidth="1"/>
    <col min="28" max="28" width="17.140625" customWidth="1"/>
    <col min="29" max="29" width="15.7109375" customWidth="1"/>
    <col min="30" max="30" width="20" customWidth="1"/>
    <col min="31" max="31" width="22.5703125" customWidth="1"/>
    <col min="32" max="32" width="10.28515625" style="90" customWidth="1"/>
    <col min="33" max="33" width="10.28515625" customWidth="1"/>
    <col min="34" max="34" width="11.42578125" customWidth="1"/>
    <col min="35" max="35" width="10.42578125" customWidth="1"/>
    <col min="36" max="36" width="11" customWidth="1"/>
    <col min="37" max="37" width="10.5703125" customWidth="1"/>
    <col min="38" max="38" width="11.140625" customWidth="1"/>
    <col min="39" max="39" width="11" customWidth="1"/>
    <col min="40" max="42" width="10.5703125" customWidth="1"/>
    <col min="43" max="43" width="10.85546875" customWidth="1"/>
    <col min="44" max="44" width="11.140625" customWidth="1"/>
    <col min="45" max="45" width="11" customWidth="1"/>
    <col min="46" max="46" width="10.7109375" customWidth="1"/>
    <col min="47" max="47" width="10.42578125" customWidth="1"/>
    <col min="48" max="48" width="10.7109375" customWidth="1"/>
    <col min="49" max="49" width="11" customWidth="1"/>
    <col min="50" max="50" width="11.5703125" customWidth="1"/>
    <col min="51" max="51" width="11" customWidth="1"/>
    <col min="52" max="52" width="10.85546875" customWidth="1"/>
    <col min="53" max="53" width="10.5703125" customWidth="1"/>
    <col min="54" max="54" width="11.28515625" customWidth="1"/>
  </cols>
  <sheetData>
    <row r="1" spans="1:57" x14ac:dyDescent="0.2">
      <c r="A1" s="30"/>
      <c r="E1">
        <f>INDEX(vibofnepr_NORM,$A5,F$3)</f>
        <v>0.5</v>
      </c>
      <c r="G1" s="21"/>
    </row>
    <row r="2" spans="1:57" x14ac:dyDescent="0.2">
      <c r="F2" s="33"/>
      <c r="G2" s="51"/>
      <c r="H2" s="52"/>
      <c r="I2" s="51"/>
      <c r="J2" s="33"/>
      <c r="O2" s="27"/>
      <c r="AB2">
        <f>INDEX(Expl_zatrat_fact,1,Z$6)</f>
        <v>54705987.708984539</v>
      </c>
    </row>
    <row r="3" spans="1:57" ht="15.75" x14ac:dyDescent="0.25">
      <c r="B3" s="6" t="s">
        <v>7</v>
      </c>
      <c r="F3" s="7">
        <v>1</v>
      </c>
      <c r="G3" s="7">
        <v>2</v>
      </c>
      <c r="H3" s="7">
        <v>3</v>
      </c>
      <c r="I3" s="7">
        <v>4</v>
      </c>
      <c r="J3" s="7">
        <v>5</v>
      </c>
      <c r="K3" s="7">
        <v>6</v>
      </c>
      <c r="L3" s="7">
        <v>7</v>
      </c>
      <c r="M3" s="7">
        <v>8</v>
      </c>
      <c r="N3" s="284">
        <v>9</v>
      </c>
      <c r="O3" s="71">
        <v>10</v>
      </c>
      <c r="P3" s="7">
        <v>11</v>
      </c>
      <c r="Q3" s="7">
        <v>12</v>
      </c>
      <c r="R3" s="7">
        <v>13</v>
      </c>
      <c r="S3" s="7">
        <v>14</v>
      </c>
      <c r="T3" s="7">
        <v>15</v>
      </c>
      <c r="U3" s="7">
        <v>16</v>
      </c>
      <c r="V3" s="7">
        <v>17</v>
      </c>
      <c r="W3" s="7">
        <v>18</v>
      </c>
      <c r="X3" s="7">
        <v>19</v>
      </c>
      <c r="Y3" s="7">
        <v>20</v>
      </c>
      <c r="Z3" s="7">
        <v>21</v>
      </c>
      <c r="AA3" s="7">
        <v>22</v>
      </c>
      <c r="AB3" s="7">
        <v>23</v>
      </c>
      <c r="AC3" s="7">
        <v>24</v>
      </c>
      <c r="AD3" s="7">
        <v>25</v>
      </c>
      <c r="AE3" s="7">
        <v>26</v>
      </c>
      <c r="AF3" s="89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</row>
    <row r="4" spans="1:57" ht="16.5" thickBot="1" x14ac:dyDescent="0.3">
      <c r="A4" s="2" t="s">
        <v>8</v>
      </c>
      <c r="B4" s="6"/>
      <c r="C4" s="9" t="s">
        <v>23</v>
      </c>
      <c r="E4" s="10"/>
      <c r="F4" s="7"/>
      <c r="G4" s="7"/>
      <c r="H4" s="24"/>
      <c r="I4" s="7"/>
      <c r="J4" s="7"/>
      <c r="K4" s="7"/>
      <c r="L4" s="7"/>
      <c r="M4" s="7"/>
      <c r="N4" s="284"/>
      <c r="O4" s="7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7"/>
      <c r="AD4" s="7"/>
      <c r="AE4" s="7"/>
      <c r="AF4" s="89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</row>
    <row r="5" spans="1:57" ht="15.75" x14ac:dyDescent="0.25">
      <c r="A5" s="11">
        <v>1</v>
      </c>
      <c r="B5" s="6"/>
      <c r="F5" s="31">
        <v>2006</v>
      </c>
      <c r="G5" s="31">
        <v>2007</v>
      </c>
      <c r="H5" s="31">
        <v>2008</v>
      </c>
      <c r="I5" s="31">
        <v>2009</v>
      </c>
      <c r="J5" s="31">
        <v>2010</v>
      </c>
      <c r="K5" s="31">
        <v>2011</v>
      </c>
      <c r="L5" s="31">
        <v>2012</v>
      </c>
      <c r="M5" s="31">
        <v>2013</v>
      </c>
      <c r="N5" s="287">
        <v>2014</v>
      </c>
      <c r="O5" s="282">
        <v>2015</v>
      </c>
      <c r="P5" s="31">
        <v>2016</v>
      </c>
      <c r="Q5" s="31">
        <v>2017</v>
      </c>
      <c r="R5" s="31">
        <v>2018</v>
      </c>
      <c r="S5" s="31">
        <v>2019</v>
      </c>
      <c r="T5" s="31">
        <v>2020</v>
      </c>
      <c r="U5" s="31">
        <v>2021</v>
      </c>
      <c r="V5" s="31">
        <v>2022</v>
      </c>
      <c r="W5" s="31">
        <v>2023</v>
      </c>
      <c r="X5" s="31">
        <v>2024</v>
      </c>
      <c r="Y5" s="31">
        <v>2025</v>
      </c>
      <c r="Z5" s="31">
        <v>2026</v>
      </c>
      <c r="AA5" s="31">
        <v>2027</v>
      </c>
      <c r="AB5" s="31">
        <v>2028</v>
      </c>
      <c r="AC5" s="31">
        <v>2029</v>
      </c>
      <c r="AD5" s="31">
        <v>2030</v>
      </c>
      <c r="AE5" s="31">
        <v>2031</v>
      </c>
      <c r="AF5" s="89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7" s="74" customFormat="1" ht="21" thickBot="1" x14ac:dyDescent="0.35">
      <c r="A6" s="86" t="str">
        <f>VLOOKUP(A5,[1]!spotrnepr,2)</f>
        <v>жилой фонд</v>
      </c>
      <c r="C6" s="88"/>
      <c r="F6" s="87">
        <v>1</v>
      </c>
      <c r="G6" s="74">
        <v>2</v>
      </c>
      <c r="H6" s="74">
        <v>3</v>
      </c>
      <c r="I6" s="74">
        <v>4</v>
      </c>
      <c r="J6" s="74">
        <v>5</v>
      </c>
      <c r="K6" s="74">
        <v>6</v>
      </c>
      <c r="L6" s="74">
        <v>7</v>
      </c>
      <c r="M6" s="74">
        <v>8</v>
      </c>
      <c r="N6" s="249">
        <v>9</v>
      </c>
      <c r="O6" s="84">
        <v>10</v>
      </c>
      <c r="P6" s="74">
        <v>11</v>
      </c>
      <c r="Q6" s="74">
        <v>12</v>
      </c>
      <c r="R6" s="74">
        <v>13</v>
      </c>
      <c r="S6" s="74">
        <v>14</v>
      </c>
      <c r="T6" s="74">
        <v>15</v>
      </c>
      <c r="U6" s="74">
        <v>16</v>
      </c>
      <c r="V6" s="74">
        <v>17</v>
      </c>
      <c r="W6" s="74">
        <v>18</v>
      </c>
      <c r="X6" s="74">
        <v>19</v>
      </c>
      <c r="Y6" s="74">
        <v>20</v>
      </c>
      <c r="Z6" s="74">
        <v>21</v>
      </c>
      <c r="AA6" s="74">
        <v>22</v>
      </c>
      <c r="AB6" s="74">
        <v>23</v>
      </c>
      <c r="AC6" s="74">
        <v>24</v>
      </c>
      <c r="AD6" s="74">
        <v>25</v>
      </c>
      <c r="AE6" s="74">
        <v>26</v>
      </c>
      <c r="AF6" s="93"/>
    </row>
    <row r="7" spans="1:57" x14ac:dyDescent="0.2">
      <c r="A7" s="106"/>
      <c r="B7" s="9" t="s">
        <v>26</v>
      </c>
      <c r="F7" s="21">
        <f>VLOOKUP(A5,bamonepr,3)</f>
        <v>21169000</v>
      </c>
      <c r="G7" s="27">
        <f>F7*(100-INDEX(vibofnepr_NORM,$A5,F$3)+(INDEX(vibofnepr_NORM,$A5,F$3)-INDEX(vibofnepr_NULL,$A5,F$3))*(1-INDEX(Expl_zatrat_fact,1,F$6)/'Лист2_прогнозные цены'!F6))*0.01+F9+F11</f>
        <v>21241429</v>
      </c>
      <c r="H7" s="27">
        <f>G7*(100-INDEX(vibofnepr_NORM,$A5,G$3)+(INDEX(vibofnepr_NORM,$A5,G$3)-INDEX(vibofnepr_NULL,$A5,G$3))*(1-INDEX(Expl_zatrat_fact,1,G$6)/'Лист2_прогнозные цены'!G6))*0.01+G9+G11</f>
        <v>21387661.283999998</v>
      </c>
      <c r="I7" s="27">
        <f>H7*(100-INDEX(vibofnepr_NORM,$A5,H$3)+(INDEX(vibofnepr_NORM,$A5,H$3)-INDEX(vibofnepr_NULL,$A5,H$3))*(1-INDEX(Expl_zatrat_fact,1,H$6)/'Лист2_прогнозные цены'!H6))*0.01+H9+H11</f>
        <v>21475591.993728001</v>
      </c>
      <c r="J7" s="27">
        <f>I7*(100-INDEX(vibofnepr_NORM,$A5,I$3)+(INDEX(vibofnepr_NORM,$A5,I$3)-INDEX(vibofnepr_NULL,$A5,I$3))*(1-INDEX(Expl_zatrat_fact,1,I$6)/'Лист2_прогнозные цены'!I6))*0.01+I9+I11</f>
        <v>21531013.073790722</v>
      </c>
      <c r="K7" s="27">
        <f>J7*(100-INDEX(vibofnepr_NORM,$A5,J$3)+(INDEX(vibofnepr_NORM,$A5,J$3)-INDEX(vibofnepr_NULL,$A5,J$3))*(1-INDEX(Expl_zatrat_fact,1,J$6)/'Лист2_прогнозные цены'!J6))*0.01+J9+J11</f>
        <v>21652238.982274186</v>
      </c>
      <c r="L7" s="77">
        <f>K7*(100-INDEX(vibofnepr_NORM,$A5,K$3)+(INDEX(vibofnepr_NORM,$A5,K$3)-INDEX(vibofnepr_NULL,$A5,K$3))*(1-INDEX(Expl_zatrat_fact,1,K$6)/'Лист2_прогнозные цены'!K6))*0.01+K9+K11</f>
        <v>21822583.787362814</v>
      </c>
      <c r="M7" s="27">
        <f>L7*(100-INDEX(vibofnepr_NORM,$A5,L$3)+(INDEX(vibofnepr_NORM,$A5,L$3)-INDEX(vibofnepr_NULL,$A5,L$3))*(1-INDEX(Expl_zatrat_fact,1,L$6)/'Лист2_прогнозные цены'!L6))*0.01+L9+L11</f>
        <v>21812319.606017236</v>
      </c>
      <c r="N7" s="252">
        <f>M7*(100-INDEX(vibofnepr_NORM,$A5,M$3)+(INDEX(vibofnepr_NORM,$A5,M$3)-INDEX(vibofnepr_NULL,$A5,M$3))*(1-INDEX(Expl_zatrat_fact,1,M$6)/'Лист2_прогнозные цены'!M6))*0.01+M9+M11</f>
        <v>22005299.007987153</v>
      </c>
      <c r="O7" s="27">
        <f>N7*(100-INDEX(vibofnepr_NORM,$A5,N$3)+(INDEX(vibofnepr_NORM,$A5,N$3)-INDEX(vibofnepr_NULL,$A5,N$3))*(1-INDEX(Expl_zatrat_fact,1,N$6)/'Лист2_прогнозные цены'!N6))*0.01+N9+N11</f>
        <v>22012778.153153867</v>
      </c>
      <c r="P7" s="27">
        <f>O7*(100-INDEX(vibofnepr_NORM,$A5,O$3)+(INDEX(vibofnepr_NORM,$A5,O$3)-INDEX(vibofnepr_NULL,$A5,O$3))*(1-INDEX(Expl_zatrat_fact,1,O$6)/'Лист2_прогнозные цены'!O6))*0.01+O9+O11</f>
        <v>21982628.814292572</v>
      </c>
      <c r="Q7" s="27">
        <f>P7*(100-INDEX(vibofnepr_NORM,$A5,P$3)+(INDEX(vibofnepr_NORM,$A5,P$3)-INDEX(vibofnepr_NULL,$A5,P$3))*(1-INDEX(Expl_zatrat_fact,1,P$6)/'Лист2_прогнозные цены'!P6))*0.01+P9+P11</f>
        <v>21930328.739728644</v>
      </c>
      <c r="R7" s="27">
        <f>Q7*(100-INDEX(vibofnepr_NORM,$A5,Q$3)+(INDEX(vibofnepr_NORM,$A5,Q$3)-INDEX(vibofnepr_NULL,$A5,Q$3))*(1-INDEX(Expl_zatrat_fact,1,Q$6)/'Лист2_прогнозные цены'!Q6))*0.01+Q9+Q11</f>
        <v>21870370.325704217</v>
      </c>
      <c r="S7" s="27">
        <f>R7*(100-INDEX(vibofnepr_NORM,$A5,R$3)+(INDEX(vibofnepr_NORM,$A5,R$3)-INDEX(vibofnepr_NULL,$A5,R$3))*(1-INDEX(Expl_zatrat_fact,1,R$6)/'Лист2_прогнозные цены'!R6))*0.01+R9+R11</f>
        <v>22268564.93662123</v>
      </c>
      <c r="T7" s="27">
        <f>S7*(100-INDEX(vibofnepr_NORM,$A5,S$3)+(INDEX(vibofnepr_NORM,$A5,S$3)-INDEX(vibofnepr_NULL,$A5,S$3))*(1-INDEX(Expl_zatrat_fact,1,S$6)/'Лист2_прогнозные цены'!S6))*0.01+S9+S11</f>
        <v>22652723.192067247</v>
      </c>
      <c r="U7" s="27">
        <f>T7*(100-INDEX(vibofnepr_NORM,$A5,T$3)+(INDEX(vibofnepr_NORM,$A5,T$3)-INDEX(vibofnepr_NULL,$A5,T$3))*(1-INDEX(Expl_zatrat_fact,1,T$6)/'Лист2_прогнозные цены'!T6))*0.01+T9+T11</f>
        <v>23022303.254680354</v>
      </c>
      <c r="V7" s="27">
        <f>U7*(100-INDEX(vibofnepr_NORM,$A5,U$3)+(INDEX(vibofnepr_NORM,$A5,U$3)-INDEX(vibofnepr_NULL,$A5,U$3))*(1-INDEX(Expl_zatrat_fact,1,U$6)/'Лист2_прогнозные цены'!U6))*0.01+U9+U11</f>
        <v>23226165.347984858</v>
      </c>
      <c r="W7" s="27">
        <f>V7*(100-INDEX(vibofnepr_NORM,$A5,V$3)+(INDEX(vibofnepr_NORM,$A5,V$3)-INDEX(vibofnepr_NULL,$A5,V$3))*(1-INDEX(Expl_zatrat_fact,1,V$6)/'Лист2_прогнозные цены'!V6))*0.01+V9+V11</f>
        <v>23392321.590453926</v>
      </c>
      <c r="X7" s="27">
        <f>W7*(100-INDEX(vibofnepr_NORM,$A5,W$3)+(INDEX(vibofnepr_NORM,$A5,W$3)-INDEX(vibofnepr_NULL,$A5,W$3))*(1-INDEX(Expl_zatrat_fact,1,W$6)/'Лист2_прогнозные цены'!W6))*0.01+W9+W11</f>
        <v>23467658.610891886</v>
      </c>
      <c r="Y7" s="27">
        <f>X7*(100-INDEX(vibofnepr_NORM,$A5,X$3)+(INDEX(vibofnepr_NORM,$A5,X$3)-INDEX(vibofnepr_NULL,$A5,X$3))*(1-INDEX(Expl_zatrat_fact,1,X$6)/'Лист2_прогнозные цены'!X6))*0.01+X9+X11</f>
        <v>23525364.52677438</v>
      </c>
      <c r="Z7" s="27">
        <f>Y7*(100-INDEX(vibofnepr_NORM,$A5,Y$3)+(INDEX(vibofnepr_NORM,$A5,Y$3)-INDEX(vibofnepr_NULL,$A5,Y$3))*(1-INDEX(Expl_zatrat_fact,1,Y$6)/'Лист2_прогнозные цены'!Y6))*0.01+Y9+Y11</f>
        <v>23578010.479549527</v>
      </c>
      <c r="AA7" s="27">
        <f>Z7*(100-INDEX(vibofnepr_NORM,$A5,Z$3)+(INDEX(vibofnepr_NORM,$A5,Z$3)-INDEX(vibofnepr_NULL,$A5,Z$3))*(1-INDEX(Expl_zatrat_fact,1,Z$6)/'Лист2_прогнозные цены'!Z6))*0.01+Z9+Z11</f>
        <v>23699773.137530677</v>
      </c>
      <c r="AB7" s="27">
        <f>AA7*(100-INDEX(vibofnepr_NORM,$A5,AA$3)+(INDEX(vibofnepr_NORM,$A5,AA$3)-INDEX(vibofnepr_NULL,$A5,AA$3))*(1-INDEX(Expl_zatrat_fact,1,AA$6)/'Лист2_прогнозные цены'!AA6))*0.01+AA9+AA11</f>
        <v>23927116.136268113</v>
      </c>
      <c r="AC7" s="27">
        <f>AB7*(100-INDEX(vibofnepr_NORM,$A5,AB$3)+(INDEX(vibofnepr_NORM,$A5,AB$3)-INDEX(vibofnepr_NULL,$A5,AB$3))*(1-INDEX(Expl_zatrat_fact,1,AB$6)/'Лист2_прогнозные цены'!AB6))*0.01+AB9+AB11</f>
        <v>24226400.943038341</v>
      </c>
      <c r="AD7" s="27">
        <f>AC7*(100-INDEX(vibofnepr_NORM,$A5,AC$3)+(INDEX(vibofnepr_NORM,$A5,AC$3)-INDEX(vibofnepr_NULL,$A5,AC$3))*(1-INDEX(Expl_zatrat_fact,1,AC$6)/'Лист2_прогнозные цены'!AC6))*0.01+AC9+AC11</f>
        <v>24616620.846448045</v>
      </c>
      <c r="AE7" s="27">
        <f>AD7*(100-INDEX(vibofnepr_NORM,$A5,AD$3)+(INDEX(vibofnepr_NORM,$A5,AD$3)-INDEX(vibofnepr_NULL,$A5,AD$3))*(1-INDEX(Expl_zatrat_fact,1,AD$6)/'Лист2_прогнозные цены'!AD6))*0.01+AD9+AD11</f>
        <v>24892000.431018393</v>
      </c>
      <c r="AF7" s="92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6"/>
      <c r="BD7" s="16"/>
      <c r="BE7" s="16"/>
    </row>
    <row r="8" spans="1:57" s="47" customFormat="1" x14ac:dyDescent="0.2">
      <c r="A8" s="1"/>
      <c r="B8" s="46" t="s">
        <v>10</v>
      </c>
      <c r="F8" s="21">
        <f t="shared" ref="F8:N8" si="0">F7*INDEX(explzaNS,$A$5,F$3)</f>
        <v>3725744</v>
      </c>
      <c r="G8" s="21">
        <f t="shared" si="0"/>
        <v>4035871.5100000002</v>
      </c>
      <c r="H8" s="21">
        <f t="shared" si="0"/>
        <v>4063655.6439599996</v>
      </c>
      <c r="I8" s="21">
        <f t="shared" si="0"/>
        <v>4509874.3186828801</v>
      </c>
      <c r="J8" s="21">
        <f t="shared" si="0"/>
        <v>4306202.6147581441</v>
      </c>
      <c r="K8" s="21">
        <f t="shared" si="0"/>
        <v>4330447.7964548375</v>
      </c>
      <c r="L8" s="21">
        <f t="shared" si="0"/>
        <v>4146290.9195989347</v>
      </c>
      <c r="M8" s="21">
        <f t="shared" si="0"/>
        <v>3860780.5702650505</v>
      </c>
      <c r="N8" s="252">
        <f t="shared" si="0"/>
        <v>4401059.8015974304</v>
      </c>
      <c r="O8" s="77">
        <f t="shared" ref="O8:AE8" si="1">O7*VLOOKUP($A5,explzaNS,2)</f>
        <v>4182427.8490992347</v>
      </c>
      <c r="P8" s="48">
        <f t="shared" si="1"/>
        <v>4176699.4747155886</v>
      </c>
      <c r="Q8" s="48">
        <f t="shared" si="1"/>
        <v>4166762.4605484423</v>
      </c>
      <c r="R8" s="48">
        <f t="shared" si="1"/>
        <v>4155370.3618838014</v>
      </c>
      <c r="S8" s="48">
        <f t="shared" si="1"/>
        <v>4231027.3379580341</v>
      </c>
      <c r="T8" s="48">
        <f t="shared" si="1"/>
        <v>4304017.4064927772</v>
      </c>
      <c r="U8" s="48">
        <f t="shared" si="1"/>
        <v>4374237.6183892675</v>
      </c>
      <c r="V8" s="48">
        <f t="shared" si="1"/>
        <v>4412971.4161171233</v>
      </c>
      <c r="W8" s="48">
        <f t="shared" si="1"/>
        <v>4444541.1021862458</v>
      </c>
      <c r="X8" s="48">
        <f t="shared" si="1"/>
        <v>4458855.136069458</v>
      </c>
      <c r="Y8" s="48">
        <f t="shared" si="1"/>
        <v>4469819.2600871325</v>
      </c>
      <c r="Z8" s="48">
        <f t="shared" si="1"/>
        <v>4479821.9911144106</v>
      </c>
      <c r="AA8" s="48">
        <f t="shared" si="1"/>
        <v>4502956.8961308291</v>
      </c>
      <c r="AB8" s="48">
        <f t="shared" si="1"/>
        <v>4546152.0658909418</v>
      </c>
      <c r="AC8" s="48">
        <f t="shared" si="1"/>
        <v>4603016.1791772852</v>
      </c>
      <c r="AD8" s="48">
        <f t="shared" si="1"/>
        <v>4677157.9608251285</v>
      </c>
      <c r="AE8" s="48">
        <f t="shared" si="1"/>
        <v>4729480.0818934944</v>
      </c>
      <c r="AF8" s="94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50"/>
      <c r="BC8" s="50"/>
      <c r="BD8" s="50"/>
      <c r="BE8" s="50"/>
    </row>
    <row r="9" spans="1:57" x14ac:dyDescent="0.2">
      <c r="B9" s="9" t="s">
        <v>19</v>
      </c>
      <c r="F9" s="29">
        <f>'распределение '!C700</f>
        <v>132947</v>
      </c>
      <c r="G9" s="29">
        <f>'распределение '!D700</f>
        <v>173808</v>
      </c>
      <c r="H9" s="29">
        <f>'распределение '!E700</f>
        <v>194474</v>
      </c>
      <c r="I9" s="29">
        <f>'распределение '!F700</f>
        <v>190616</v>
      </c>
      <c r="J9" s="29">
        <f>'распределение '!G700</f>
        <v>195145</v>
      </c>
      <c r="K9" s="29">
        <f>'распределение '!H700</f>
        <v>175906</v>
      </c>
      <c r="L9" s="29">
        <f>'распределение '!I700</f>
        <v>213894</v>
      </c>
      <c r="M9" s="29">
        <f>'распределение '!J700</f>
        <v>190141</v>
      </c>
      <c r="N9" s="294">
        <f>'распределение '!K700</f>
        <v>126081</v>
      </c>
      <c r="O9" s="293">
        <f>'распределение '!L700</f>
        <v>167371</v>
      </c>
      <c r="P9" s="29">
        <f>'распределение '!M700</f>
        <v>182106</v>
      </c>
      <c r="Q9" s="29">
        <f>'распределение '!N700</f>
        <v>189987</v>
      </c>
      <c r="R9" s="29">
        <f>'распределение '!O700</f>
        <v>258193</v>
      </c>
      <c r="S9" s="29">
        <f>'распределение '!P700</f>
        <v>376729</v>
      </c>
      <c r="T9" s="29">
        <f>'распределение '!Q700</f>
        <v>428186</v>
      </c>
      <c r="U9" s="29">
        <f>'распределение '!R700</f>
        <v>355296</v>
      </c>
      <c r="V9" s="29">
        <f>'распределение '!S700</f>
        <v>280431</v>
      </c>
      <c r="W9" s="29">
        <f>'распределение '!T700</f>
        <v>235016</v>
      </c>
      <c r="X9" s="29">
        <f>'распределение '!U700</f>
        <v>225021</v>
      </c>
      <c r="Y9" s="29">
        <f>'распределение '!V700</f>
        <v>225908</v>
      </c>
      <c r="Z9" s="29">
        <f>'распределение '!W700</f>
        <v>292201</v>
      </c>
      <c r="AA9" s="29">
        <f>'распределение '!X700</f>
        <v>369542</v>
      </c>
      <c r="AB9" s="29">
        <f>'распределение '!Y700</f>
        <v>486989</v>
      </c>
      <c r="AC9" s="29">
        <f>'распределение '!Z700</f>
        <v>537139</v>
      </c>
      <c r="AD9" s="29">
        <f>'распределение '!AA700</f>
        <v>351779</v>
      </c>
      <c r="AE9" s="29">
        <f>'распределение '!AB700</f>
        <v>248920</v>
      </c>
      <c r="AF9" s="92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6"/>
      <c r="BC9" s="16"/>
      <c r="BD9" s="16"/>
      <c r="BE9" s="16"/>
    </row>
    <row r="10" spans="1:57" s="3" customFormat="1" x14ac:dyDescent="0.2">
      <c r="A10" s="22"/>
      <c r="B10" s="53" t="s">
        <v>17</v>
      </c>
      <c r="F10" s="77">
        <f t="shared" ref="F10:AE10" si="2">F7*VLOOKUP($A5,baplata,2)*INDEX(cumindtarif,$A5,F$6)</f>
        <v>2802983.6601123069</v>
      </c>
      <c r="G10" s="77">
        <f t="shared" si="2"/>
        <v>3046768.4695615643</v>
      </c>
      <c r="H10" s="77">
        <f t="shared" si="2"/>
        <v>3117202.0011459235</v>
      </c>
      <c r="I10" s="77">
        <f t="shared" si="2"/>
        <v>3464570.5271982751</v>
      </c>
      <c r="J10" s="77">
        <f t="shared" si="2"/>
        <v>3606781.6506088469</v>
      </c>
      <c r="K10" s="77">
        <f t="shared" si="2"/>
        <v>3840942.7565357499</v>
      </c>
      <c r="L10" s="77">
        <f t="shared" si="2"/>
        <v>3951188.5810860386</v>
      </c>
      <c r="M10" s="77">
        <f t="shared" si="2"/>
        <v>3992352.7666703104</v>
      </c>
      <c r="N10" s="257">
        <f t="shared" si="2"/>
        <v>4027674.1750890855</v>
      </c>
      <c r="O10" s="77">
        <f t="shared" si="2"/>
        <v>4029043.0980848046</v>
      </c>
      <c r="P10" s="77">
        <f t="shared" si="2"/>
        <v>4023524.803901046</v>
      </c>
      <c r="Q10" s="77">
        <f t="shared" si="2"/>
        <v>4013952.2159712068</v>
      </c>
      <c r="R10" s="77">
        <f t="shared" si="2"/>
        <v>4002977.9067533305</v>
      </c>
      <c r="S10" s="77">
        <f t="shared" si="2"/>
        <v>4075860.2679731422</v>
      </c>
      <c r="T10" s="77">
        <f t="shared" si="2"/>
        <v>4146173.526795283</v>
      </c>
      <c r="U10" s="77">
        <f t="shared" si="2"/>
        <v>4213818.5096366582</v>
      </c>
      <c r="V10" s="77">
        <f t="shared" si="2"/>
        <v>4251131.7989577502</v>
      </c>
      <c r="W10" s="77">
        <f t="shared" si="2"/>
        <v>4281543.7104968587</v>
      </c>
      <c r="X10" s="77">
        <f t="shared" si="2"/>
        <v>4295332.7970044296</v>
      </c>
      <c r="Y10" s="77">
        <f t="shared" si="2"/>
        <v>4305894.8269530088</v>
      </c>
      <c r="Z10" s="77">
        <f t="shared" si="2"/>
        <v>4315530.7216681158</v>
      </c>
      <c r="AA10" s="77">
        <f t="shared" si="2"/>
        <v>4337817.1860721158</v>
      </c>
      <c r="AB10" s="77">
        <f t="shared" si="2"/>
        <v>4379428.2327827169</v>
      </c>
      <c r="AC10" s="77">
        <f t="shared" si="2"/>
        <v>4434206.9334396552</v>
      </c>
      <c r="AD10" s="77">
        <f t="shared" si="2"/>
        <v>4531133.2320488347</v>
      </c>
      <c r="AE10" s="77">
        <f t="shared" si="2"/>
        <v>4607756.6538004465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3"/>
      <c r="BC10" s="23"/>
      <c r="BD10" s="23"/>
      <c r="BE10" s="23"/>
    </row>
    <row r="11" spans="1:57" s="3" customFormat="1" x14ac:dyDescent="0.2">
      <c r="A11" s="106"/>
      <c r="B11" s="53" t="s">
        <v>20</v>
      </c>
      <c r="F11" s="77">
        <f>INDEX([1]!ScenVvodGKHNaselen,NScenVvodNaselGKH,F$6)</f>
        <v>45327</v>
      </c>
      <c r="G11" s="77">
        <f>INDEX([1]!ScenVvodGKHNaselen,NScenVvodNaselGKH,G$6)</f>
        <v>57390</v>
      </c>
      <c r="H11" s="77">
        <f>INDEX([1]!ScenVvodGKHNaselen,NScenVvodNaselGKH,H$6)</f>
        <v>64558</v>
      </c>
      <c r="I11" s="77">
        <f>INDEX([1]!ScenVvodGKHNaselen,NScenVvodNaselGKH,I$6)</f>
        <v>79561</v>
      </c>
      <c r="J11" s="77">
        <f>INDEX([1]!ScenVvodGKHNaselen,NScenVvodNaselGKH,J$6)</f>
        <v>76798</v>
      </c>
      <c r="K11" s="77">
        <f>INDEX([1]!ScenVvodGKHNaselen,NScenVvodNaselGKH,K$6)</f>
        <v>102700</v>
      </c>
      <c r="L11" s="77">
        <f>INDEX([1]!ScenVvodGKHNaselen,NScenVvodNaselGKH,L$6)</f>
        <v>87400</v>
      </c>
      <c r="M11" s="77">
        <f>INDEX([1]!ScenVvodGKHNaselen,NScenVvodNaselGKH,M$6)</f>
        <v>111900</v>
      </c>
      <c r="N11" s="77">
        <f>INDEX([1]!ScenVvodGKHNaselen,NScenVvodNaselGKH,N$6)</f>
        <v>155652.9</v>
      </c>
      <c r="O11" s="77">
        <f>INDEX([1]!ScenVvodGKHNaselen,NScenVvodNaselGKH,O$6)</f>
        <v>79382.978999999992</v>
      </c>
      <c r="P11" s="77">
        <f>INDEX([1]!ScenVvodGKHNaselen,NScenVvodNaselGKH,P$6)</f>
        <v>51598.936349999989</v>
      </c>
      <c r="Q11" s="77">
        <f>INDEX([1]!ScenVvodGKHNaselen,NScenVvodNaselGKH,Q$6)</f>
        <v>41279.149079999996</v>
      </c>
      <c r="R11" s="77">
        <f>INDEX([1]!ScenVvodGKHNaselen,NScenVvodNaselGKH,R$6)</f>
        <v>358705.31417405262</v>
      </c>
      <c r="S11" s="77">
        <f>INDEX([1]!ScenVvodGKHNaselen,NScenVvodNaselGKH,S$6)</f>
        <v>230114.90481222825</v>
      </c>
      <c r="T11" s="77">
        <f>INDEX([1]!ScenVvodGKHNaselen,NScenVvodNaselGKH,T$6)</f>
        <v>167921.29453377827</v>
      </c>
      <c r="U11" s="77">
        <f>INDEX([1]!ScenVvodGKHNaselen,NScenVvodNaselGKH,U$6)</f>
        <v>78789.125851305231</v>
      </c>
      <c r="V11" s="77">
        <f>INDEX([1]!ScenVvodGKHNaselen,NScenVvodNaselGKH,V$6)</f>
        <v>117986.89594891602</v>
      </c>
      <c r="W11" s="77">
        <f>INDEX([1]!ScenVvodGKHNaselen,NScenVvodNaselGKH,W$6)</f>
        <v>74244.236342498218</v>
      </c>
      <c r="X11" s="77">
        <f>INDEX([1]!ScenVvodGKHNaselen,NScenVvodNaselGKH,X$6)</f>
        <v>67361.501991412762</v>
      </c>
      <c r="Y11" s="77">
        <f>INDEX([1]!ScenVvodGKHNaselen,NScenVvodNaselGKH,Y$6)</f>
        <v>61991.598042885198</v>
      </c>
      <c r="Z11" s="77">
        <f>INDEX([1]!ScenVvodGKHNaselen,NScenVvodNaselGKH,Z$6)</f>
        <v>65341.762776644195</v>
      </c>
      <c r="AA11" s="77">
        <f>INDEX([1]!ScenVvodGKHNaselen,NScenVvodNaselGKH,AA$6)</f>
        <v>94798.730112738034</v>
      </c>
      <c r="AB11" s="77">
        <f>INDEX([1]!ScenVvodGKHNaselen,NScenVvodNaselGKH,AB$6)</f>
        <v>51566.968132905859</v>
      </c>
      <c r="AC11" s="77">
        <f>INDEX([1]!ScenVvodGKHNaselen,NScenVvodNaselGKH,AC$6)</f>
        <v>95344.912840090255</v>
      </c>
      <c r="AD11" s="77">
        <f>INDEX([1]!ScenVvodGKHNaselen,NScenVvodNaselGKH,AD$6)</f>
        <v>169766.79303483054</v>
      </c>
      <c r="AE11" s="77">
        <f>INDEX([1]!ScenVvodGKHNaselen,NScenVvodNaselGKH,AE$6)</f>
        <v>0</v>
      </c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3"/>
      <c r="BC11" s="23"/>
      <c r="BD11" s="23"/>
      <c r="BE11" s="23"/>
    </row>
    <row r="12" spans="1:57" ht="13.5" thickBot="1" x14ac:dyDescent="0.25">
      <c r="A12" s="11">
        <v>2</v>
      </c>
      <c r="B12" s="9"/>
      <c r="O12" s="20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97"/>
      <c r="AC12" s="17"/>
      <c r="AD12" s="17"/>
      <c r="AE12" s="17"/>
      <c r="AF12" s="92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6"/>
      <c r="BC12" s="16"/>
      <c r="BD12" s="16"/>
      <c r="BE12" s="16"/>
    </row>
    <row r="13" spans="1:57" s="25" customFormat="1" x14ac:dyDescent="0.2">
      <c r="A13" s="54" t="str">
        <f>VLOOKUP(A12,[1]!spotrnepr,2)</f>
        <v>дошкольные учреждения</v>
      </c>
      <c r="B13" s="55"/>
      <c r="F13" s="31">
        <v>2006</v>
      </c>
      <c r="G13" s="31">
        <v>2007</v>
      </c>
      <c r="H13" s="31">
        <v>2008</v>
      </c>
      <c r="I13" s="31">
        <v>2009</v>
      </c>
      <c r="J13" s="31">
        <v>2010</v>
      </c>
      <c r="K13" s="31">
        <v>2011</v>
      </c>
      <c r="L13" s="31">
        <v>2012</v>
      </c>
      <c r="M13" s="31">
        <v>2013</v>
      </c>
      <c r="N13" s="287">
        <v>2014</v>
      </c>
      <c r="O13" s="282">
        <v>2015</v>
      </c>
      <c r="P13" s="31">
        <v>2016</v>
      </c>
      <c r="Q13" s="31">
        <v>2017</v>
      </c>
      <c r="R13" s="31">
        <v>2018</v>
      </c>
      <c r="S13" s="31">
        <v>2019</v>
      </c>
      <c r="T13" s="31">
        <v>2020</v>
      </c>
      <c r="U13" s="31">
        <v>2021</v>
      </c>
      <c r="V13" s="31">
        <v>2022</v>
      </c>
      <c r="W13" s="31">
        <v>2023</v>
      </c>
      <c r="X13" s="31">
        <v>2024</v>
      </c>
      <c r="Y13" s="31">
        <v>2025</v>
      </c>
      <c r="Z13" s="31">
        <v>2026</v>
      </c>
      <c r="AA13" s="31">
        <v>2027</v>
      </c>
      <c r="AB13" s="31">
        <v>2028</v>
      </c>
      <c r="AC13" s="31">
        <v>2029</v>
      </c>
      <c r="AD13" s="31">
        <v>2030</v>
      </c>
      <c r="AE13" s="31">
        <v>2031</v>
      </c>
      <c r="AF13" s="95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7"/>
      <c r="BC13" s="57"/>
      <c r="BD13" s="57"/>
      <c r="BE13" s="57"/>
    </row>
    <row r="14" spans="1:57" x14ac:dyDescent="0.2">
      <c r="A14" s="106"/>
      <c r="B14" s="9" t="s">
        <v>9</v>
      </c>
      <c r="F14" s="21">
        <f>VLOOKUP(A12,bamonepr,3)</f>
        <v>40900</v>
      </c>
      <c r="G14" s="27">
        <f>F14*(100-INDEX(vibofnepr_NORM,$A12,F$3)+(INDEX(vibofnepr_NORM,$A12,F$3)-INDEX(vibofnepr_NULL,$A12,F$3))*(1-INDEX(Expl_zatrat_fact,2,F$6)/'Лист2_прогнозные цены'!F14))*0.01+F17</f>
        <v>43540</v>
      </c>
      <c r="H14" s="27">
        <f>G14*(100-INDEX(vibofnepr_NORM,$A12,G$3)+(INDEX(vibofnepr_NORM,$A12,G$3)-INDEX(vibofnepr_NULL,$A12,G$3))*(1-INDEX(Expl_zatrat_fact,2,G$6)/'Лист2_прогнозные цены'!G14))*0.01+G17</f>
        <v>45250.22</v>
      </c>
      <c r="I14" s="27">
        <f>H14*(100-INDEX(vibofnepr_NORM,$A12,H$3)+(INDEX(vibofnepr_NORM,$A12,H$3)-INDEX(vibofnepr_NULL,$A12,H$3))*(1-INDEX(Expl_zatrat_fact,2,H$6)/'Лист2_прогнозные цены'!H14))*0.01+H17</f>
        <v>45824.717800000006</v>
      </c>
      <c r="J14" s="27">
        <f>I14*(100-INDEX(vibofnepr_NORM,$A12,I$3)+(INDEX(vibofnepr_NORM,$A12,I$3)-INDEX(vibofnepr_NULL,$A12,I$3))*(1-INDEX(Expl_zatrat_fact,2,I$6)/'Лист2_прогнозные цены'!I14))*0.01+I17</f>
        <v>46506.068364400009</v>
      </c>
      <c r="K14" s="27">
        <f>J14*(100-INDEX(vibofnepr_NORM,$A12,J$3)+(INDEX(vibofnepr_NORM,$A12,J$3)-INDEX(vibofnepr_NULL,$A12,J$3))*(1-INDEX(Expl_zatrat_fact,2,J$6)/'Лист2_прогнозные цены'!J14))*0.01+J17</f>
        <v>47218.056227671208</v>
      </c>
      <c r="L14" s="27">
        <f>K14*(100-INDEX(vibofnepr_NORM,$A12,K$3)+(INDEX(vibofnepr_NORM,$A12,K$3)-INDEX(vibofnepr_NULL,$A12,K$3))*(1-INDEX(Expl_zatrat_fact,2,K$6)/'Лист2_прогнозные цены'!K14))*0.01+K17</f>
        <v>48432.838171443538</v>
      </c>
      <c r="M14" s="27">
        <f>L14*(100-INDEX(vibofnepr_NORM,$A12,L$3)+(INDEX(vibofnepr_NORM,$A12,L$3)-INDEX(vibofnepr_NULL,$A12,L$3))*(1-INDEX(Expl_zatrat_fact,2,L$6)/'Лист2_прогнозные цены'!L14))*0.01+L17</f>
        <v>50661.405333272101</v>
      </c>
      <c r="N14" s="252">
        <f>M14*(100-INDEX(vibofnepr_NORM,$A12,M$3)+(INDEX(vibofnepr_NORM,$A12,M$3)-INDEX(vibofnepr_NULL,$A12,M$3))*(1-INDEX(Expl_zatrat_fact,2,M$6)/'Лист2_прогнозные цены'!M14))*0.01+M17</f>
        <v>53151.791279939374</v>
      </c>
      <c r="O14" s="77">
        <f>N14*(100-INDEX(vibofnepr_NORM,$A12,N$3)+(INDEX(vibofnepr_NORM,$A12,N$3)-INDEX(vibofnepr_NULL,$A12,N$3))*(1-INDEX(Expl_zatrat_fact,2,N$6)/'Лист2_прогнозные цены'!N14))*0.01+N17</f>
        <v>53137.276715701468</v>
      </c>
      <c r="P14" s="27">
        <f>O14*(100-INDEX(vibofnepr_NORM,$A12,O$3)+(INDEX(vibofnepr_NORM,$A12,O$3)-INDEX(vibofnepr_NULL,$A12,O$3))*(1-INDEX(Expl_zatrat_fact,2,O$6)/'Лист2_прогнозные цены'!O14))*0.01+O17</f>
        <v>53264.699283755705</v>
      </c>
      <c r="Q14" s="27">
        <f>P14*(100-INDEX(vibofnepr_NORM,$A12,P$3)+(INDEX(vibofnepr_NORM,$A12,P$3)-INDEX(vibofnepr_NULL,$A12,P$3))*(1-INDEX(Expl_zatrat_fact,2,P$6)/'Лист2_прогнозные цены'!P14))*0.01+P17</f>
        <v>53333.614571249716</v>
      </c>
      <c r="R14" s="27">
        <f>Q14*(100-INDEX(vibofnepr_NORM,$A12,Q$3)+(INDEX(vibofnepr_NORM,$A12,Q$3)-INDEX(vibofnepr_NULL,$A12,Q$3))*(1-INDEX(Expl_zatrat_fact,2,Q$6)/'Лист2_прогнозные цены'!Q14))*0.01+Q17</f>
        <v>53338.358272223653</v>
      </c>
      <c r="S14" s="27">
        <f>R14*(100-INDEX(vibofnepr_NORM,$A12,R$3)+(INDEX(vibofnepr_NORM,$A12,R$3)-INDEX(vibofnepr_NULL,$A12,R$3))*(1-INDEX(Expl_zatrat_fact,2,R$6)/'Лист2_прогнозные цены'!R14))*0.01+R17</f>
        <v>52480.300542143275</v>
      </c>
      <c r="T14" s="27">
        <f>S14*(100-INDEX(vibofnepr_NORM,$A12,S$3)+(INDEX(vibofnepr_NORM,$A12,S$3)-INDEX(vibofnepr_NULL,$A12,S$3))*(1-INDEX(Expl_zatrat_fact,2,S$6)/'Лист2_прогнозные цены'!S14))*0.01+S17</f>
        <v>52303.670890303394</v>
      </c>
      <c r="U14" s="27">
        <f>T14*(100-INDEX(vibofnepr_NORM,$A12,T$3)+(INDEX(vibofnepr_NORM,$A12,T$3)-INDEX(vibofnepr_NULL,$A12,T$3))*(1-INDEX(Expl_zatrat_fact,2,T$6)/'Лист2_прогнозные цены'!T14))*0.01+T17</f>
        <v>52656.234340862924</v>
      </c>
      <c r="V14" s="27">
        <f>U14*(100-INDEX(vibofnepr_NORM,$A12,U$3)+(INDEX(vibofnepr_NORM,$A12,U$3)-INDEX(vibofnepr_NULL,$A12,U$3))*(1-INDEX(Expl_zatrat_fact,2,U$6)/'Лист2_прогнозные цены'!U14))*0.01+U17</f>
        <v>52749.074074229153</v>
      </c>
      <c r="W14" s="27">
        <f>V14*(100-INDEX(vibofnepr_NORM,$A12,V$3)+(INDEX(vibofnepr_NORM,$A12,V$3)-INDEX(vibofnepr_NULL,$A12,V$3))*(1-INDEX(Expl_zatrat_fact,2,V$6)/'Лист2_прогнозные цены'!V14))*0.01+V17</f>
        <v>52562.765432287168</v>
      </c>
      <c r="X14" s="27">
        <f>W14*(100-INDEX(vibofnepr_NORM,$A12,W$3)+(INDEX(vibofnepr_NORM,$A12,W$3)-INDEX(vibofnepr_NULL,$A12,W$3))*(1-INDEX(Expl_zatrat_fact,2,W$6)/'Лист2_прогнозные цены'!W14))*0.01+W17</f>
        <v>52206.144427509935</v>
      </c>
      <c r="Y14" s="27">
        <f>X14*(100-INDEX(vibofnepr_NORM,$A12,X$3)+(INDEX(vibofnepr_NORM,$A12,X$3)-INDEX(vibofnepr_NULL,$A12,X$3))*(1-INDEX(Expl_zatrat_fact,2,X$6)/'Лист2_прогнозные цены'!X14))*0.01+X17</f>
        <v>51942.024129554418</v>
      </c>
      <c r="Z14" s="27">
        <f>Y14*(100-INDEX(vibofnepr_NORM,$A12,Y$3)+(INDEX(vibofnepr_NORM,$A12,Y$3)-INDEX(vibofnepr_NULL,$A12,Y$3))*(1-INDEX(Expl_zatrat_fact,2,Y$6)/'Лист2_прогнозные цены'!Y14))*0.01+Y17</f>
        <v>52038.91918815946</v>
      </c>
      <c r="AA14" s="27">
        <f>Z14*(100-INDEX(vibofnepr_NORM,$A12,Z$3)+(INDEX(vibofnepr_NORM,$A12,Z$3)-INDEX(vibofnepr_NULL,$A12,Z$3))*(1-INDEX(Expl_zatrat_fact,2,Z$6)/'Лист2_прогнозные цены'!Z14))*0.01+Z17</f>
        <v>51510.34426123491</v>
      </c>
      <c r="AB14" s="27">
        <f>AA14*(100-INDEX(vibofnepr_NORM,$A12,AA$3)+(INDEX(vibofnepr_NORM,$A12,AA$3)-INDEX(vibofnepr_NULL,$A12,AA$3))*(1-INDEX(Expl_zatrat_fact,2,AA$6)/'Лист2_прогнозные цены'!AA14))*0.01+AA17</f>
        <v>50667.706809746385</v>
      </c>
      <c r="AC14" s="27">
        <f>AB14*(100-INDEX(vibofnepr_NORM,$A12,AB$3)+(INDEX(vibofnepr_NORM,$A12,AB$3)-INDEX(vibofnepr_NULL,$A12,AB$3))*(1-INDEX(Expl_zatrat_fact,2,AB$6)/'Лист2_прогнозные цены'!AB14))*0.01+AB17</f>
        <v>49768.741507456645</v>
      </c>
      <c r="AD14" s="27">
        <f>AC14*(100-INDEX(vibofnepr_NORM,$A12,AC$3)+(INDEX(vibofnepr_NORM,$A12,AC$3)-INDEX(vibofnepr_NULL,$A12,AC$3))*(1-INDEX(Expl_zatrat_fact,2,AC$6)/'Лист2_прогнозные цены'!AC14))*0.01+AC17</f>
        <v>48970.474781308287</v>
      </c>
      <c r="AE14" s="27">
        <f>AD14*(100-INDEX(vibofnepr_NORM,$A12,AD$3)+(INDEX(vibofnepr_NORM,$A12,AD$3)-INDEX(vibofnepr_NULL,$A12,AD$3))*(1-INDEX(Expl_zatrat_fact,2,AD$6)/'Лист2_прогнозные цены'!AD14))*0.01+AD17</f>
        <v>48397.75451999822</v>
      </c>
      <c r="AF14" s="92"/>
      <c r="AG14" s="15"/>
      <c r="AH14" s="384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6"/>
      <c r="BD14" s="16"/>
      <c r="BE14" s="16"/>
    </row>
    <row r="15" spans="1:57" x14ac:dyDescent="0.2">
      <c r="A15" s="3"/>
      <c r="B15" s="9" t="s">
        <v>10</v>
      </c>
      <c r="F15" s="21">
        <f t="shared" ref="F15:N15" si="3">F14*INDEX(explzaNS,$A$12,F$3)</f>
        <v>482620</v>
      </c>
      <c r="G15" s="21">
        <f t="shared" si="3"/>
        <v>474586</v>
      </c>
      <c r="H15" s="21">
        <f t="shared" si="3"/>
        <v>576940.30500000005</v>
      </c>
      <c r="I15" s="21">
        <f t="shared" si="3"/>
        <v>618633.69030000013</v>
      </c>
      <c r="J15" s="21">
        <f t="shared" si="3"/>
        <v>395301.58109740005</v>
      </c>
      <c r="K15" s="21">
        <f t="shared" si="3"/>
        <v>495789.5903905477</v>
      </c>
      <c r="L15" s="21">
        <f t="shared" si="3"/>
        <v>532761.21988587896</v>
      </c>
      <c r="M15" s="21">
        <f t="shared" si="3"/>
        <v>537010.89653268422</v>
      </c>
      <c r="N15" s="252">
        <f t="shared" si="3"/>
        <v>637821.49535927246</v>
      </c>
      <c r="O15" s="77">
        <f t="shared" ref="O15:AE15" si="4">O14*VLOOKUP($A12,explzaNS,2)</f>
        <v>10096.082575983279</v>
      </c>
      <c r="P15" s="21">
        <f t="shared" si="4"/>
        <v>10120.292863913584</v>
      </c>
      <c r="Q15" s="21">
        <f t="shared" si="4"/>
        <v>10133.386768537446</v>
      </c>
      <c r="R15" s="21">
        <f t="shared" si="4"/>
        <v>10134.288071722494</v>
      </c>
      <c r="S15" s="21">
        <f t="shared" si="4"/>
        <v>9971.2571030072231</v>
      </c>
      <c r="T15" s="21">
        <f t="shared" si="4"/>
        <v>9937.6974691576452</v>
      </c>
      <c r="U15" s="21">
        <f t="shared" si="4"/>
        <v>10004.684524763956</v>
      </c>
      <c r="V15" s="21">
        <f t="shared" si="4"/>
        <v>10022.324074103539</v>
      </c>
      <c r="W15" s="21">
        <f t="shared" si="4"/>
        <v>9986.9254321345616</v>
      </c>
      <c r="X15" s="21">
        <f t="shared" si="4"/>
        <v>9919.1674412268876</v>
      </c>
      <c r="Y15" s="21">
        <f t="shared" si="4"/>
        <v>9868.9845846153403</v>
      </c>
      <c r="Z15" s="21">
        <f t="shared" si="4"/>
        <v>9887.3946457502971</v>
      </c>
      <c r="AA15" s="21">
        <f t="shared" si="4"/>
        <v>9786.965409634633</v>
      </c>
      <c r="AB15" s="21">
        <f t="shared" si="4"/>
        <v>9626.8642938518133</v>
      </c>
      <c r="AC15" s="21">
        <f t="shared" si="4"/>
        <v>9456.0608864167625</v>
      </c>
      <c r="AD15" s="21">
        <f t="shared" si="4"/>
        <v>9304.3902084485744</v>
      </c>
      <c r="AE15" s="21">
        <f t="shared" si="4"/>
        <v>9195.5733587996619</v>
      </c>
      <c r="AF15" s="92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6"/>
      <c r="BC15" s="16"/>
      <c r="BD15" s="16"/>
      <c r="BE15" s="16"/>
    </row>
    <row r="16" spans="1:57" x14ac:dyDescent="0.2">
      <c r="A16" s="3"/>
      <c r="B16" s="9" t="s">
        <v>15</v>
      </c>
      <c r="F16" s="21">
        <f>F14*INDEX(TrudZa,$A$12,F$3)*VLOOKUP($A$12,BazZpNS,2)*INDEX(CumIndFZP,$A$12,F$3)</f>
        <v>305113.10091743118</v>
      </c>
      <c r="G16" s="21">
        <f t="shared" ref="G16:AD16" si="5">G14*INDEX(TrudZa,$A$12,G$3)*VLOOKUP($A12,BazZpNS,2)*INDEX(CumIndFZP,$A$12,G$3)</f>
        <v>337918.5604853073</v>
      </c>
      <c r="H16" s="21">
        <f t="shared" si="5"/>
        <v>386583.58033621736</v>
      </c>
      <c r="I16" s="21">
        <f t="shared" si="5"/>
        <v>385812.31379272509</v>
      </c>
      <c r="J16" s="21">
        <f t="shared" si="5"/>
        <v>378184.06246693642</v>
      </c>
      <c r="K16" s="21">
        <f t="shared" si="5"/>
        <v>362686.45142900804</v>
      </c>
      <c r="L16" s="21">
        <f t="shared" si="5"/>
        <v>469632.57411826315</v>
      </c>
      <c r="M16" s="21">
        <f t="shared" si="5"/>
        <v>700879.10140349774</v>
      </c>
      <c r="N16" s="252">
        <f t="shared" si="5"/>
        <v>736575.42397803569</v>
      </c>
      <c r="O16" s="378">
        <f t="shared" si="5"/>
        <v>736374.28172017494</v>
      </c>
      <c r="P16" s="21">
        <f t="shared" si="5"/>
        <v>738140.09863487876</v>
      </c>
      <c r="Q16" s="21">
        <f t="shared" si="5"/>
        <v>739095.12396670843</v>
      </c>
      <c r="R16" s="21">
        <f t="shared" si="5"/>
        <v>739160.86198742152</v>
      </c>
      <c r="S16" s="21">
        <f t="shared" si="5"/>
        <v>727269.93185859767</v>
      </c>
      <c r="T16" s="21">
        <f t="shared" si="5"/>
        <v>724822.20512054977</v>
      </c>
      <c r="U16" s="21">
        <f t="shared" si="5"/>
        <v>729708.01549159281</v>
      </c>
      <c r="V16" s="21">
        <f t="shared" si="5"/>
        <v>730994.58484926668</v>
      </c>
      <c r="W16" s="21">
        <f t="shared" si="5"/>
        <v>728412.72704871895</v>
      </c>
      <c r="X16" s="21">
        <f t="shared" si="5"/>
        <v>723470.68725160672</v>
      </c>
      <c r="Y16" s="21">
        <f t="shared" si="5"/>
        <v>719810.51859570632</v>
      </c>
      <c r="Z16" s="21">
        <f t="shared" si="5"/>
        <v>721153.28649034793</v>
      </c>
      <c r="AA16" s="21">
        <f t="shared" si="5"/>
        <v>713828.31603256846</v>
      </c>
      <c r="AB16" s="21">
        <f t="shared" si="5"/>
        <v>702151.07951534528</v>
      </c>
      <c r="AC16" s="21">
        <f t="shared" si="5"/>
        <v>689693.25386675762</v>
      </c>
      <c r="AD16" s="21">
        <f t="shared" si="5"/>
        <v>682472.21211863367</v>
      </c>
      <c r="AE16" s="21">
        <f>AE14*INDEX(TrudZa,$A$12,AE$3)*INDEX(BazZpNS,2,2)*INDEX(CumIndFZP,$A$12,AE$3)</f>
        <v>678308.42349861294</v>
      </c>
      <c r="AF16" s="92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6"/>
      <c r="BC16" s="16"/>
      <c r="BD16" s="16"/>
      <c r="BE16" s="16"/>
    </row>
    <row r="17" spans="1:57" s="3" customFormat="1" ht="18" x14ac:dyDescent="0.25">
      <c r="A17" s="103"/>
      <c r="B17" s="53" t="s">
        <v>11</v>
      </c>
      <c r="F17" s="77">
        <f t="shared" ref="F17:AE17" si="6">INDEX(VvodNewMosh,$A12,F$6)+INDEX(VVODNMNAS,$A12,F$6)</f>
        <v>3049</v>
      </c>
      <c r="G17" s="77">
        <f t="shared" si="6"/>
        <v>2015</v>
      </c>
      <c r="H17" s="77">
        <f t="shared" si="6"/>
        <v>1027</v>
      </c>
      <c r="I17" s="77">
        <f t="shared" si="6"/>
        <v>773</v>
      </c>
      <c r="J17" s="77">
        <f t="shared" si="6"/>
        <v>805</v>
      </c>
      <c r="K17" s="77">
        <f t="shared" si="6"/>
        <v>1262</v>
      </c>
      <c r="L17" s="77">
        <f t="shared" si="6"/>
        <v>2277</v>
      </c>
      <c r="M17" s="77">
        <f t="shared" si="6"/>
        <v>2997</v>
      </c>
      <c r="N17" s="257">
        <f t="shared" si="6"/>
        <v>1079</v>
      </c>
      <c r="O17" s="77">
        <f t="shared" si="6"/>
        <v>1261</v>
      </c>
      <c r="P17" s="77">
        <f t="shared" si="6"/>
        <v>1240</v>
      </c>
      <c r="Q17" s="77">
        <f t="shared" si="6"/>
        <v>1199</v>
      </c>
      <c r="R17" s="77">
        <f t="shared" si="6"/>
        <v>295</v>
      </c>
      <c r="S17" s="77">
        <f t="shared" si="6"/>
        <v>874</v>
      </c>
      <c r="T17" s="77">
        <f t="shared" si="6"/>
        <v>1301</v>
      </c>
      <c r="U17" s="77">
        <f t="shared" si="6"/>
        <v>1020</v>
      </c>
      <c r="V17" s="77">
        <f t="shared" si="6"/>
        <v>815</v>
      </c>
      <c r="W17" s="77">
        <f t="shared" si="6"/>
        <v>645</v>
      </c>
      <c r="X17" s="77">
        <f t="shared" si="6"/>
        <v>737</v>
      </c>
      <c r="Y17" s="77">
        <f t="shared" si="6"/>
        <v>1044</v>
      </c>
      <c r="Z17" s="77">
        <f t="shared" si="6"/>
        <v>210</v>
      </c>
      <c r="AA17" s="77">
        <f t="shared" si="6"/>
        <v>0</v>
      </c>
      <c r="AB17" s="77">
        <f t="shared" si="6"/>
        <v>0</v>
      </c>
      <c r="AC17" s="77">
        <f t="shared" si="6"/>
        <v>0</v>
      </c>
      <c r="AD17" s="77">
        <f t="shared" si="6"/>
        <v>0</v>
      </c>
      <c r="AE17" s="77">
        <f t="shared" si="6"/>
        <v>0</v>
      </c>
      <c r="AF17" s="77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3"/>
      <c r="BC17" s="23"/>
      <c r="BD17" s="23"/>
      <c r="BE17" s="23"/>
    </row>
    <row r="18" spans="1:57" s="3" customFormat="1" x14ac:dyDescent="0.2">
      <c r="B18" s="53" t="s">
        <v>17</v>
      </c>
      <c r="F18" s="77">
        <f t="shared" ref="F18:AE18" si="7">F14*VLOOKUP($A12,baplata,2)*INDEX(cumindtarif,$A12,F$6)</f>
        <v>188295.4621924138</v>
      </c>
      <c r="G18" s="27">
        <f t="shared" si="7"/>
        <v>172579.37354850231</v>
      </c>
      <c r="H18" s="27">
        <f t="shared" si="7"/>
        <v>159534.55229843964</v>
      </c>
      <c r="I18" s="27">
        <f t="shared" si="7"/>
        <v>170575.72246310607</v>
      </c>
      <c r="J18" s="27">
        <f t="shared" si="7"/>
        <v>174175.94884430454</v>
      </c>
      <c r="K18" s="27">
        <f t="shared" si="7"/>
        <v>172089.21147334843</v>
      </c>
      <c r="L18" s="27">
        <f t="shared" si="7"/>
        <v>179488.12290826708</v>
      </c>
      <c r="M18" s="27">
        <f t="shared" si="7"/>
        <v>189792.25981287257</v>
      </c>
      <c r="N18" s="252">
        <f t="shared" si="7"/>
        <v>199121.96500985383</v>
      </c>
      <c r="O18" s="77">
        <f t="shared" si="7"/>
        <v>199067.58925914596</v>
      </c>
      <c r="P18" s="27">
        <f t="shared" si="7"/>
        <v>199544.95100983334</v>
      </c>
      <c r="Q18" s="27">
        <f t="shared" si="7"/>
        <v>199803.12758553427</v>
      </c>
      <c r="R18" s="27">
        <f t="shared" si="7"/>
        <v>199820.8988597774</v>
      </c>
      <c r="S18" s="27">
        <f t="shared" si="7"/>
        <v>196606.36672095212</v>
      </c>
      <c r="T18" s="27">
        <f t="shared" si="7"/>
        <v>195944.66101910424</v>
      </c>
      <c r="U18" s="27">
        <f t="shared" si="7"/>
        <v>197265.46555598846</v>
      </c>
      <c r="V18" s="27">
        <f t="shared" si="7"/>
        <v>197613.27001739433</v>
      </c>
      <c r="W18" s="27">
        <f t="shared" si="7"/>
        <v>196915.30402248708</v>
      </c>
      <c r="X18" s="27">
        <f t="shared" si="7"/>
        <v>195579.2987153276</v>
      </c>
      <c r="Y18" s="27">
        <f t="shared" si="7"/>
        <v>194589.8277781978</v>
      </c>
      <c r="Z18" s="27">
        <f t="shared" si="7"/>
        <v>194952.82465948001</v>
      </c>
      <c r="AA18" s="27">
        <f t="shared" si="7"/>
        <v>192972.63028465977</v>
      </c>
      <c r="AB18" s="27">
        <f t="shared" si="7"/>
        <v>189815.86696416154</v>
      </c>
      <c r="AC18" s="27">
        <f t="shared" si="7"/>
        <v>186448.08324216364</v>
      </c>
      <c r="AD18" s="27">
        <f t="shared" si="7"/>
        <v>184703.67220092102</v>
      </c>
      <c r="AE18" s="27">
        <f t="shared" si="7"/>
        <v>183783.44119870474</v>
      </c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3"/>
      <c r="BC18" s="23"/>
      <c r="BD18" s="23"/>
      <c r="BE18" s="23"/>
    </row>
    <row r="19" spans="1:57" ht="18" x14ac:dyDescent="0.25">
      <c r="A19" s="103"/>
      <c r="B19" s="9" t="s">
        <v>18</v>
      </c>
      <c r="F19" s="21">
        <f>F18</f>
        <v>188295.4621924138</v>
      </c>
      <c r="G19" s="21">
        <f t="shared" ref="G19:AE19" si="8">G18</f>
        <v>172579.37354850231</v>
      </c>
      <c r="H19" s="21">
        <f t="shared" si="8"/>
        <v>159534.55229843964</v>
      </c>
      <c r="I19" s="21">
        <f t="shared" si="8"/>
        <v>170575.72246310607</v>
      </c>
      <c r="J19" s="21">
        <f t="shared" si="8"/>
        <v>174175.94884430454</v>
      </c>
      <c r="K19" s="21">
        <f t="shared" si="8"/>
        <v>172089.21147334843</v>
      </c>
      <c r="L19" s="21">
        <f t="shared" si="8"/>
        <v>179488.12290826708</v>
      </c>
      <c r="M19" s="21">
        <f t="shared" si="8"/>
        <v>189792.25981287257</v>
      </c>
      <c r="N19" s="252">
        <f t="shared" si="8"/>
        <v>199121.96500985383</v>
      </c>
      <c r="O19" s="126">
        <f t="shared" si="8"/>
        <v>199067.58925914596</v>
      </c>
      <c r="P19" s="21">
        <f t="shared" si="8"/>
        <v>199544.95100983334</v>
      </c>
      <c r="Q19" s="21">
        <f t="shared" si="8"/>
        <v>199803.12758553427</v>
      </c>
      <c r="R19" s="21">
        <f t="shared" si="8"/>
        <v>199820.8988597774</v>
      </c>
      <c r="S19" s="21">
        <f t="shared" si="8"/>
        <v>196606.36672095212</v>
      </c>
      <c r="T19" s="21">
        <f t="shared" si="8"/>
        <v>195944.66101910424</v>
      </c>
      <c r="U19" s="21">
        <f t="shared" si="8"/>
        <v>197265.46555598846</v>
      </c>
      <c r="V19" s="21">
        <f t="shared" si="8"/>
        <v>197613.27001739433</v>
      </c>
      <c r="W19" s="21">
        <f t="shared" si="8"/>
        <v>196915.30402248708</v>
      </c>
      <c r="X19" s="21">
        <f t="shared" si="8"/>
        <v>195579.2987153276</v>
      </c>
      <c r="Y19" s="21">
        <f t="shared" si="8"/>
        <v>194589.8277781978</v>
      </c>
      <c r="Z19" s="21">
        <f t="shared" si="8"/>
        <v>194952.82465948001</v>
      </c>
      <c r="AA19" s="21">
        <f t="shared" si="8"/>
        <v>192972.63028465977</v>
      </c>
      <c r="AB19" s="21">
        <f t="shared" si="8"/>
        <v>189815.86696416154</v>
      </c>
      <c r="AC19" s="21">
        <f t="shared" si="8"/>
        <v>186448.08324216364</v>
      </c>
      <c r="AD19" s="21">
        <f t="shared" si="8"/>
        <v>184703.67220092102</v>
      </c>
      <c r="AE19" s="21">
        <f t="shared" si="8"/>
        <v>183783.44119870474</v>
      </c>
      <c r="AF19" s="92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6"/>
      <c r="BC19" s="16"/>
      <c r="BD19" s="16"/>
      <c r="BE19" s="16"/>
    </row>
    <row r="20" spans="1:57" x14ac:dyDescent="0.2">
      <c r="A20" s="3"/>
      <c r="B20" s="9" t="s">
        <v>12</v>
      </c>
      <c r="F20" s="21">
        <f t="shared" ref="F20:AE20" si="9">F14*VLOOKUP($A12,TrudZa,2)*0.001</f>
        <v>0.84309402390438248</v>
      </c>
      <c r="G20" s="21">
        <f t="shared" si="9"/>
        <v>0.89751378486055777</v>
      </c>
      <c r="H20" s="21">
        <f t="shared" si="9"/>
        <v>0.932767483187251</v>
      </c>
      <c r="I20" s="21">
        <f t="shared" si="9"/>
        <v>0.94460991990916343</v>
      </c>
      <c r="J20" s="21">
        <f t="shared" si="9"/>
        <v>0.95865497098567987</v>
      </c>
      <c r="K20" s="21">
        <f t="shared" si="9"/>
        <v>0.9733315654261786</v>
      </c>
      <c r="L20" s="21">
        <f t="shared" si="9"/>
        <v>0.99837252868146964</v>
      </c>
      <c r="M20" s="21">
        <f t="shared" si="9"/>
        <v>1.0443111999774894</v>
      </c>
      <c r="N20" s="252">
        <f t="shared" si="9"/>
        <v>1.0956468847904635</v>
      </c>
      <c r="O20" s="126">
        <f t="shared" si="9"/>
        <v>1.0953476881555355</v>
      </c>
      <c r="P20" s="21">
        <f t="shared" si="9"/>
        <v>1.0979743191002072</v>
      </c>
      <c r="Q20" s="21">
        <f t="shared" si="9"/>
        <v>1.0993949075364382</v>
      </c>
      <c r="R20" s="21">
        <f t="shared" si="9"/>
        <v>1.0994926920338055</v>
      </c>
      <c r="S20" s="21">
        <f t="shared" si="9"/>
        <v>1.0818050797013916</v>
      </c>
      <c r="T20" s="21">
        <f t="shared" si="9"/>
        <v>1.0781641162805966</v>
      </c>
      <c r="U20" s="21">
        <f t="shared" si="9"/>
        <v>1.085431699122011</v>
      </c>
      <c r="V20" s="21">
        <f t="shared" si="9"/>
        <v>1.0873454552193691</v>
      </c>
      <c r="W20" s="21">
        <f t="shared" si="9"/>
        <v>1.0835049734926447</v>
      </c>
      <c r="X20" s="21">
        <f t="shared" si="9"/>
        <v>1.0761537500714597</v>
      </c>
      <c r="Y20" s="21">
        <f t="shared" si="9"/>
        <v>1.0707092942084246</v>
      </c>
      <c r="Z20" s="21">
        <f t="shared" si="9"/>
        <v>1.0727066449383946</v>
      </c>
      <c r="AA20" s="21">
        <f t="shared" si="9"/>
        <v>1.061810841464659</v>
      </c>
      <c r="AB20" s="21">
        <f t="shared" si="9"/>
        <v>1.0444410957515051</v>
      </c>
      <c r="AC20" s="21">
        <f t="shared" si="9"/>
        <v>1.0259102333051024</v>
      </c>
      <c r="AD20" s="21">
        <f t="shared" si="9"/>
        <v>1.0094551255716695</v>
      </c>
      <c r="AE20" s="21">
        <f t="shared" si="9"/>
        <v>0.99764933022498314</v>
      </c>
      <c r="AF20" s="96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6"/>
      <c r="BC20" s="16"/>
      <c r="BD20" s="16"/>
      <c r="BE20" s="16"/>
    </row>
    <row r="21" spans="1:57" s="3" customFormat="1" x14ac:dyDescent="0.2">
      <c r="B21" s="53"/>
      <c r="F21" s="230"/>
      <c r="G21" s="20"/>
      <c r="H21" s="20"/>
      <c r="I21" s="20"/>
      <c r="J21" s="20"/>
      <c r="K21" s="20"/>
      <c r="L21" s="20"/>
      <c r="M21" s="20"/>
      <c r="N21" s="290"/>
      <c r="O21" s="12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31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3"/>
      <c r="BC21" s="23"/>
      <c r="BD21" s="23"/>
      <c r="BE21" s="23"/>
    </row>
    <row r="22" spans="1:57" ht="25.5" customHeight="1" thickBot="1" x14ac:dyDescent="0.25">
      <c r="A22" s="19">
        <v>3</v>
      </c>
      <c r="B22" s="9"/>
      <c r="F22" s="458">
        <f>INDEX(VVODNMNAS,$A12,F$6)</f>
        <v>50</v>
      </c>
      <c r="N22" s="290"/>
      <c r="O22" s="126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7"/>
      <c r="AC22" s="15"/>
      <c r="AD22" s="15"/>
      <c r="AE22" s="15"/>
      <c r="AF22" s="92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6"/>
      <c r="BC22" s="16"/>
      <c r="BD22" s="16"/>
      <c r="BE22" s="16"/>
    </row>
    <row r="23" spans="1:57" x14ac:dyDescent="0.2">
      <c r="A23" s="54" t="s">
        <v>73</v>
      </c>
      <c r="B23" s="9"/>
      <c r="F23" s="31">
        <v>2006</v>
      </c>
      <c r="G23" s="31">
        <v>2007</v>
      </c>
      <c r="H23" s="31">
        <v>2008</v>
      </c>
      <c r="I23" s="31">
        <v>2009</v>
      </c>
      <c r="J23" s="31">
        <v>2010</v>
      </c>
      <c r="K23" s="31">
        <v>2011</v>
      </c>
      <c r="L23" s="31">
        <v>2012</v>
      </c>
      <c r="M23" s="31">
        <v>2013</v>
      </c>
      <c r="N23" s="287">
        <v>2014</v>
      </c>
      <c r="O23" s="282">
        <v>2015</v>
      </c>
      <c r="P23" s="31">
        <v>2016</v>
      </c>
      <c r="Q23" s="31">
        <v>2017</v>
      </c>
      <c r="R23" s="31">
        <v>2018</v>
      </c>
      <c r="S23" s="31">
        <v>2019</v>
      </c>
      <c r="T23" s="31">
        <v>2020</v>
      </c>
      <c r="U23" s="31">
        <v>2021</v>
      </c>
      <c r="V23" s="31">
        <v>2022</v>
      </c>
      <c r="W23" s="31">
        <v>2023</v>
      </c>
      <c r="X23" s="31">
        <v>2024</v>
      </c>
      <c r="Y23" s="31">
        <v>2025</v>
      </c>
      <c r="Z23" s="31">
        <v>2026</v>
      </c>
      <c r="AA23" s="31">
        <v>2027</v>
      </c>
      <c r="AB23" s="31">
        <v>2028</v>
      </c>
      <c r="AC23" s="31">
        <v>2029</v>
      </c>
      <c r="AD23" s="31">
        <v>2030</v>
      </c>
      <c r="AE23" s="31">
        <v>2031</v>
      </c>
      <c r="AF23" s="92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6"/>
      <c r="BC23" s="16"/>
      <c r="BD23" s="16"/>
      <c r="BE23" s="16"/>
    </row>
    <row r="24" spans="1:57" x14ac:dyDescent="0.2">
      <c r="A24" s="106"/>
      <c r="B24" s="9" t="s">
        <v>9</v>
      </c>
      <c r="F24" s="21">
        <f>VLOOKUP(A22,bamonepr,3)</f>
        <v>198878</v>
      </c>
      <c r="G24" s="21">
        <f>F24*(100-INDEX(vibofnepr_NORM,$A22,F$3)+(INDEX(vibofnepr_NORM,$A22,F$3)-INDEX(vibofnepr_NULL,$A22,F$3))*(1-INDEX(Expl_zatrat_fact,3,F$3)/'Лист2_прогнозные цены'!F23))*0.01+F28</f>
        <v>190776.1</v>
      </c>
      <c r="H24" s="21">
        <f>G24*(100-INDEX(vibofnepr_NORM,$A22,G$3)+(INDEX(vibofnepr_NORM,$A22,G$3)-INDEX(vibofnepr_NULL,$A22,G$3))*(1-INDEX(Expl_zatrat_fact,3,G$3)/'Лист2_прогнозные цены'!G23))*0.01+G28</f>
        <v>184004.17550000001</v>
      </c>
      <c r="I24" s="21">
        <f>H24*(100-INDEX(vibofnepr_NORM,$A22,H$3)+(INDEX(vibofnepr_NORM,$A22,H$3)-INDEX(vibofnepr_NULL,$A22,H$3))*(1-INDEX(Expl_zatrat_fact,3,H$3)/'Лист2_прогнозные цены'!H23))*0.01+H28</f>
        <v>180768.09199000002</v>
      </c>
      <c r="J24" s="21">
        <f>I24*(100-INDEX(vibofnepr_NORM,$A22,I$3)+(INDEX(vibofnepr_NORM,$A22,I$3)-INDEX(vibofnepr_NULL,$A22,I$3))*(1-INDEX(Expl_zatrat_fact,3,I$3)/'Лист2_прогнозные цены'!I23))*0.01+I28</f>
        <v>176089.04923030001</v>
      </c>
      <c r="K24" s="21">
        <f>J24*(100-INDEX(vibofnepr_NORM,$A22,J$3)+(INDEX(vibofnepr_NORM,$A22,J$3)-INDEX(vibofnepr_NULL,$A22,J$3))*(1-INDEX(Expl_zatrat_fact,3,J$3)/'Лист2_прогнозные цены'!J23))*0.01+J28</f>
        <v>175725.158737997</v>
      </c>
      <c r="L24" s="21">
        <f>K24*(100-INDEX(vibofnepr_NORM,$A22,K$3)+(INDEX(vibofnepr_NORM,$A22,K$3)-INDEX(vibofnepr_NULL,$A22,K$3))*(1-INDEX(Expl_zatrat_fact,3,K$3)/'Лист2_прогнозные цены'!K23))*0.01+K28</f>
        <v>170577.06431802158</v>
      </c>
      <c r="M24" s="21">
        <f>L24*(100-INDEX(vibofnepr_NORM,$A22,L$3)+(INDEX(vibofnepr_NORM,$A22,L$3)-INDEX(vibofnepr_NULL,$A22,L$3))*(1-INDEX(Expl_zatrat_fact,3,L$3)/'Лист2_прогнозные цены'!L23))*0.01+L28</f>
        <v>162674.03403626775</v>
      </c>
      <c r="N24" s="252">
        <f>M24*(100-INDEX(vibofnepr_NORM,$A22,M$3)+(INDEX(vibofnepr_NORM,$A22,M$3)-INDEX(vibofnepr_NULL,$A22,M$3))*(1-INDEX(Expl_zatrat_fact,3,M$3)/'Лист2_прогнозные цены'!M23))*0.01+M28</f>
        <v>150886.75312784433</v>
      </c>
      <c r="O24" s="77">
        <f>N24*(100-INDEX(vibofnepr_NORM,$A22,N$3)+(INDEX(vibofnepr_NORM,$A22,N$3)-INDEX(vibofnepr_NULL,$A22,N$3))*(1-INDEX(Expl_zatrat_fact,3,N$3)/'Лист2_прогнозные цены'!N23))*0.01+N28</f>
        <v>150925.66090898652</v>
      </c>
      <c r="P24" s="21">
        <f>O24*(100-INDEX(vibofnepr_NORM,$A22,O$3)+(INDEX(vibofnepr_NORM,$A22,O$3)-INDEX(vibofnepr_NULL,$A22,O$3))*(1-INDEX(Expl_zatrat_fact,3,O$3)/'Лист2_прогнозные цены'!O23))*0.01+O28</f>
        <v>150217.2689171964</v>
      </c>
      <c r="Q24" s="21">
        <f>P24*(100-INDEX(vibofnepr_NORM,$A22,P$3)+(INDEX(vibofnepr_NORM,$A22,P$3)-INDEX(vibofnepr_NULL,$A22,P$3))*(1-INDEX(Expl_zatrat_fact,3,P$3)/'Лист2_прогнозные цены'!P23))*0.01+P28</f>
        <v>149298.79996813563</v>
      </c>
      <c r="R24" s="21">
        <f>Q24*(100-INDEX(vibofnepr_NORM,$A22,Q$3)+(INDEX(vibofnepr_NORM,$A22,Q$3)-INDEX(vibofnepr_NULL,$A22,Q$3))*(1-INDEX(Expl_zatrat_fact,3,Q$3)/'Лист2_прогнозные цены'!Q23))*0.01+Q28</f>
        <v>148370.69382483599</v>
      </c>
      <c r="S24" s="21">
        <f>R24*(100-INDEX(vibofnepr_NORM,$A22,R$3)+(INDEX(vibofnepr_NORM,$A22,R$3)-INDEX(vibofnepr_NULL,$A22,R$3))*(1-INDEX(Expl_zatrat_fact,3,R$3)/'Лист2_прогнозные цены'!R23))*0.01+R28</f>
        <v>148521.71991048308</v>
      </c>
      <c r="T24" s="21">
        <f>S24*(100-INDEX(vibofnepr_NORM,$A22,S$3)+(INDEX(vibofnepr_NORM,$A22,S$3)-INDEX(vibofnepr_NULL,$A22,S$3))*(1-INDEX(Expl_zatrat_fact,3,S$3)/'Лист2_прогнозные цены'!S23))*0.01+S28</f>
        <v>150662.02598673329</v>
      </c>
      <c r="U24" s="21">
        <f>T24*(100-INDEX(vibofnepr_NORM,$A22,T$3)+(INDEX(vibofnepr_NORM,$A22,T$3)-INDEX(vibofnepr_NULL,$A22,T$3))*(1-INDEX(Expl_zatrat_fact,3,T$3)/'Лист2_прогнозные цены'!T23))*0.01+T28</f>
        <v>153782.11997964108</v>
      </c>
      <c r="V24" s="21">
        <f>U24*(100-INDEX(vibofnepr_NORM,$A22,U$3)+(INDEX(vibofnepr_NORM,$A22,U$3)-INDEX(vibofnepr_NULL,$A22,U$3))*(1-INDEX(Expl_zatrat_fact,3,U$3)/'Лист2_прогнозные цены'!U23))*0.01+U28</f>
        <v>156140.49946058518</v>
      </c>
      <c r="W24" s="21">
        <f>V24*(100-INDEX(vibofnepr_NORM,$A22,V$3)+(INDEX(vibofnepr_NORM,$A22,V$3)-INDEX(vibofnepr_NULL,$A22,V$3))*(1-INDEX(Expl_zatrat_fact,3,V$3)/'Лист2_прогнозные цены'!V23))*0.01+V28</f>
        <v>157127.33702903311</v>
      </c>
      <c r="X24" s="21">
        <f>W24*(100-INDEX(vibofnepr_NORM,$A22,W$3)+(INDEX(vibofnepr_NORM,$A22,W$3)-INDEX(vibofnepr_NULL,$A22,W$3))*(1-INDEX(Expl_zatrat_fact,3,W$3)/'Лист2_прогнозные цены'!W23))*0.01+W28</f>
        <v>157452.01245589936</v>
      </c>
      <c r="Y24" s="21">
        <f>X24*(100-INDEX(vibofnepr_NORM,$A22,X$3)+(INDEX(vibofnepr_NORM,$A22,X$3)-INDEX(vibofnepr_NULL,$A22,X$3))*(1-INDEX(Expl_zatrat_fact,3,X$3)/'Лист2_прогнозные цены'!X23))*0.01+X28</f>
        <v>157422.07902383653</v>
      </c>
      <c r="Z24" s="21">
        <f>Y24*(100-INDEX(vibofnepr_NORM,$A22,Y$3)+(INDEX(vibofnepr_NORM,$A22,Y$3)-INDEX(vibofnepr_NULL,$A22,Y$3))*(1-INDEX(Expl_zatrat_fact,3,Y$3)/'Лист2_прогнозные цены'!Y23))*0.01+Y28</f>
        <v>156756.73845112318</v>
      </c>
      <c r="AA24" s="21">
        <f>Z24*(100-INDEX(vibofnepr_NORM,$A22,Z$3)+(INDEX(vibofnepr_NORM,$A22,Z$3)-INDEX(vibofnepr_NULL,$A22,Z$3))*(1-INDEX(Expl_zatrat_fact,3,Z$3)/'Лист2_прогнозные цены'!Z23))*0.01+Z28</f>
        <v>155417.14506170229</v>
      </c>
      <c r="AB24" s="21">
        <f>AA24*(100-INDEX(vibofnepr_NORM,$A22,AA$3)+(INDEX(vibofnepr_NORM,$A22,AA$3)-INDEX(vibofnepr_NULL,$A22,AA$3))*(1-INDEX(Expl_zatrat_fact,3,AA$3)/'Лист2_прогнозные цены'!AA23))*0.01+AA28</f>
        <v>155136.03705944936</v>
      </c>
      <c r="AC24" s="21">
        <f>AB24*(100-INDEX(vibofnepr_NORM,$A22,AB$3)+(INDEX(vibofnepr_NORM,$A22,AB$3)-INDEX(vibofnepr_NULL,$A22,AB$3))*(1-INDEX(Expl_zatrat_fact,3,AB$3)/'Лист2_прогнозные цены'!AB23))*0.01+AB28</f>
        <v>155855.15180047657</v>
      </c>
      <c r="AD24" s="21">
        <f>AC24*(100-INDEX(vibofnepr_NORM,$A22,AC$3)+(INDEX(vibofnepr_NORM,$A22,AC$3)-INDEX(vibofnepr_NULL,$A22,AC$3))*(1-INDEX(Expl_zatrat_fact,3,AC$3)/'Лист2_прогнозные цены'!AC23))*0.01+AC28</f>
        <v>156654.98469078451</v>
      </c>
      <c r="AE24" s="21">
        <f>AD24*(100-INDEX(vibofnepr_NORM,$A22,AD$3)+(INDEX(vibofnepr_NORM,$A22,AD$3)-INDEX(vibofnepr_NULL,$A22,AD$3))*(1-INDEX(Expl_zatrat_fact,3,AD$3)/'Лист2_прогнозные цены'!AD23))*0.01+AD28</f>
        <v>158616.43484387666</v>
      </c>
      <c r="AF24" s="21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6"/>
      <c r="BD24" s="16"/>
      <c r="BE24" s="16"/>
    </row>
    <row r="25" spans="1:57" s="33" customFormat="1" hidden="1" x14ac:dyDescent="0.2">
      <c r="A25" s="106" t="s">
        <v>27</v>
      </c>
      <c r="B25" s="32"/>
      <c r="F25" s="39">
        <v>185251</v>
      </c>
      <c r="G25" s="39">
        <v>176761</v>
      </c>
      <c r="H25" s="39">
        <v>169611</v>
      </c>
      <c r="I25" s="39">
        <v>163832</v>
      </c>
      <c r="J25" s="39">
        <v>160079</v>
      </c>
      <c r="K25" s="39">
        <v>156783</v>
      </c>
      <c r="L25" s="39">
        <v>0</v>
      </c>
      <c r="M25" s="35">
        <v>0</v>
      </c>
      <c r="N25" s="288"/>
      <c r="O25" s="126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5"/>
      <c r="AA25" s="35"/>
      <c r="AB25" s="36"/>
      <c r="AC25" s="35"/>
      <c r="AD25" s="35"/>
      <c r="AE25" s="35"/>
      <c r="AF25" s="92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7"/>
      <c r="BD25" s="37"/>
      <c r="BE25" s="37"/>
    </row>
    <row r="26" spans="1:57" x14ac:dyDescent="0.2">
      <c r="A26" s="106"/>
      <c r="B26" s="9" t="s">
        <v>10</v>
      </c>
      <c r="F26" s="21">
        <f t="shared" ref="F26:AE26" si="10">F24*INDEX(explzaNS,$A$22,F$3)</f>
        <v>2147882.4000000004</v>
      </c>
      <c r="G26" s="21">
        <f t="shared" si="10"/>
        <v>2232080.37</v>
      </c>
      <c r="H26" s="21">
        <f t="shared" si="10"/>
        <v>1435232.5689000001</v>
      </c>
      <c r="I26" s="21">
        <f t="shared" si="10"/>
        <v>1626912.8279100002</v>
      </c>
      <c r="J26" s="21">
        <f t="shared" si="10"/>
        <v>1936979.5415333002</v>
      </c>
      <c r="K26" s="21">
        <f t="shared" si="10"/>
        <v>1581526.4286419731</v>
      </c>
      <c r="L26" s="21">
        <f t="shared" si="10"/>
        <v>6140774.3154487768</v>
      </c>
      <c r="M26" s="21">
        <f t="shared" si="10"/>
        <v>5693591.1912693717</v>
      </c>
      <c r="N26" s="252">
        <f t="shared" si="10"/>
        <v>4677489.3469631746</v>
      </c>
      <c r="O26" s="77">
        <f t="shared" si="10"/>
        <v>4678695.4881785819</v>
      </c>
      <c r="P26" s="21">
        <f t="shared" si="10"/>
        <v>4656735.3364330884</v>
      </c>
      <c r="Q26" s="21">
        <f t="shared" si="10"/>
        <v>4628262.7990122046</v>
      </c>
      <c r="R26" s="21">
        <f t="shared" si="10"/>
        <v>4599491.5085699158</v>
      </c>
      <c r="S26" s="21">
        <f t="shared" si="10"/>
        <v>4604173.3172249757</v>
      </c>
      <c r="T26" s="21">
        <f t="shared" si="10"/>
        <v>4670522.8055887325</v>
      </c>
      <c r="U26" s="21">
        <f t="shared" si="10"/>
        <v>4767245.7193688732</v>
      </c>
      <c r="V26" s="21">
        <f t="shared" si="10"/>
        <v>4840355.4832781404</v>
      </c>
      <c r="W26" s="21">
        <f t="shared" si="10"/>
        <v>4870947.4479000261</v>
      </c>
      <c r="X26" s="21">
        <f t="shared" si="10"/>
        <v>4881012.3861328801</v>
      </c>
      <c r="Y26" s="21">
        <f t="shared" si="10"/>
        <v>4880084.4497389328</v>
      </c>
      <c r="Z26" s="21">
        <f t="shared" si="10"/>
        <v>4859458.8919848185</v>
      </c>
      <c r="AA26" s="21">
        <f t="shared" si="10"/>
        <v>4817931.4969127709</v>
      </c>
      <c r="AB26" s="21">
        <f t="shared" si="10"/>
        <v>4809217.1488429299</v>
      </c>
      <c r="AC26" s="21">
        <f t="shared" si="10"/>
        <v>4831509.7058147732</v>
      </c>
      <c r="AD26" s="21">
        <f t="shared" si="10"/>
        <v>4856304.5254143197</v>
      </c>
      <c r="AE26" s="21">
        <f t="shared" si="10"/>
        <v>4917109.4801601768</v>
      </c>
      <c r="AF26" s="92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  <c r="BC26" s="16"/>
      <c r="BD26" s="16"/>
      <c r="BE26" s="16"/>
    </row>
    <row r="27" spans="1:57" s="3" customFormat="1" x14ac:dyDescent="0.2">
      <c r="A27" s="106"/>
      <c r="B27" s="53" t="s">
        <v>15</v>
      </c>
      <c r="F27" s="27">
        <f>F24*INDEX(TrudZa,$A$22,F$3)*VLOOKUP(A22,BazZpNS,2)*INDEX(CumIndFZP,$A$22,F$3)</f>
        <v>2652000.0110091744</v>
      </c>
      <c r="G27" s="27">
        <f t="shared" ref="G27:AE27" si="11">G24*INDEX(TrudZa,$A$22,G$3)*INDEX(BazZpNS,$A$22,2)*INDEX(CumIndFZP,$A$22,G$3)</f>
        <v>2350441.2870406108</v>
      </c>
      <c r="H27" s="27">
        <f t="shared" si="11"/>
        <v>2471870.4990457827</v>
      </c>
      <c r="I27" s="27">
        <f t="shared" si="11"/>
        <v>2274899.5944049079</v>
      </c>
      <c r="J27" s="27">
        <f t="shared" si="11"/>
        <v>2059592.4068639632</v>
      </c>
      <c r="K27" s="27">
        <f t="shared" si="11"/>
        <v>2135306.0023981063</v>
      </c>
      <c r="L27" s="27">
        <f t="shared" si="11"/>
        <v>2061585.191392557</v>
      </c>
      <c r="M27" s="27">
        <f t="shared" si="11"/>
        <v>1954676.6217129454</v>
      </c>
      <c r="N27" s="252">
        <f t="shared" si="11"/>
        <v>1813041.7101441955</v>
      </c>
      <c r="O27" s="27">
        <f t="shared" si="11"/>
        <v>1813509.2225572977</v>
      </c>
      <c r="P27" s="27">
        <f t="shared" si="11"/>
        <v>1804997.2478370289</v>
      </c>
      <c r="Q27" s="27">
        <f t="shared" si="11"/>
        <v>1793961.0072155048</v>
      </c>
      <c r="R27" s="27">
        <f t="shared" si="11"/>
        <v>1782808.9669312416</v>
      </c>
      <c r="S27" s="27">
        <f t="shared" si="11"/>
        <v>1784623.6828484568</v>
      </c>
      <c r="T27" s="27">
        <f t="shared" si="11"/>
        <v>1810341.4089461798</v>
      </c>
      <c r="U27" s="27">
        <f t="shared" si="11"/>
        <v>1847832.1788875225</v>
      </c>
      <c r="V27" s="27">
        <f t="shared" si="11"/>
        <v>1876170.2554824708</v>
      </c>
      <c r="W27" s="27">
        <f t="shared" si="11"/>
        <v>1888028.0073105416</v>
      </c>
      <c r="X27" s="27">
        <f t="shared" si="11"/>
        <v>1891929.2781574833</v>
      </c>
      <c r="Y27" s="27">
        <f t="shared" si="11"/>
        <v>1891569.6007190561</v>
      </c>
      <c r="Z27" s="27">
        <f t="shared" si="11"/>
        <v>1883574.9279941518</v>
      </c>
      <c r="AA27" s="27">
        <f t="shared" si="11"/>
        <v>1867478.4938188093</v>
      </c>
      <c r="AB27" s="27">
        <f t="shared" si="11"/>
        <v>1864100.7252435384</v>
      </c>
      <c r="AC27" s="27">
        <f t="shared" si="11"/>
        <v>1872741.5435581668</v>
      </c>
      <c r="AD27" s="27">
        <f t="shared" si="11"/>
        <v>1895138.0528868583</v>
      </c>
      <c r="AE27" s="27">
        <f t="shared" si="11"/>
        <v>1931900.5627928069</v>
      </c>
      <c r="AF27" s="92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3"/>
      <c r="BC27" s="23"/>
      <c r="BD27" s="23"/>
      <c r="BE27" s="23"/>
    </row>
    <row r="28" spans="1:57" x14ac:dyDescent="0.2">
      <c r="A28" s="106"/>
      <c r="B28" s="9" t="s">
        <v>11</v>
      </c>
      <c r="F28" s="15">
        <f t="shared" ref="F28:AE28" si="12">INDEX(VvodNewMosh,$A22,F$6)+INDEX(VVODNMNAS,$A22,F$6)</f>
        <v>1842</v>
      </c>
      <c r="G28" s="15">
        <f t="shared" si="12"/>
        <v>1813</v>
      </c>
      <c r="H28" s="15">
        <f t="shared" si="12"/>
        <v>444</v>
      </c>
      <c r="I28" s="15">
        <f t="shared" si="12"/>
        <v>744</v>
      </c>
      <c r="J28" s="15">
        <f t="shared" si="12"/>
        <v>1397</v>
      </c>
      <c r="K28" s="15">
        <f t="shared" si="12"/>
        <v>50</v>
      </c>
      <c r="L28" s="15">
        <f t="shared" si="12"/>
        <v>214</v>
      </c>
      <c r="M28" s="15">
        <f t="shared" si="12"/>
        <v>876</v>
      </c>
      <c r="N28" s="290">
        <f t="shared" si="12"/>
        <v>3133</v>
      </c>
      <c r="O28" s="126">
        <f t="shared" si="12"/>
        <v>2558</v>
      </c>
      <c r="P28" s="15">
        <f t="shared" si="12"/>
        <v>2426</v>
      </c>
      <c r="Q28" s="15">
        <f t="shared" si="12"/>
        <v>2450</v>
      </c>
      <c r="R28" s="15">
        <f t="shared" si="12"/>
        <v>3378</v>
      </c>
      <c r="S28" s="15">
        <f t="shared" si="12"/>
        <v>5192</v>
      </c>
      <c r="T28" s="15">
        <f t="shared" si="12"/>
        <v>6033</v>
      </c>
      <c r="U28" s="15">
        <f t="shared" si="12"/>
        <v>5303</v>
      </c>
      <c r="V28" s="15">
        <f t="shared" si="12"/>
        <v>4106</v>
      </c>
      <c r="W28" s="15">
        <f t="shared" si="12"/>
        <v>3506</v>
      </c>
      <c r="X28" s="15">
        <f t="shared" si="12"/>
        <v>3116</v>
      </c>
      <c r="Y28" s="15">
        <f t="shared" si="12"/>
        <v>2401</v>
      </c>
      <c r="Z28" s="15">
        <f t="shared" si="12"/>
        <v>1558</v>
      </c>
      <c r="AA28" s="15">
        <f t="shared" si="12"/>
        <v>2341</v>
      </c>
      <c r="AB28" s="15">
        <f t="shared" si="12"/>
        <v>2938</v>
      </c>
      <c r="AC28" s="15">
        <f t="shared" si="12"/>
        <v>2789</v>
      </c>
      <c r="AD28" s="15">
        <f t="shared" si="12"/>
        <v>3528</v>
      </c>
      <c r="AE28" s="15">
        <f t="shared" si="12"/>
        <v>1628</v>
      </c>
      <c r="AF28" s="92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  <c r="BC28" s="16"/>
      <c r="BD28" s="16"/>
      <c r="BE28" s="16"/>
    </row>
    <row r="29" spans="1:57" s="3" customFormat="1" x14ac:dyDescent="0.2">
      <c r="A29" s="106"/>
      <c r="B29" s="53" t="s">
        <v>17</v>
      </c>
      <c r="F29" s="77">
        <f t="shared" ref="F29:AE29" si="13">F24*VLOOKUP($A22,baplata,2)*INDEX(cumindtarif,$A22,F$6)</f>
        <v>742978.30877092038</v>
      </c>
      <c r="G29" s="27">
        <f t="shared" si="13"/>
        <v>792739.86764290172</v>
      </c>
      <c r="H29" s="27">
        <f t="shared" si="13"/>
        <v>834016.4154739934</v>
      </c>
      <c r="I29" s="27">
        <f t="shared" si="13"/>
        <v>838469.27774191741</v>
      </c>
      <c r="J29" s="27">
        <f t="shared" si="13"/>
        <v>765086.43784061458</v>
      </c>
      <c r="K29" s="27">
        <f t="shared" si="13"/>
        <v>742877.4992058177</v>
      </c>
      <c r="L29" s="27">
        <f t="shared" si="13"/>
        <v>774735.73064994393</v>
      </c>
      <c r="M29" s="27">
        <f t="shared" si="13"/>
        <v>746890.01688636653</v>
      </c>
      <c r="N29" s="252">
        <f t="shared" si="13"/>
        <v>692770.73172267573</v>
      </c>
      <c r="O29" s="77">
        <f t="shared" si="13"/>
        <v>692949.37014820229</v>
      </c>
      <c r="P29" s="27">
        <f t="shared" si="13"/>
        <v>689696.90942301776</v>
      </c>
      <c r="Q29" s="27">
        <f t="shared" si="13"/>
        <v>685479.91626281454</v>
      </c>
      <c r="R29" s="27">
        <f t="shared" si="13"/>
        <v>681218.67557281698</v>
      </c>
      <c r="S29" s="27">
        <f t="shared" si="13"/>
        <v>681912.0860259817</v>
      </c>
      <c r="T29" s="27">
        <f t="shared" si="13"/>
        <v>691738.9354731167</v>
      </c>
      <c r="U29" s="27">
        <f t="shared" si="13"/>
        <v>706064.31363722123</v>
      </c>
      <c r="V29" s="27">
        <f t="shared" si="13"/>
        <v>716892.4098406639</v>
      </c>
      <c r="W29" s="27">
        <f t="shared" si="13"/>
        <v>721423.30582863593</v>
      </c>
      <c r="X29" s="27">
        <f t="shared" si="13"/>
        <v>722913.99754530331</v>
      </c>
      <c r="Y29" s="27">
        <f t="shared" si="13"/>
        <v>722776.56330933981</v>
      </c>
      <c r="Z29" s="27">
        <f t="shared" si="13"/>
        <v>719721.76581487129</v>
      </c>
      <c r="AA29" s="27">
        <f t="shared" si="13"/>
        <v>713571.25178125256</v>
      </c>
      <c r="AB29" s="27">
        <f t="shared" si="13"/>
        <v>712280.5924465073</v>
      </c>
      <c r="AC29" s="27">
        <f t="shared" si="13"/>
        <v>715582.28484167659</v>
      </c>
      <c r="AD29" s="27">
        <f t="shared" si="13"/>
        <v>724547.20886741544</v>
      </c>
      <c r="AE29" s="27">
        <f t="shared" si="13"/>
        <v>739017.46952760057</v>
      </c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</row>
    <row r="30" spans="1:57" x14ac:dyDescent="0.2">
      <c r="A30" s="106"/>
      <c r="B30" s="9" t="s">
        <v>18</v>
      </c>
      <c r="F30" s="21">
        <f>F29</f>
        <v>742978.30877092038</v>
      </c>
      <c r="G30" s="21">
        <f t="shared" ref="G30:AE30" si="14">G29</f>
        <v>792739.86764290172</v>
      </c>
      <c r="H30" s="21">
        <f t="shared" si="14"/>
        <v>834016.4154739934</v>
      </c>
      <c r="I30" s="21">
        <f t="shared" si="14"/>
        <v>838469.27774191741</v>
      </c>
      <c r="J30" s="21">
        <f t="shared" si="14"/>
        <v>765086.43784061458</v>
      </c>
      <c r="K30" s="21">
        <f t="shared" si="14"/>
        <v>742877.4992058177</v>
      </c>
      <c r="L30" s="21">
        <f t="shared" si="14"/>
        <v>774735.73064994393</v>
      </c>
      <c r="M30" s="21">
        <f t="shared" si="14"/>
        <v>746890.01688636653</v>
      </c>
      <c r="N30" s="252">
        <f t="shared" si="14"/>
        <v>692770.73172267573</v>
      </c>
      <c r="O30" s="126">
        <f t="shared" si="14"/>
        <v>692949.37014820229</v>
      </c>
      <c r="P30" s="21">
        <f t="shared" si="14"/>
        <v>689696.90942301776</v>
      </c>
      <c r="Q30" s="21">
        <f t="shared" si="14"/>
        <v>685479.91626281454</v>
      </c>
      <c r="R30" s="21">
        <f t="shared" si="14"/>
        <v>681218.67557281698</v>
      </c>
      <c r="S30" s="21">
        <f t="shared" si="14"/>
        <v>681912.0860259817</v>
      </c>
      <c r="T30" s="21">
        <f t="shared" si="14"/>
        <v>691738.9354731167</v>
      </c>
      <c r="U30" s="21">
        <f t="shared" si="14"/>
        <v>706064.31363722123</v>
      </c>
      <c r="V30" s="21">
        <f t="shared" si="14"/>
        <v>716892.4098406639</v>
      </c>
      <c r="W30" s="21">
        <f t="shared" si="14"/>
        <v>721423.30582863593</v>
      </c>
      <c r="X30" s="21">
        <f t="shared" si="14"/>
        <v>722913.99754530331</v>
      </c>
      <c r="Y30" s="21">
        <f t="shared" si="14"/>
        <v>722776.56330933981</v>
      </c>
      <c r="Z30" s="21">
        <f t="shared" si="14"/>
        <v>719721.76581487129</v>
      </c>
      <c r="AA30" s="21">
        <f t="shared" si="14"/>
        <v>713571.25178125256</v>
      </c>
      <c r="AB30" s="21">
        <f t="shared" si="14"/>
        <v>712280.5924465073</v>
      </c>
      <c r="AC30" s="21">
        <f t="shared" si="14"/>
        <v>715582.28484167659</v>
      </c>
      <c r="AD30" s="21">
        <f t="shared" si="14"/>
        <v>724547.20886741544</v>
      </c>
      <c r="AE30" s="21">
        <f t="shared" si="14"/>
        <v>739017.46952760057</v>
      </c>
      <c r="AF30" s="92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  <c r="BC30" s="16"/>
      <c r="BD30" s="16"/>
      <c r="BE30" s="16"/>
    </row>
    <row r="31" spans="1:57" x14ac:dyDescent="0.2">
      <c r="B31" s="9" t="s">
        <v>12</v>
      </c>
      <c r="F31" s="18">
        <f>F24*VLOOKUP(A22,TrudZa,2)*0.001</f>
        <v>4.0995807649402387</v>
      </c>
      <c r="G31" s="18">
        <f t="shared" ref="G31:AE31" si="15">G24*VLOOKUP($A22,TrudZa,2)*0.001</f>
        <v>3.9325718780876495</v>
      </c>
      <c r="H31" s="18">
        <f t="shared" si="15"/>
        <v>3.7929785021394422</v>
      </c>
      <c r="I31" s="18">
        <f t="shared" si="15"/>
        <v>3.7262713464392831</v>
      </c>
      <c r="J31" s="18">
        <f t="shared" si="15"/>
        <v>3.629819684133754</v>
      </c>
      <c r="K31" s="18">
        <f t="shared" si="15"/>
        <v>3.6223186107983927</v>
      </c>
      <c r="L31" s="18">
        <f t="shared" si="15"/>
        <v>3.5161981306033612</v>
      </c>
      <c r="M31" s="18">
        <f t="shared" si="15"/>
        <v>3.3532886537993996</v>
      </c>
      <c r="N31" s="288">
        <f t="shared" si="15"/>
        <v>3.1103109987389108</v>
      </c>
      <c r="O31" s="126">
        <f t="shared" si="15"/>
        <v>3.1111130260681126</v>
      </c>
      <c r="P31" s="18">
        <f t="shared" si="15"/>
        <v>3.0965105552891399</v>
      </c>
      <c r="Q31" s="18">
        <f t="shared" si="15"/>
        <v>3.0775776535264292</v>
      </c>
      <c r="R31" s="18">
        <f t="shared" si="15"/>
        <v>3.0584460950187311</v>
      </c>
      <c r="S31" s="18">
        <f t="shared" si="15"/>
        <v>3.0615592781547392</v>
      </c>
      <c r="T31" s="18">
        <f t="shared" si="15"/>
        <v>3.1056785755193546</v>
      </c>
      <c r="U31" s="18">
        <f t="shared" si="15"/>
        <v>3.1699947759946729</v>
      </c>
      <c r="V31" s="18">
        <f t="shared" si="15"/>
        <v>3.2186093394783577</v>
      </c>
      <c r="W31" s="18">
        <f t="shared" si="15"/>
        <v>3.2389515609092325</v>
      </c>
      <c r="X31" s="18">
        <f t="shared" si="15"/>
        <v>3.2456442726965071</v>
      </c>
      <c r="Y31" s="18">
        <f t="shared" si="15"/>
        <v>3.2450272385232282</v>
      </c>
      <c r="Z31" s="18">
        <f t="shared" si="15"/>
        <v>3.2313122101438698</v>
      </c>
      <c r="AA31" s="18">
        <f t="shared" si="15"/>
        <v>3.2036984404352498</v>
      </c>
      <c r="AB31" s="18">
        <f t="shared" si="15"/>
        <v>3.1979038077513584</v>
      </c>
      <c r="AC31" s="18">
        <f t="shared" si="15"/>
        <v>3.2127273124130111</v>
      </c>
      <c r="AD31" s="18">
        <f t="shared" si="15"/>
        <v>3.2292147043431036</v>
      </c>
      <c r="AE31" s="18">
        <f t="shared" si="15"/>
        <v>3.2696471469411068</v>
      </c>
      <c r="AF31" s="96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6"/>
      <c r="BC31" s="16"/>
      <c r="BD31" s="16"/>
      <c r="BE31" s="16"/>
    </row>
    <row r="32" spans="1:57" x14ac:dyDescent="0.2">
      <c r="B32" s="9"/>
      <c r="F32" s="15"/>
      <c r="G32" s="15"/>
      <c r="H32" s="15"/>
      <c r="I32" s="15"/>
      <c r="J32" s="15"/>
      <c r="K32" s="15"/>
      <c r="L32" s="15"/>
      <c r="M32" s="15"/>
      <c r="N32" s="290"/>
      <c r="O32" s="126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7"/>
      <c r="AC32" s="15"/>
      <c r="AD32" s="15"/>
      <c r="AE32" s="15"/>
      <c r="AF32" s="92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  <c r="BC32" s="16"/>
      <c r="BD32" s="16"/>
      <c r="BE32" s="16"/>
    </row>
    <row r="33" spans="1:57" ht="13.5" thickBot="1" x14ac:dyDescent="0.25">
      <c r="A33" s="11">
        <v>4</v>
      </c>
      <c r="B33" s="9"/>
      <c r="E33" s="117"/>
      <c r="F33" s="118"/>
      <c r="G33" s="118"/>
      <c r="H33" s="119"/>
      <c r="I33" s="119"/>
      <c r="J33" s="119"/>
      <c r="K33" s="119"/>
      <c r="L33" s="119"/>
      <c r="M33" s="120"/>
      <c r="N33" s="295"/>
      <c r="O33" s="126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7"/>
      <c r="AC33" s="15"/>
      <c r="AD33" s="15"/>
      <c r="AE33" s="15"/>
      <c r="AF33" s="92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  <c r="BC33" s="16"/>
      <c r="BD33" s="16"/>
      <c r="BE33" s="16"/>
    </row>
    <row r="34" spans="1:57" x14ac:dyDescent="0.2">
      <c r="A34" s="54" t="str">
        <f>VLOOKUP(A33,[1]!spotrnepr,2)</f>
        <v>больницы</v>
      </c>
      <c r="B34" s="9"/>
      <c r="F34" s="31">
        <v>2006</v>
      </c>
      <c r="G34" s="31">
        <v>2007</v>
      </c>
      <c r="H34" s="31">
        <v>2008</v>
      </c>
      <c r="I34" s="31">
        <v>2009</v>
      </c>
      <c r="J34" s="31">
        <v>2010</v>
      </c>
      <c r="K34" s="31">
        <v>2011</v>
      </c>
      <c r="L34" s="31">
        <v>2012</v>
      </c>
      <c r="M34" s="31">
        <v>2013</v>
      </c>
      <c r="N34" s="287">
        <v>2014</v>
      </c>
      <c r="O34" s="282">
        <v>2015</v>
      </c>
      <c r="P34" s="31">
        <v>2016</v>
      </c>
      <c r="Q34" s="31">
        <v>2017</v>
      </c>
      <c r="R34" s="31">
        <v>2018</v>
      </c>
      <c r="S34" s="31">
        <v>2019</v>
      </c>
      <c r="T34" s="31">
        <v>2020</v>
      </c>
      <c r="U34" s="31">
        <v>2021</v>
      </c>
      <c r="V34" s="31">
        <v>2022</v>
      </c>
      <c r="W34" s="31">
        <v>2023</v>
      </c>
      <c r="X34" s="31">
        <v>2024</v>
      </c>
      <c r="Y34" s="31">
        <v>2025</v>
      </c>
      <c r="Z34" s="31">
        <v>2026</v>
      </c>
      <c r="AA34" s="31">
        <v>2027</v>
      </c>
      <c r="AB34" s="31">
        <v>2028</v>
      </c>
      <c r="AC34" s="31">
        <v>2029</v>
      </c>
      <c r="AD34" s="31">
        <v>2030</v>
      </c>
      <c r="AE34" s="31">
        <v>2031</v>
      </c>
      <c r="AF34" s="92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  <c r="BC34" s="16"/>
      <c r="BD34" s="16"/>
      <c r="BE34" s="16"/>
    </row>
    <row r="35" spans="1:57" x14ac:dyDescent="0.2">
      <c r="A35" s="106"/>
      <c r="B35" s="9" t="s">
        <v>9</v>
      </c>
      <c r="F35" s="21">
        <f>VLOOKUP(A33,bamonepr,3)</f>
        <v>15560</v>
      </c>
      <c r="G35" s="21">
        <f>F35*(100-INDEX(vibofnepr_NORM,$A33,F$3)+(INDEX(vibofnepr_NORM,$A33,F$3)-INDEX(vibofnepr_NULL,$A33,F$3))*(1-INDEX(Expl_zatrat_fact,4,F$3)/'Лист2_прогнозные цены'!F32))*0.01+F39</f>
        <v>15602.620564798397</v>
      </c>
      <c r="H35" s="21">
        <f>G35*(100-INDEX(vibofnepr_NORM,$A33,G$3)+(INDEX(vibofnepr_NORM,$A33,G$3)-INDEX(vibofnepr_NULL,$A33,G$3))*(1-INDEX(Expl_zatrat_fact,4,G$3)/'Лист2_прогнозные цены'!G32))*0.01+G39</f>
        <v>14376.397816790533</v>
      </c>
      <c r="I35" s="21">
        <f>H35*(100-INDEX(vibofnepr_NORM,$A33,H$3)+(INDEX(vibofnepr_NORM,$A33,H$3)-INDEX(vibofnepr_NULL,$A33,H$3))*(1-INDEX(Expl_zatrat_fact,4,H$3)/'Лист2_прогнозные цены'!H32))*0.01+H39</f>
        <v>13297.077304789347</v>
      </c>
      <c r="J35" s="21">
        <f>I35*(100-INDEX(vibofnepr_NORM,$A33,I$3)+(INDEX(vibofnepr_NORM,$A33,I$3)-INDEX(vibofnepr_NULL,$A33,I$3))*(1-INDEX(Expl_zatrat_fact,4,I$3)/'Лист2_прогнозные цены'!I32))*0.01+I39</f>
        <v>12930.194212597775</v>
      </c>
      <c r="K35" s="21">
        <f>J35*(100-INDEX(vibofnepr_NORM,$A33,J$3)+(INDEX(vibofnepr_NORM,$A33,J$3)-INDEX(vibofnepr_NULL,$A33,J$3))*(1-INDEX(Expl_zatrat_fact,4,J$3)/'Лист2_прогнозные цены'!J32))*0.01+J39</f>
        <v>12431.684501967888</v>
      </c>
      <c r="L35" s="21">
        <f>K35*(100-INDEX(vibofnepr_NORM,$A33,K$3)+(INDEX(vibofnepr_NORM,$A33,K$3)-INDEX(vibofnepr_NULL,$A33,K$3))*(1-INDEX(Expl_zatrat_fact,4,K$3)/'Лист2_прогнозные цены'!K32))*0.01+K39</f>
        <v>12381.100276869494</v>
      </c>
      <c r="M35" s="21">
        <f>L35*(100-INDEX(vibofnepr_NORM,$A33,L$3)+(INDEX(vibofnepr_NORM,$A33,L$3)-INDEX(vibofnepr_NULL,$A33,L$3))*(1-INDEX(Expl_zatrat_fact,4,L$3)/'Лист2_прогнозные цены'!L32))*0.01+L39</f>
        <v>12333.990249182545</v>
      </c>
      <c r="N35" s="252">
        <f>M35*(100-INDEX(vibofnepr_NORM,$A33,M$3)+(INDEX(vibofnepr_NORM,$A33,M$3)-INDEX(vibofnepr_NULL,$A33,M$3))*(1-INDEX(Expl_zatrat_fact,4,M$3)/'Лист2_прогнозные цены'!M32))*0.01+M39</f>
        <v>13277.65034669072</v>
      </c>
      <c r="O35" s="77">
        <f>N35*(100-INDEX(vibofnepr_NORM,$A33,N$3)+(INDEX(vibofnepr_NORM,$A33,N$3)-INDEX(vibofnepr_NULL,$A33,N$3))*(1-INDEX(Expl_zatrat_fact,4,N$3)/'Лист2_прогнозные цены'!N32))*0.01+N39</f>
        <v>13783.041782871485</v>
      </c>
      <c r="P35" s="21">
        <f>O35*(100-INDEX(vibofnepr_NORM,$A33,O$3)+(INDEX(vibofnepr_NORM,$A33,O$3)-INDEX(vibofnepr_NULL,$A33,O$3))*(1-INDEX(Expl_zatrat_fact,4,O$3)/'Лист2_прогнозные цены'!O32))*0.01+O39</f>
        <v>14060.04915220875</v>
      </c>
      <c r="Q35" s="21">
        <f>P35*(100-INDEX(vibofnepr_NORM,$A33,P$3)+(INDEX(vibofnepr_NORM,$A33,P$3)-INDEX(vibofnepr_NULL,$A33,P$3))*(1-INDEX(Expl_zatrat_fact,4,P$3)/'Лист2_прогнозные цены'!P32))*0.01+P39</f>
        <v>14777.706086916298</v>
      </c>
      <c r="R35" s="21">
        <f>Q35*(100-INDEX(vibofnepr_NORM,$A33,Q$3)+(INDEX(vibofnepr_NORM,$A33,Q$3)-INDEX(vibofnepr_NULL,$A33,Q$3))*(1-INDEX(Expl_zatrat_fact,4,Q$3)/'Лист2_прогнозные цены'!Q32))*0.01+Q39</f>
        <v>15092.593206865935</v>
      </c>
      <c r="S35" s="21">
        <f>R35*(100-INDEX(vibofnepr_NORM,$A33,R$3)+(INDEX(vibofnepr_NORM,$A33,R$3)-INDEX(vibofnepr_NULL,$A33,R$3))*(1-INDEX(Expl_zatrat_fact,4,R$3)/'Лист2_прогнозные цены'!R32))*0.01+R39</f>
        <v>15510.984839225421</v>
      </c>
      <c r="T35" s="21">
        <f>S35*(100-INDEX(vibofnepr_NORM,$A33,S$3)+(INDEX(vibofnepr_NORM,$A33,S$3)-INDEX(vibofnepr_NULL,$A33,S$3))*(1-INDEX(Expl_zatrat_fact,4,S$3)/'Лист2_прогнозные цены'!S32))*0.01+S39</f>
        <v>16324.882202487845</v>
      </c>
      <c r="U35" s="21">
        <f>T35*(100-INDEX(vibofnepr_NORM,$A33,T$3)+(INDEX(vibofnepr_NORM,$A33,T$3)-INDEX(vibofnepr_NULL,$A33,T$3))*(1-INDEX(Expl_zatrat_fact,4,T$3)/'Лист2_прогнозные цены'!T32))*0.01+T39</f>
        <v>19014.633380462965</v>
      </c>
      <c r="V35" s="21">
        <f>U35*(100-INDEX(vibofnepr_NORM,$A33,U$3)+(INDEX(vibofnepr_NORM,$A33,U$3)-INDEX(vibofnepr_NULL,$A33,U$3))*(1-INDEX(Expl_zatrat_fact,4,U$3)/'Лист2_прогнозные цены'!U32))*0.01+U39</f>
        <v>19089.888720913928</v>
      </c>
      <c r="W35" s="21">
        <f>V35*(100-INDEX(vibofnepr_NORM,$A33,V$3)+(INDEX(vibofnepr_NORM,$A33,V$3)-INDEX(vibofnepr_NULL,$A33,V$3))*(1-INDEX(Expl_zatrat_fact,4,V$3)/'Лист2_прогнозные цены'!V32))*0.01+V39</f>
        <v>20173.989833704789</v>
      </c>
      <c r="X35" s="21">
        <f>W35*(100-INDEX(vibofnepr_NORM,$A33,W$3)+(INDEX(vibofnepr_NORM,$A33,W$3)-INDEX(vibofnepr_NULL,$A33,W$3))*(1-INDEX(Expl_zatrat_fact,4,W$3)/'Лист2_прогнозные цены'!W32))*0.01+W39</f>
        <v>20314.354855932383</v>
      </c>
      <c r="Y35" s="21">
        <f>X35*(100-INDEX(vibofnepr_NORM,$A33,X$3)+(INDEX(vibofnepr_NORM,$A33,X$3)-INDEX(vibofnepr_NULL,$A33,X$3))*(1-INDEX(Expl_zatrat_fact,4,X$3)/'Лист2_прогнозные цены'!X32))*0.01+X39</f>
        <v>21154.362752393445</v>
      </c>
      <c r="Z35" s="21">
        <f>Y35*(100-INDEX(vibofnepr_NORM,$A33,Y$3)+(INDEX(vibofnepr_NORM,$A33,Y$3)-INDEX(vibofnepr_NULL,$A33,Y$3))*(1-INDEX(Expl_zatrat_fact,4,Y$3)/'Лист2_прогнозные цены'!Y32))*0.01+Y39</f>
        <v>21458.689368359155</v>
      </c>
      <c r="AA35" s="21">
        <f>Z35*(100-INDEX(vibofnepr_NORM,$A33,Z$3)+(INDEX(vibofnepr_NORM,$A33,Z$3)-INDEX(vibofnepr_NULL,$A33,Z$3))*(1-INDEX(Expl_zatrat_fact,4,Z$3)/'Лист2_прогнозные цены'!Z32))*0.01+Z39</f>
        <v>23247.102474675565</v>
      </c>
      <c r="AB35" s="21">
        <f>AA35*(100-INDEX(vibofnepr_NORM,$A33,AA$3)+(INDEX(vibofnepr_NORM,$A33,AA$3)-INDEX(vibofnepr_NULL,$A33,AA$3))*(1-INDEX(Expl_zatrat_fact,4,AA$3)/'Лист2_прогнозные цены'!AA32))*0.01+AA39</f>
        <v>23980.631449928809</v>
      </c>
      <c r="AC35" s="21">
        <f>AB35*(100-INDEX(vibofnepr_NORM,$A33,AB$3)+(INDEX(vibofnepr_NORM,$A33,AB$3)-INDEX(vibofnepr_NULL,$A33,AB$3))*(1-INDEX(Expl_zatrat_fact,4,AB$3)/'Лист2_прогнозные цены'!AB32))*0.01+AB39</f>
        <v>24688.825135429521</v>
      </c>
      <c r="AD35" s="21">
        <f>AC35*(100-INDEX(vibofnepr_NORM,$A33,AC$3)+(INDEX(vibofnepr_NORM,$A33,AC$3)-INDEX(vibofnepr_NULL,$A33,AC$3))*(1-INDEX(Expl_zatrat_fact,4,AC$3)/'Лист2_прогнозные цены'!AC32))*0.01+AC39</f>
        <v>25518.936884075229</v>
      </c>
      <c r="AE35" s="21">
        <f>AD35*(100-INDEX(vibofnepr_NORM,$A33,AD$3)+(INDEX(vibofnepr_NORM,$A33,AD$3)-INDEX(vibofnepr_NULL,$A33,AD$3))*(1-INDEX(Expl_zatrat_fact,4,AD$3)/'Лист2_прогнозные цены'!AD32))*0.01+AD39</f>
        <v>26284.747515234478</v>
      </c>
      <c r="AF35" s="92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6"/>
      <c r="BD35" s="16"/>
      <c r="BE35" s="16"/>
    </row>
    <row r="36" spans="1:57" s="41" customFormat="1" hidden="1" x14ac:dyDescent="0.2">
      <c r="A36" s="106" t="s">
        <v>27</v>
      </c>
      <c r="B36" s="40"/>
      <c r="F36" s="42">
        <v>15631</v>
      </c>
      <c r="G36" s="43">
        <v>15560</v>
      </c>
      <c r="H36" s="43">
        <v>15387</v>
      </c>
      <c r="I36" s="43">
        <v>14147</v>
      </c>
      <c r="J36" s="43">
        <v>13063</v>
      </c>
      <c r="K36" s="43">
        <v>12898</v>
      </c>
      <c r="L36" s="43">
        <v>12236</v>
      </c>
      <c r="M36" s="43"/>
      <c r="N36" s="288"/>
      <c r="O36" s="126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2"/>
      <c r="AA36" s="42"/>
      <c r="AB36" s="44"/>
      <c r="AC36" s="42"/>
      <c r="AD36" s="42"/>
      <c r="AE36" s="42"/>
      <c r="AF36" s="9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5"/>
      <c r="BD36" s="45"/>
      <c r="BE36" s="45"/>
    </row>
    <row r="37" spans="1:57" x14ac:dyDescent="0.2">
      <c r="A37" s="106"/>
      <c r="B37" s="9" t="s">
        <v>10</v>
      </c>
      <c r="F37" s="21">
        <f t="shared" ref="F37:AE37" si="16">F35*INDEX(explzaNS,$A$33,F$3)</f>
        <v>3345400</v>
      </c>
      <c r="G37" s="21">
        <f t="shared" si="16"/>
        <v>3510589.6270796391</v>
      </c>
      <c r="H37" s="21">
        <f t="shared" si="16"/>
        <v>2156459.6725185802</v>
      </c>
      <c r="I37" s="21">
        <f t="shared" si="16"/>
        <v>1023874.9524687798</v>
      </c>
      <c r="J37" s="21">
        <f t="shared" si="16"/>
        <v>1111996.7022834087</v>
      </c>
      <c r="K37" s="21">
        <f t="shared" si="16"/>
        <v>1118851.6051771098</v>
      </c>
      <c r="L37" s="21">
        <f t="shared" si="16"/>
        <v>817152.61827338662</v>
      </c>
      <c r="M37" s="21">
        <f t="shared" si="16"/>
        <v>752373.4052001352</v>
      </c>
      <c r="N37" s="252">
        <f t="shared" si="16"/>
        <v>796659.02080144314</v>
      </c>
      <c r="O37" s="77">
        <f t="shared" si="16"/>
        <v>826982.50697228918</v>
      </c>
      <c r="P37" s="21">
        <f t="shared" si="16"/>
        <v>843602.94913252501</v>
      </c>
      <c r="Q37" s="21">
        <f t="shared" si="16"/>
        <v>886662.36521497788</v>
      </c>
      <c r="R37" s="21">
        <f t="shared" si="16"/>
        <v>905555.59241195605</v>
      </c>
      <c r="S37" s="21">
        <f t="shared" si="16"/>
        <v>930659.09035352524</v>
      </c>
      <c r="T37" s="21">
        <f t="shared" si="16"/>
        <v>979492.93214927067</v>
      </c>
      <c r="U37" s="21">
        <f t="shared" si="16"/>
        <v>1140878.002827778</v>
      </c>
      <c r="V37" s="21">
        <f t="shared" si="16"/>
        <v>1145393.3232548358</v>
      </c>
      <c r="W37" s="21">
        <f t="shared" si="16"/>
        <v>1210439.3900222874</v>
      </c>
      <c r="X37" s="21">
        <f t="shared" si="16"/>
        <v>1218861.2913559428</v>
      </c>
      <c r="Y37" s="21">
        <f t="shared" si="16"/>
        <v>1269261.7651436066</v>
      </c>
      <c r="Z37" s="21">
        <f t="shared" si="16"/>
        <v>1287521.3621015493</v>
      </c>
      <c r="AA37" s="21">
        <f t="shared" si="16"/>
        <v>1394826.1484805339</v>
      </c>
      <c r="AB37" s="21">
        <f t="shared" si="16"/>
        <v>1438837.8869957286</v>
      </c>
      <c r="AC37" s="21">
        <f t="shared" si="16"/>
        <v>1481329.5081257713</v>
      </c>
      <c r="AD37" s="21">
        <f t="shared" si="16"/>
        <v>1531136.2130445137</v>
      </c>
      <c r="AE37" s="21">
        <f t="shared" si="16"/>
        <v>1577084.8509140688</v>
      </c>
      <c r="AF37" s="92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  <c r="BC37" s="16"/>
      <c r="BD37" s="16"/>
      <c r="BE37" s="16"/>
    </row>
    <row r="38" spans="1:57" x14ac:dyDescent="0.2">
      <c r="A38" s="106"/>
      <c r="B38" s="9" t="s">
        <v>15</v>
      </c>
      <c r="F38" s="21">
        <f>F35*INDEX(TrudZa,$A$33,F$3)*VLOOKUP($A$33,BazZpNS,2)*INDEX(CumIndFZP,$A$33,F$3)</f>
        <v>1377172.6513761468</v>
      </c>
      <c r="G38" s="21">
        <f t="shared" ref="G38:AE38" si="17">G35*INDEX(TrudZa,$A$33,G$3)*INDEX(BazZpNS,$A$33,2)*INDEX(CumIndFZP,$A$33,G$3)</f>
        <v>1510920.524954438</v>
      </c>
      <c r="H38" s="21">
        <f t="shared" si="17"/>
        <v>1569227.3392621116</v>
      </c>
      <c r="I38" s="21">
        <f t="shared" si="17"/>
        <v>1415142.5348240237</v>
      </c>
      <c r="J38" s="21">
        <f t="shared" si="17"/>
        <v>1325417.4912292669</v>
      </c>
      <c r="K38" s="21">
        <f t="shared" si="17"/>
        <v>1255683.8171618064</v>
      </c>
      <c r="L38" s="21">
        <f t="shared" si="17"/>
        <v>1312181.3859975238</v>
      </c>
      <c r="M38" s="21">
        <f t="shared" si="17"/>
        <v>1433056.1241685532</v>
      </c>
      <c r="N38" s="252">
        <f t="shared" si="17"/>
        <v>1542697.6801084252</v>
      </c>
      <c r="O38" s="27">
        <f t="shared" si="17"/>
        <v>1601417.8734999502</v>
      </c>
      <c r="P38" s="21">
        <f t="shared" si="17"/>
        <v>1633602.6814208825</v>
      </c>
      <c r="Q38" s="21">
        <f t="shared" si="17"/>
        <v>1716985.4833006586</v>
      </c>
      <c r="R38" s="21">
        <f t="shared" si="17"/>
        <v>1753571.4466871251</v>
      </c>
      <c r="S38" s="21">
        <f t="shared" si="17"/>
        <v>1802183.3459136044</v>
      </c>
      <c r="T38" s="21">
        <f t="shared" si="17"/>
        <v>1896748.0875182247</v>
      </c>
      <c r="U38" s="21">
        <f t="shared" si="17"/>
        <v>2209263.6903534299</v>
      </c>
      <c r="V38" s="21">
        <f t="shared" si="17"/>
        <v>2218007.4240787574</v>
      </c>
      <c r="W38" s="21">
        <f t="shared" si="17"/>
        <v>2343966.4776791004</v>
      </c>
      <c r="X38" s="21">
        <f t="shared" si="17"/>
        <v>2360275.145892588</v>
      </c>
      <c r="Y38" s="21">
        <f t="shared" si="17"/>
        <v>2457873.6064113365</v>
      </c>
      <c r="Z38" s="21">
        <f t="shared" si="17"/>
        <v>2493232.570699966</v>
      </c>
      <c r="AA38" s="21">
        <f t="shared" si="17"/>
        <v>2701023.910142601</v>
      </c>
      <c r="AB38" s="21">
        <f t="shared" si="17"/>
        <v>2786250.8455466903</v>
      </c>
      <c r="AC38" s="21">
        <f t="shared" si="17"/>
        <v>2868534.135674275</v>
      </c>
      <c r="AD38" s="21">
        <f t="shared" si="17"/>
        <v>2986800.5848782593</v>
      </c>
      <c r="AE38" s="21">
        <f t="shared" si="17"/>
        <v>3099070.8912384883</v>
      </c>
      <c r="AF38" s="92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  <c r="BC38" s="16"/>
      <c r="BD38" s="16"/>
      <c r="BE38" s="16"/>
    </row>
    <row r="39" spans="1:57" x14ac:dyDescent="0.2">
      <c r="A39" s="106"/>
      <c r="B39" s="9" t="s">
        <v>11</v>
      </c>
      <c r="F39" s="21">
        <f t="shared" ref="F39:AE39" si="18">INDEX(VvodNewMosh,$A33,F$6)+INDEX(VVODNMNAS,$A33,F$6)</f>
        <v>200</v>
      </c>
      <c r="G39" s="21">
        <f t="shared" si="18"/>
        <v>100</v>
      </c>
      <c r="H39" s="21">
        <f t="shared" si="18"/>
        <v>100</v>
      </c>
      <c r="I39" s="21">
        <f t="shared" si="18"/>
        <v>165</v>
      </c>
      <c r="J39" s="21">
        <f t="shared" si="18"/>
        <v>148</v>
      </c>
      <c r="K39" s="21">
        <f t="shared" si="18"/>
        <v>571</v>
      </c>
      <c r="L39" s="21">
        <f t="shared" si="18"/>
        <v>1191</v>
      </c>
      <c r="M39" s="21">
        <f t="shared" si="18"/>
        <v>1067</v>
      </c>
      <c r="N39" s="252">
        <f t="shared" si="18"/>
        <v>697</v>
      </c>
      <c r="O39" s="77">
        <f t="shared" si="18"/>
        <v>563</v>
      </c>
      <c r="P39" s="21">
        <f t="shared" si="18"/>
        <v>989</v>
      </c>
      <c r="Q39" s="21">
        <f t="shared" si="18"/>
        <v>638</v>
      </c>
      <c r="R39" s="21">
        <f t="shared" si="18"/>
        <v>730</v>
      </c>
      <c r="S39" s="21">
        <f t="shared" si="18"/>
        <v>1113</v>
      </c>
      <c r="T39" s="21">
        <f t="shared" si="18"/>
        <v>2853</v>
      </c>
      <c r="U39" s="21">
        <f t="shared" si="18"/>
        <v>444</v>
      </c>
      <c r="V39" s="21">
        <f t="shared" si="18"/>
        <v>1275</v>
      </c>
      <c r="W39" s="21">
        <f t="shared" si="18"/>
        <v>538</v>
      </c>
      <c r="X39" s="21">
        <f t="shared" si="18"/>
        <v>1070</v>
      </c>
      <c r="Y39" s="21">
        <f t="shared" si="18"/>
        <v>705</v>
      </c>
      <c r="Z39" s="21">
        <f t="shared" si="18"/>
        <v>2003</v>
      </c>
      <c r="AA39" s="21">
        <f t="shared" si="18"/>
        <v>966</v>
      </c>
      <c r="AB39" s="21">
        <f t="shared" si="18"/>
        <v>948</v>
      </c>
      <c r="AC39" s="21">
        <f t="shared" si="18"/>
        <v>1077</v>
      </c>
      <c r="AD39" s="21">
        <f t="shared" si="18"/>
        <v>1021</v>
      </c>
      <c r="AE39" s="21">
        <f t="shared" si="18"/>
        <v>273</v>
      </c>
      <c r="AF39" s="92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  <c r="BC39" s="16"/>
      <c r="BD39" s="16"/>
      <c r="BE39" s="16"/>
    </row>
    <row r="40" spans="1:57" s="3" customFormat="1" x14ac:dyDescent="0.2">
      <c r="A40" s="106"/>
      <c r="B40" s="53" t="s">
        <v>17</v>
      </c>
      <c r="F40" s="77">
        <f t="shared" ref="F40:AE40" si="19">F35*VLOOKUP($A33,baplata,2)*INDEX(cumindtarif,$A33,F$6)</f>
        <v>177650.97285441382</v>
      </c>
      <c r="G40" s="27">
        <f t="shared" si="19"/>
        <v>252551.21526284082</v>
      </c>
      <c r="H40" s="27">
        <f t="shared" si="19"/>
        <v>302253.61952471326</v>
      </c>
      <c r="I40" s="27">
        <f t="shared" si="19"/>
        <v>322390.42463167524</v>
      </c>
      <c r="J40" s="27">
        <f t="shared" si="19"/>
        <v>366602.6868068357</v>
      </c>
      <c r="K40" s="27">
        <f t="shared" si="19"/>
        <v>394022.36639250087</v>
      </c>
      <c r="L40" s="27">
        <f t="shared" si="19"/>
        <v>434462.41669858433</v>
      </c>
      <c r="M40" s="27">
        <f t="shared" si="19"/>
        <v>437524.16151149105</v>
      </c>
      <c r="N40" s="252">
        <f t="shared" si="19"/>
        <v>470998.65634834883</v>
      </c>
      <c r="O40" s="77">
        <f t="shared" si="19"/>
        <v>488926.42829260934</v>
      </c>
      <c r="P40" s="27">
        <f t="shared" si="19"/>
        <v>498752.72250504582</v>
      </c>
      <c r="Q40" s="27">
        <f t="shared" si="19"/>
        <v>524210.19752061408</v>
      </c>
      <c r="R40" s="27">
        <f t="shared" si="19"/>
        <v>535380.20174012159</v>
      </c>
      <c r="S40" s="27">
        <f t="shared" si="19"/>
        <v>550221.82593741978</v>
      </c>
      <c r="T40" s="27">
        <f t="shared" si="19"/>
        <v>579093.24177475646</v>
      </c>
      <c r="U40" s="27">
        <f t="shared" si="19"/>
        <v>674506.89988885354</v>
      </c>
      <c r="V40" s="27">
        <f t="shared" si="19"/>
        <v>677176.43578639091</v>
      </c>
      <c r="W40" s="27">
        <f t="shared" si="19"/>
        <v>715632.80074086552</v>
      </c>
      <c r="X40" s="27">
        <f t="shared" si="19"/>
        <v>720611.97515360196</v>
      </c>
      <c r="Y40" s="27">
        <f t="shared" si="19"/>
        <v>750409.61104734812</v>
      </c>
      <c r="Z40" s="27">
        <f t="shared" si="19"/>
        <v>761205.00205917831</v>
      </c>
      <c r="AA40" s="27">
        <f t="shared" si="19"/>
        <v>824645.45636220567</v>
      </c>
      <c r="AB40" s="27">
        <f t="shared" si="19"/>
        <v>850665.96094816702</v>
      </c>
      <c r="AC40" s="27">
        <f t="shared" si="19"/>
        <v>875787.74572150642</v>
      </c>
      <c r="AD40" s="27">
        <f t="shared" si="19"/>
        <v>912407.89025091764</v>
      </c>
      <c r="AE40" s="27">
        <f t="shared" si="19"/>
        <v>947236.18114992452</v>
      </c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</row>
    <row r="41" spans="1:57" x14ac:dyDescent="0.2">
      <c r="A41" s="106"/>
      <c r="B41" s="9" t="s">
        <v>18</v>
      </c>
      <c r="F41" s="21">
        <f>F40</f>
        <v>177650.97285441382</v>
      </c>
      <c r="G41" s="21">
        <f t="shared" ref="G41:AE41" si="20">G40</f>
        <v>252551.21526284082</v>
      </c>
      <c r="H41" s="21">
        <f t="shared" si="20"/>
        <v>302253.61952471326</v>
      </c>
      <c r="I41" s="21">
        <f t="shared" si="20"/>
        <v>322390.42463167524</v>
      </c>
      <c r="J41" s="21">
        <f t="shared" si="20"/>
        <v>366602.6868068357</v>
      </c>
      <c r="K41" s="21">
        <f t="shared" si="20"/>
        <v>394022.36639250087</v>
      </c>
      <c r="L41" s="21">
        <f t="shared" si="20"/>
        <v>434462.41669858433</v>
      </c>
      <c r="M41" s="21">
        <f t="shared" si="20"/>
        <v>437524.16151149105</v>
      </c>
      <c r="N41" s="252">
        <f t="shared" si="20"/>
        <v>470998.65634834883</v>
      </c>
      <c r="O41" s="77">
        <f t="shared" si="20"/>
        <v>488926.42829260934</v>
      </c>
      <c r="P41" s="21">
        <f t="shared" si="20"/>
        <v>498752.72250504582</v>
      </c>
      <c r="Q41" s="21">
        <f t="shared" si="20"/>
        <v>524210.19752061408</v>
      </c>
      <c r="R41" s="21">
        <f t="shared" si="20"/>
        <v>535380.20174012159</v>
      </c>
      <c r="S41" s="21">
        <f t="shared" si="20"/>
        <v>550221.82593741978</v>
      </c>
      <c r="T41" s="21">
        <f t="shared" si="20"/>
        <v>579093.24177475646</v>
      </c>
      <c r="U41" s="21">
        <f t="shared" si="20"/>
        <v>674506.89988885354</v>
      </c>
      <c r="V41" s="21">
        <f t="shared" si="20"/>
        <v>677176.43578639091</v>
      </c>
      <c r="W41" s="21">
        <f t="shared" si="20"/>
        <v>715632.80074086552</v>
      </c>
      <c r="X41" s="21">
        <f t="shared" si="20"/>
        <v>720611.97515360196</v>
      </c>
      <c r="Y41" s="21">
        <f t="shared" si="20"/>
        <v>750409.61104734812</v>
      </c>
      <c r="Z41" s="21">
        <f t="shared" si="20"/>
        <v>761205.00205917831</v>
      </c>
      <c r="AA41" s="21">
        <f t="shared" si="20"/>
        <v>824645.45636220567</v>
      </c>
      <c r="AB41" s="21">
        <f t="shared" si="20"/>
        <v>850665.96094816702</v>
      </c>
      <c r="AC41" s="21">
        <f t="shared" si="20"/>
        <v>875787.74572150642</v>
      </c>
      <c r="AD41" s="21">
        <f t="shared" si="20"/>
        <v>912407.89025091764</v>
      </c>
      <c r="AE41" s="21">
        <f t="shared" si="20"/>
        <v>947236.18114992452</v>
      </c>
      <c r="AF41" s="92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  <c r="BC41" s="16"/>
      <c r="BD41" s="16"/>
      <c r="BE41" s="16"/>
    </row>
    <row r="42" spans="1:57" x14ac:dyDescent="0.2">
      <c r="B42" s="9" t="s">
        <v>12</v>
      </c>
      <c r="F42" s="21">
        <f>F35*VLOOKUP(A33,TrudZa,2)*0.001</f>
        <v>0.32074677290836656</v>
      </c>
      <c r="G42" s="21">
        <f t="shared" ref="G42:AE42" si="21">G35*VLOOKUP($A33,TrudZa,2)*0.001</f>
        <v>0.32162533387357334</v>
      </c>
      <c r="H42" s="21">
        <f t="shared" si="21"/>
        <v>0.2963485350759929</v>
      </c>
      <c r="I42" s="21">
        <f t="shared" si="21"/>
        <v>0.27409991225091668</v>
      </c>
      <c r="J42" s="21">
        <f t="shared" si="21"/>
        <v>0.266537150820641</v>
      </c>
      <c r="K42" s="21">
        <f t="shared" si="21"/>
        <v>0.25626109806048547</v>
      </c>
      <c r="L42" s="21">
        <f t="shared" si="21"/>
        <v>0.25521837781881579</v>
      </c>
      <c r="M42" s="21">
        <f t="shared" si="21"/>
        <v>0.25424727310466327</v>
      </c>
      <c r="N42" s="252">
        <f t="shared" si="21"/>
        <v>0.27369945376007088</v>
      </c>
      <c r="O42" s="77">
        <f t="shared" si="21"/>
        <v>0.28411736328516757</v>
      </c>
      <c r="P42" s="21">
        <f t="shared" si="21"/>
        <v>0.28982746738457399</v>
      </c>
      <c r="Q42" s="21">
        <f t="shared" si="21"/>
        <v>0.30462092148886422</v>
      </c>
      <c r="R42" s="21">
        <f t="shared" si="21"/>
        <v>0.31111186156304521</v>
      </c>
      <c r="S42" s="21">
        <f t="shared" si="21"/>
        <v>0.31973639664602521</v>
      </c>
      <c r="T42" s="21">
        <f t="shared" si="21"/>
        <v>0.3365137072337534</v>
      </c>
      <c r="U42" s="21">
        <f t="shared" si="21"/>
        <v>0.39195901637655528</v>
      </c>
      <c r="V42" s="21">
        <f t="shared" si="21"/>
        <v>0.39351029578489505</v>
      </c>
      <c r="W42" s="21">
        <f t="shared" si="21"/>
        <v>0.41585746374338078</v>
      </c>
      <c r="X42" s="21">
        <f t="shared" si="21"/>
        <v>0.41875088456013609</v>
      </c>
      <c r="Y42" s="21">
        <f t="shared" si="21"/>
        <v>0.43606642582025373</v>
      </c>
      <c r="Z42" s="21">
        <f t="shared" si="21"/>
        <v>0.44233967646171418</v>
      </c>
      <c r="AA42" s="21">
        <f t="shared" si="21"/>
        <v>0.47920521196801347</v>
      </c>
      <c r="AB42" s="21">
        <f t="shared" si="21"/>
        <v>0.49432584510729743</v>
      </c>
      <c r="AC42" s="21">
        <f t="shared" si="21"/>
        <v>0.50892422809048743</v>
      </c>
      <c r="AD42" s="21">
        <f t="shared" si="21"/>
        <v>0.52603577465420415</v>
      </c>
      <c r="AE42" s="21">
        <f t="shared" si="21"/>
        <v>0.54182184718654647</v>
      </c>
      <c r="AF42" s="96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6"/>
      <c r="BC42" s="16"/>
      <c r="BD42" s="16"/>
      <c r="BE42" s="16"/>
    </row>
    <row r="43" spans="1:57" x14ac:dyDescent="0.2">
      <c r="B43" s="9"/>
      <c r="F43" s="15"/>
      <c r="G43" s="15"/>
      <c r="H43" s="15"/>
      <c r="I43" s="15"/>
      <c r="J43" s="15"/>
      <c r="K43" s="15"/>
      <c r="L43" s="15"/>
      <c r="M43" s="15"/>
      <c r="N43" s="290"/>
      <c r="O43" s="20"/>
      <c r="P43" s="15"/>
      <c r="Q43" s="460">
        <f>INDEX(VvodNewMosh,$A33,Q$6)</f>
        <v>538</v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7"/>
      <c r="AC43" s="15"/>
      <c r="AD43" s="15"/>
      <c r="AE43" s="15"/>
      <c r="AF43" s="92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  <c r="BC43" s="16"/>
      <c r="BD43" s="16"/>
      <c r="BE43" s="16"/>
    </row>
    <row r="44" spans="1:57" ht="13.5" thickBot="1" x14ac:dyDescent="0.25">
      <c r="A44" s="11">
        <v>5</v>
      </c>
      <c r="B44" s="9"/>
      <c r="E44" s="3"/>
      <c r="F44" s="27"/>
      <c r="G44" s="27"/>
      <c r="H44" s="27"/>
      <c r="I44" s="27"/>
      <c r="J44" s="27"/>
      <c r="K44" s="27"/>
      <c r="L44" s="27"/>
      <c r="M44" s="15"/>
      <c r="N44" s="290"/>
      <c r="O44" s="20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7"/>
      <c r="AB44" s="15"/>
      <c r="AC44" s="15"/>
      <c r="AD44" s="15"/>
      <c r="AE44" s="92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6"/>
      <c r="BB44" s="16"/>
      <c r="BC44" s="16"/>
      <c r="BD44" s="16"/>
    </row>
    <row r="45" spans="1:57" x14ac:dyDescent="0.2">
      <c r="A45" s="54" t="str">
        <f>VLOOKUP(A44,[1]!spotrnepr,2)</f>
        <v>поликлиники</v>
      </c>
      <c r="B45" s="9"/>
      <c r="F45" s="31">
        <v>2006</v>
      </c>
      <c r="G45" s="31">
        <v>2007</v>
      </c>
      <c r="H45" s="31">
        <v>2008</v>
      </c>
      <c r="I45" s="31">
        <v>2009</v>
      </c>
      <c r="J45" s="31">
        <v>2010</v>
      </c>
      <c r="K45" s="31">
        <v>2011</v>
      </c>
      <c r="L45" s="31">
        <v>2012</v>
      </c>
      <c r="M45" s="31">
        <v>2013</v>
      </c>
      <c r="N45" s="287">
        <v>2014</v>
      </c>
      <c r="O45" s="282">
        <v>2015</v>
      </c>
      <c r="P45" s="31">
        <v>2016</v>
      </c>
      <c r="Q45" s="31">
        <v>2017</v>
      </c>
      <c r="R45" s="31">
        <v>2018</v>
      </c>
      <c r="S45" s="31">
        <v>2019</v>
      </c>
      <c r="T45" s="31">
        <v>2020</v>
      </c>
      <c r="U45" s="31">
        <v>2021</v>
      </c>
      <c r="V45" s="31">
        <v>2022</v>
      </c>
      <c r="W45" s="31">
        <v>2023</v>
      </c>
      <c r="X45" s="31">
        <v>2024</v>
      </c>
      <c r="Y45" s="31">
        <v>2025</v>
      </c>
      <c r="Z45" s="31">
        <v>2026</v>
      </c>
      <c r="AA45" s="31">
        <v>2027</v>
      </c>
      <c r="AB45" s="31">
        <v>2028</v>
      </c>
      <c r="AC45" s="31">
        <v>2029</v>
      </c>
      <c r="AD45" s="31">
        <v>2030</v>
      </c>
      <c r="AE45" s="31">
        <v>2031</v>
      </c>
      <c r="AF45" s="92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  <c r="BC45" s="16"/>
      <c r="BD45" s="16"/>
      <c r="BE45" s="16"/>
    </row>
    <row r="46" spans="1:57" x14ac:dyDescent="0.2">
      <c r="A46" s="106"/>
      <c r="B46" s="9" t="s">
        <v>9</v>
      </c>
      <c r="F46" s="21">
        <f>VLOOKUP($A44,bamonepr,3)</f>
        <v>25612</v>
      </c>
      <c r="G46" s="21">
        <f>F46*(100-INDEX(vibofnepr_NORM,$A44,F$3)+(INDEX(vibofnepr_NORM,$A44,F$3)-INDEX(vibofnepr_NULL,$A44,F$3))*(1-INDEX(Expl_zatrat_fact,5,F$3)/'Лист2_прогнозные цены'!F41))*0.01+F49</f>
        <v>26821.043999999998</v>
      </c>
      <c r="H46" s="21">
        <f>G46*(100-INDEX(vibofnepr_NORM,$A44,G$3)+(INDEX(vibofnepr_NORM,$A44,G$3)-INDEX(vibofnepr_NULL,$A44,G$3))*(1-INDEX(Expl_zatrat_fact,5,G$3)/'Лист2_прогнозные цены'!G41))*0.01+G49</f>
        <v>28289.812433999996</v>
      </c>
      <c r="I46" s="21">
        <f>H46*(100-INDEX(vibofnepr_NORM,$A44,H$3)+(INDEX(vibofnepr_NORM,$A44,H$3)-INDEX(vibofnepr_NULL,$A44,H$3))*(1-INDEX(Expl_zatrat_fact,5,H$3)/'Лист2_прогнозные цены'!H41))*0.01+H49</f>
        <v>27048.627439279993</v>
      </c>
      <c r="J46" s="21">
        <f>I46*(100-INDEX(vibofnepr_NORM,$A44,I$3)+(INDEX(vibofnepr_NORM,$A44,I$3)-INDEX(vibofnepr_NULL,$A44,I$3))*(1-INDEX(Expl_zatrat_fact,5,I$3)/'Лист2_прогнозные цены'!I41))*0.01+I49</f>
        <v>27474.141164887194</v>
      </c>
      <c r="K46" s="21">
        <f>J46*(100-INDEX(vibofnepr_NORM,$A44,J$3)+(INDEX(vibofnepr_NORM,$A44,J$3)-INDEX(vibofnepr_NULL,$A44,J$3))*(1-INDEX(Expl_zatrat_fact,5,J$3)/'Лист2_прогнозные цены'!J41))*0.01+J49</f>
        <v>28447.770459062762</v>
      </c>
      <c r="L46" s="21">
        <f>K46*(100-INDEX(vibofnepr_NORM,$A44,K$3)+(INDEX(vibofnepr_NORM,$A44,K$3)-INDEX(vibofnepr_NULL,$A44,K$3))*(1-INDEX(Expl_zatrat_fact,5,K$3)/'Лист2_прогнозные цены'!K41))*0.01+K49</f>
        <v>28420.559879032771</v>
      </c>
      <c r="M46" s="21">
        <f>L46*(100-INDEX(vibofnepr_NORM,$A44,L$3)+(INDEX(vibofnepr_NORM,$A44,L$3)-INDEX(vibofnepr_NULL,$A44,L$3))*(1-INDEX(Expl_zatrat_fact,5,L$3)/'Лист2_прогнозные цены'!L41))*0.01+L49</f>
        <v>27049.531885081135</v>
      </c>
      <c r="N46" s="252">
        <f>M46*(100-INDEX(vibofnepr_NORM,$A44,M$3)+(INDEX(vibofnepr_NORM,$A44,M$3)-INDEX(vibofnepr_NULL,$A44,M$3))*(1-INDEX(Expl_zatrat_fact,5,M$3)/'Лист2_прогнозные цены'!M41))*0.01+M49</f>
        <v>26480.729692581252</v>
      </c>
      <c r="O46" s="77">
        <f>N46*(100-INDEX(vibofnepr_NORM,$A44,N$3)+(INDEX(vibofnepr_NORM,$A44,N$3)-INDEX(vibofnepr_NULL,$A44,N$3))*(1-INDEX(Expl_zatrat_fact,5,N$3)/'Лист2_прогнозные цены'!N41))*0.01+N49</f>
        <v>27302.791294093044</v>
      </c>
      <c r="P46" s="21">
        <f>O46*(100-INDEX(vibofnepr_NORM,$A44,O$3)+(INDEX(vibofnepr_NORM,$A44,O$3)-INDEX(vibofnepr_NULL,$A44,O$3))*(1-INDEX(Expl_zatrat_fact,5,O$3)/'Лист2_прогнозные цены'!O41))*0.01+O49</f>
        <v>28049.721805747828</v>
      </c>
      <c r="Q46" s="21">
        <f>P46*(100-INDEX(vibofnepr_NORM,$A44,P$3)+(INDEX(vibofnepr_NORM,$A44,P$3)-INDEX(vibofnepr_NULL,$A44,P$3))*(1-INDEX(Expl_zatrat_fact,5,P$3)/'Лист2_прогнозные цены'!P41))*0.01+P49</f>
        <v>28769.822199344813</v>
      </c>
      <c r="R46" s="21">
        <f>Q46*(100-INDEX(vibofnepr_NORM,$A44,Q$3)+(INDEX(vibofnepr_NORM,$A44,Q$3)-INDEX(vibofnepr_NULL,$A44,Q$3))*(1-INDEX(Expl_zatrat_fact,5,Q$3)/'Лист2_прогнозные цены'!Q41))*0.01+Q49</f>
        <v>29489.701092187624</v>
      </c>
      <c r="S46" s="21">
        <f>R46*(100-INDEX(vibofnepr_NORM,$A44,R$3)+(INDEX(vibofnepr_NORM,$A44,R$3)-INDEX(vibofnepr_NULL,$A44,R$3))*(1-INDEX(Expl_zatrat_fact,5,R$3)/'Лист2_прогнозные цены'!R41))*0.01+R49</f>
        <v>29056.531714904602</v>
      </c>
      <c r="T46" s="21">
        <f>S46*(100-INDEX(vibofnepr_NORM,$A44,S$3)+(INDEX(vibofnepr_NORM,$A44,S$3)-INDEX(vibofnepr_NULL,$A44,S$3))*(1-INDEX(Expl_zatrat_fact,5,S$3)/'Лист2_прогнозные цены'!S41))*0.01+S49</f>
        <v>29618.074952227507</v>
      </c>
      <c r="U46" s="21">
        <f>T46*(100-INDEX(vibofnepr_NORM,$A44,T$3)+(INDEX(vibofnepr_NORM,$A44,T$3)-INDEX(vibofnepr_NULL,$A44,T$3))*(1-INDEX(Expl_zatrat_fact,5,T$3)/'Лист2_прогнозные цены'!T41))*0.01+T49</f>
        <v>31178.894202705233</v>
      </c>
      <c r="V46" s="21">
        <f>U46*(100-INDEX(vibofnepr_NORM,$A44,U$3)+(INDEX(vibofnepr_NORM,$A44,U$3)-INDEX(vibofnepr_NULL,$A44,U$3))*(1-INDEX(Expl_zatrat_fact,5,U$3)/'Лист2_прогнозные цены'!U41))*0.01+U49</f>
        <v>32192.105260678181</v>
      </c>
      <c r="W46" s="21">
        <f>V46*(100-INDEX(vibofnepr_NORM,$A44,V$3)+(INDEX(vibofnepr_NORM,$A44,V$3)-INDEX(vibofnepr_NULL,$A44,V$3))*(1-INDEX(Expl_zatrat_fact,5,V$3)/'Лист2_прогнозные цены'!V41))*0.01+V49</f>
        <v>32998.975688019898</v>
      </c>
      <c r="X46" s="21">
        <f>W46*(100-INDEX(vibofnepr_NORM,$A44,W$3)+(INDEX(vibofnepr_NORM,$A44,W$3)-INDEX(vibofnepr_NULL,$A44,W$3))*(1-INDEX(Expl_zatrat_fact,5,W$3)/'Лист2_прогнозные цены'!W41))*0.01+W49</f>
        <v>33731.982324316334</v>
      </c>
      <c r="Y46" s="21">
        <f>X46*(100-INDEX(vibofnepr_NORM,$A44,X$3)+(INDEX(vibofnepr_NORM,$A44,X$3)-INDEX(vibofnepr_NULL,$A44,X$3))*(1-INDEX(Expl_zatrat_fact,5,X$3)/'Лист2_прогнозные цены'!X41))*0.01+X49</f>
        <v>34527.209935310464</v>
      </c>
      <c r="Z46" s="21">
        <f>Y46*(100-INDEX(vibofnepr_NORM,$A44,Y$3)+(INDEX(vibofnepr_NORM,$A44,Y$3)-INDEX(vibofnepr_NULL,$A44,Y$3))*(1-INDEX(Expl_zatrat_fact,5,Y$3)/'Лист2_прогнозные цены'!Y41))*0.01+Y49</f>
        <v>35352.598006700864</v>
      </c>
      <c r="AA46" s="21">
        <f>Z46*(100-INDEX(vibofnepr_NORM,$A44,Z$3)+(INDEX(vibofnepr_NORM,$A44,Z$3)-INDEX(vibofnepr_NULL,$A44,Z$3))*(1-INDEX(Expl_zatrat_fact,5,Z$3)/'Лист2_прогнозные цены'!Z41))*0.01+Z49</f>
        <v>37036.072026633854</v>
      </c>
      <c r="AB46" s="21">
        <f>AA46*(100-INDEX(vibofnepr_NORM,$A44,AA$3)+(INDEX(vibofnepr_NORM,$A44,AA$3)-INDEX(vibofnepr_NULL,$A44,AA$3))*(1-INDEX(Expl_zatrat_fact,5,AA$3)/'Лист2_прогнозные цены'!AA41))*0.01+AA49</f>
        <v>38157.711306367521</v>
      </c>
      <c r="AC46" s="21">
        <f>AB46*(100-INDEX(vibofnepr_NORM,$A44,AB$3)+(INDEX(vibofnepr_NORM,$A44,AB$3)-INDEX(vibofnepr_NULL,$A44,AB$3))*(1-INDEX(Expl_zatrat_fact,5,AB$3)/'Лист2_прогнозные цены'!AB41))*0.01+AB49</f>
        <v>39109.134193303849</v>
      </c>
      <c r="AD46" s="21">
        <f>AC46*(100-INDEX(vibofnepr_NORM,$A44,AC$3)+(INDEX(vibofnepr_NORM,$A44,AC$3)-INDEX(vibofnepr_NULL,$A44,AC$3))*(1-INDEX(Expl_zatrat_fact,5,AC$3)/'Лист2_прогнозные цены'!AC41))*0.01+AC49</f>
        <v>40263.04285137081</v>
      </c>
      <c r="AE46" s="21">
        <f>AD46*(100-INDEX(vibofnepr_NORM,$A44,AD$3)+(INDEX(vibofnepr_NORM,$A44,AD$3)-INDEX(vibofnepr_NULL,$A44,AD$3))*(1-INDEX(Expl_zatrat_fact,5,AD$3)/'Лист2_прогнозные цены'!AD41))*0.01+AD49</f>
        <v>41333.412422857102</v>
      </c>
      <c r="AF46" s="92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6"/>
      <c r="BD46" s="16"/>
      <c r="BE46" s="16"/>
    </row>
    <row r="47" spans="1:57" x14ac:dyDescent="0.2">
      <c r="A47" s="106"/>
      <c r="B47" s="9" t="s">
        <v>10</v>
      </c>
      <c r="F47" s="21">
        <f t="shared" ref="F47:AE47" si="22">F46*INDEX(explzaNS,$A$44,F$3)</f>
        <v>409792</v>
      </c>
      <c r="G47" s="21">
        <f t="shared" si="22"/>
        <v>375494.61599999998</v>
      </c>
      <c r="H47" s="21">
        <f t="shared" si="22"/>
        <v>594086.06111399992</v>
      </c>
      <c r="I47" s="21">
        <f t="shared" si="22"/>
        <v>568021.1762248798</v>
      </c>
      <c r="J47" s="21">
        <f t="shared" si="22"/>
        <v>590694.03504507465</v>
      </c>
      <c r="K47" s="21">
        <f t="shared" si="22"/>
        <v>540507.6387221925</v>
      </c>
      <c r="L47" s="21">
        <f t="shared" si="22"/>
        <v>539990.63770162268</v>
      </c>
      <c r="M47" s="21">
        <f t="shared" si="22"/>
        <v>500416.33987400099</v>
      </c>
      <c r="N47" s="252">
        <f t="shared" si="22"/>
        <v>503133.86415904376</v>
      </c>
      <c r="O47" s="77">
        <f t="shared" si="22"/>
        <v>518753.03458776785</v>
      </c>
      <c r="P47" s="21">
        <f t="shared" si="22"/>
        <v>532944.71430920868</v>
      </c>
      <c r="Q47" s="21">
        <f t="shared" si="22"/>
        <v>546626.62178755144</v>
      </c>
      <c r="R47" s="21">
        <f t="shared" si="22"/>
        <v>560304.32075156481</v>
      </c>
      <c r="S47" s="21">
        <f t="shared" si="22"/>
        <v>552074.1025831874</v>
      </c>
      <c r="T47" s="21">
        <f t="shared" si="22"/>
        <v>562743.42409232259</v>
      </c>
      <c r="U47" s="21">
        <f t="shared" si="22"/>
        <v>592398.98985139944</v>
      </c>
      <c r="V47" s="21">
        <f t="shared" si="22"/>
        <v>611649.99995288544</v>
      </c>
      <c r="W47" s="21">
        <f t="shared" si="22"/>
        <v>626980.53807237803</v>
      </c>
      <c r="X47" s="21">
        <f t="shared" si="22"/>
        <v>640907.6641620103</v>
      </c>
      <c r="Y47" s="21">
        <f t="shared" si="22"/>
        <v>656016.98877089878</v>
      </c>
      <c r="Z47" s="21">
        <f t="shared" si="22"/>
        <v>671699.36212731642</v>
      </c>
      <c r="AA47" s="21">
        <f t="shared" si="22"/>
        <v>703685.36850604322</v>
      </c>
      <c r="AB47" s="21">
        <f t="shared" si="22"/>
        <v>724996.51482098293</v>
      </c>
      <c r="AC47" s="21">
        <f t="shared" si="22"/>
        <v>743073.54967277311</v>
      </c>
      <c r="AD47" s="21">
        <f t="shared" si="22"/>
        <v>764997.81417604536</v>
      </c>
      <c r="AE47" s="21">
        <f t="shared" si="22"/>
        <v>785334.8360342849</v>
      </c>
      <c r="AF47" s="92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  <c r="BC47" s="16"/>
      <c r="BD47" s="16"/>
      <c r="BE47" s="16"/>
    </row>
    <row r="48" spans="1:57" x14ac:dyDescent="0.2">
      <c r="A48" s="106"/>
      <c r="B48" s="9" t="s">
        <v>15</v>
      </c>
      <c r="F48" s="21">
        <f>F46*INDEX(TrudZa,$A$44,F$3)*VLOOKUP($A$44,BazZpNS,2)*INDEX(CumIndFZP,$A$44,F$3)</f>
        <v>243030.46788990824</v>
      </c>
      <c r="G48" s="21">
        <f t="shared" ref="G48:AE48" si="23">G46*INDEX(TrudZa,$A$44,G$3)*INDEX(BazZpNS,$A$44,2)*INDEX(CumIndFZP,$A$44,G$3)</f>
        <v>278457.02903313132</v>
      </c>
      <c r="H48" s="21">
        <f t="shared" si="23"/>
        <v>331058.15079258924</v>
      </c>
      <c r="I48" s="21">
        <f t="shared" si="23"/>
        <v>308622.55051436834</v>
      </c>
      <c r="J48" s="21">
        <f t="shared" si="23"/>
        <v>301932.7396721585</v>
      </c>
      <c r="K48" s="21">
        <f t="shared" si="23"/>
        <v>330065.55812170246</v>
      </c>
      <c r="L48" s="21">
        <f t="shared" si="23"/>
        <v>363293.99237455818</v>
      </c>
      <c r="M48" s="21">
        <f t="shared" si="23"/>
        <v>407879.63337068964</v>
      </c>
      <c r="N48" s="252">
        <f t="shared" si="23"/>
        <v>399302.67053366342</v>
      </c>
      <c r="O48" s="27">
        <f t="shared" si="23"/>
        <v>411698.5295842847</v>
      </c>
      <c r="P48" s="21">
        <f t="shared" si="23"/>
        <v>422961.48764734692</v>
      </c>
      <c r="Q48" s="21">
        <f t="shared" si="23"/>
        <v>433819.87461604789</v>
      </c>
      <c r="R48" s="21">
        <f t="shared" si="23"/>
        <v>444674.92157698877</v>
      </c>
      <c r="S48" s="21">
        <f t="shared" si="23"/>
        <v>438143.16466732288</v>
      </c>
      <c r="T48" s="21">
        <f t="shared" si="23"/>
        <v>446610.66978845146</v>
      </c>
      <c r="U48" s="21">
        <f t="shared" si="23"/>
        <v>470146.24838358024</v>
      </c>
      <c r="V48" s="21">
        <f t="shared" si="23"/>
        <v>485424.44826551864</v>
      </c>
      <c r="W48" s="21">
        <f t="shared" si="23"/>
        <v>497591.23974568129</v>
      </c>
      <c r="X48" s="21">
        <f t="shared" si="23"/>
        <v>508644.23982498277</v>
      </c>
      <c r="Y48" s="21">
        <f t="shared" si="23"/>
        <v>520635.46938845748</v>
      </c>
      <c r="Z48" s="21">
        <f t="shared" si="23"/>
        <v>533081.48824665952</v>
      </c>
      <c r="AA48" s="21">
        <f t="shared" si="23"/>
        <v>558466.57694085862</v>
      </c>
      <c r="AB48" s="21">
        <f t="shared" si="23"/>
        <v>575379.76494483498</v>
      </c>
      <c r="AC48" s="21">
        <f t="shared" si="23"/>
        <v>589726.26158487867</v>
      </c>
      <c r="AD48" s="21">
        <f t="shared" si="23"/>
        <v>611937.22671779222</v>
      </c>
      <c r="AE48" s="21">
        <f t="shared" si="23"/>
        <v>633183.45196062268</v>
      </c>
      <c r="AF48" s="92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6"/>
      <c r="BC48" s="16"/>
      <c r="BD48" s="16"/>
      <c r="BE48" s="16"/>
    </row>
    <row r="49" spans="1:57" x14ac:dyDescent="0.2">
      <c r="A49" s="106"/>
      <c r="B49" s="9" t="s">
        <v>11</v>
      </c>
      <c r="F49" s="27">
        <f t="shared" ref="F49:AE49" si="24">INDEX(VvodNewMosh,$A44,F$6)+INDEX(VVODNMNAS,$A44,F$6)</f>
        <v>1542</v>
      </c>
      <c r="G49" s="27">
        <f t="shared" si="24"/>
        <v>1509</v>
      </c>
      <c r="H49" s="27">
        <f t="shared" si="24"/>
        <v>1022</v>
      </c>
      <c r="I49" s="27">
        <f t="shared" si="24"/>
        <v>696</v>
      </c>
      <c r="J49" s="27">
        <f t="shared" si="24"/>
        <v>1111</v>
      </c>
      <c r="K49" s="27">
        <f t="shared" si="24"/>
        <v>120</v>
      </c>
      <c r="L49" s="27">
        <f t="shared" si="24"/>
        <v>50</v>
      </c>
      <c r="M49" s="27">
        <f t="shared" si="24"/>
        <v>87</v>
      </c>
      <c r="N49" s="252">
        <f t="shared" si="24"/>
        <v>1162</v>
      </c>
      <c r="O49" s="77">
        <f t="shared" si="24"/>
        <v>1189</v>
      </c>
      <c r="P49" s="27">
        <f t="shared" si="24"/>
        <v>1234</v>
      </c>
      <c r="Q49" s="27">
        <f t="shared" si="24"/>
        <v>1285</v>
      </c>
      <c r="R49" s="27">
        <f t="shared" si="24"/>
        <v>149</v>
      </c>
      <c r="S49" s="27">
        <f t="shared" si="24"/>
        <v>964</v>
      </c>
      <c r="T49" s="27">
        <f t="shared" si="24"/>
        <v>1857</v>
      </c>
      <c r="U49" s="27">
        <f t="shared" si="24"/>
        <v>1325</v>
      </c>
      <c r="V49" s="27">
        <f t="shared" si="24"/>
        <v>1160</v>
      </c>
      <c r="W49" s="27">
        <f t="shared" si="24"/>
        <v>1137</v>
      </c>
      <c r="X49" s="27">
        <f t="shared" si="24"/>
        <v>1186</v>
      </c>
      <c r="Y49" s="27">
        <f t="shared" si="24"/>
        <v>1196</v>
      </c>
      <c r="Z49" s="27">
        <f t="shared" si="24"/>
        <v>2037</v>
      </c>
      <c r="AA49" s="27">
        <f t="shared" si="24"/>
        <v>1492</v>
      </c>
      <c r="AB49" s="27">
        <f t="shared" si="24"/>
        <v>1333</v>
      </c>
      <c r="AC49" s="27">
        <f t="shared" si="24"/>
        <v>1545</v>
      </c>
      <c r="AD49" s="27">
        <f t="shared" si="24"/>
        <v>1473</v>
      </c>
      <c r="AE49" s="27">
        <f t="shared" si="24"/>
        <v>471</v>
      </c>
      <c r="AF49" s="92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6"/>
      <c r="BC49" s="16"/>
      <c r="BD49" s="16"/>
      <c r="BE49" s="16"/>
    </row>
    <row r="50" spans="1:57" s="3" customFormat="1" x14ac:dyDescent="0.2">
      <c r="A50" s="106"/>
      <c r="B50" s="53" t="s">
        <v>17</v>
      </c>
      <c r="F50" s="77">
        <f t="shared" ref="F50:AE50" si="25">F46*VLOOKUP($A44,baplata,2)*INDEX(cumindtarif,$A44,F$6)</f>
        <v>266125.69437777868</v>
      </c>
      <c r="G50" s="27">
        <f t="shared" si="25"/>
        <v>250085.66445821969</v>
      </c>
      <c r="H50" s="27">
        <f t="shared" si="25"/>
        <v>296366.74710887828</v>
      </c>
      <c r="I50" s="27">
        <f t="shared" si="25"/>
        <v>319960.89047511044</v>
      </c>
      <c r="J50" s="27">
        <f t="shared" si="25"/>
        <v>366196.75291194726</v>
      </c>
      <c r="K50" s="27">
        <f t="shared" si="25"/>
        <v>387252.07800044882</v>
      </c>
      <c r="L50" s="27">
        <f t="shared" si="25"/>
        <v>427645.25758704555</v>
      </c>
      <c r="M50" s="27">
        <f t="shared" si="25"/>
        <v>411449.22873030999</v>
      </c>
      <c r="N50" s="252">
        <f t="shared" si="25"/>
        <v>402797.20383026853</v>
      </c>
      <c r="O50" s="77">
        <f t="shared" si="25"/>
        <v>415301.54635818419</v>
      </c>
      <c r="P50" s="27">
        <f t="shared" si="25"/>
        <v>426663.07321347872</v>
      </c>
      <c r="Q50" s="27">
        <f t="shared" si="25"/>
        <v>437616.48833402962</v>
      </c>
      <c r="R50" s="27">
        <f t="shared" si="25"/>
        <v>448566.53421644156</v>
      </c>
      <c r="S50" s="27">
        <f t="shared" si="25"/>
        <v>441977.61404769786</v>
      </c>
      <c r="T50" s="27">
        <f t="shared" si="25"/>
        <v>450519.22330277937</v>
      </c>
      <c r="U50" s="27">
        <f t="shared" si="25"/>
        <v>474260.77563443646</v>
      </c>
      <c r="V50" s="27">
        <f t="shared" si="25"/>
        <v>489672.6840591408</v>
      </c>
      <c r="W50" s="27">
        <f t="shared" si="25"/>
        <v>501945.95431111706</v>
      </c>
      <c r="X50" s="27">
        <f t="shared" si="25"/>
        <v>513095.68571643974</v>
      </c>
      <c r="Y50" s="27">
        <f t="shared" si="25"/>
        <v>525191.85760579654</v>
      </c>
      <c r="Z50" s="27">
        <f t="shared" si="25"/>
        <v>537746.79891936819</v>
      </c>
      <c r="AA50" s="27">
        <f t="shared" si="25"/>
        <v>563354.04750436044</v>
      </c>
      <c r="AB50" s="27">
        <f t="shared" si="25"/>
        <v>580415.25279695808</v>
      </c>
      <c r="AC50" s="27">
        <f t="shared" si="25"/>
        <v>594887.30409490399</v>
      </c>
      <c r="AD50" s="27">
        <f t="shared" si="25"/>
        <v>617639.31427753565</v>
      </c>
      <c r="AE50" s="27">
        <f t="shared" si="25"/>
        <v>639442.41507015028</v>
      </c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3"/>
      <c r="BC50" s="23"/>
      <c r="BD50" s="23"/>
      <c r="BE50" s="23"/>
    </row>
    <row r="51" spans="1:57" x14ac:dyDescent="0.2">
      <c r="A51" s="106"/>
      <c r="B51" s="9" t="s">
        <v>18</v>
      </c>
      <c r="F51" s="21">
        <f>F50</f>
        <v>266125.69437777868</v>
      </c>
      <c r="G51" s="21">
        <f t="shared" ref="G51:AE51" si="26">G50</f>
        <v>250085.66445821969</v>
      </c>
      <c r="H51" s="21">
        <f t="shared" si="26"/>
        <v>296366.74710887828</v>
      </c>
      <c r="I51" s="21">
        <f t="shared" si="26"/>
        <v>319960.89047511044</v>
      </c>
      <c r="J51" s="21">
        <f t="shared" si="26"/>
        <v>366196.75291194726</v>
      </c>
      <c r="K51" s="21">
        <f t="shared" si="26"/>
        <v>387252.07800044882</v>
      </c>
      <c r="L51" s="21">
        <f t="shared" si="26"/>
        <v>427645.25758704555</v>
      </c>
      <c r="M51" s="21">
        <f t="shared" si="26"/>
        <v>411449.22873030999</v>
      </c>
      <c r="N51" s="252">
        <f t="shared" si="26"/>
        <v>402797.20383026853</v>
      </c>
      <c r="O51" s="77">
        <f t="shared" si="26"/>
        <v>415301.54635818419</v>
      </c>
      <c r="P51" s="21">
        <f t="shared" si="26"/>
        <v>426663.07321347872</v>
      </c>
      <c r="Q51" s="21">
        <f t="shared" si="26"/>
        <v>437616.48833402962</v>
      </c>
      <c r="R51" s="21">
        <f t="shared" si="26"/>
        <v>448566.53421644156</v>
      </c>
      <c r="S51" s="21">
        <f t="shared" si="26"/>
        <v>441977.61404769786</v>
      </c>
      <c r="T51" s="21">
        <f t="shared" si="26"/>
        <v>450519.22330277937</v>
      </c>
      <c r="U51" s="21">
        <f t="shared" si="26"/>
        <v>474260.77563443646</v>
      </c>
      <c r="V51" s="21">
        <f t="shared" si="26"/>
        <v>489672.6840591408</v>
      </c>
      <c r="W51" s="21">
        <f t="shared" si="26"/>
        <v>501945.95431111706</v>
      </c>
      <c r="X51" s="21">
        <f t="shared" si="26"/>
        <v>513095.68571643974</v>
      </c>
      <c r="Y51" s="21">
        <f t="shared" si="26"/>
        <v>525191.85760579654</v>
      </c>
      <c r="Z51" s="21">
        <f t="shared" si="26"/>
        <v>537746.79891936819</v>
      </c>
      <c r="AA51" s="21">
        <f t="shared" si="26"/>
        <v>563354.04750436044</v>
      </c>
      <c r="AB51" s="21">
        <f t="shared" si="26"/>
        <v>580415.25279695808</v>
      </c>
      <c r="AC51" s="21">
        <f t="shared" si="26"/>
        <v>594887.30409490399</v>
      </c>
      <c r="AD51" s="21">
        <f t="shared" si="26"/>
        <v>617639.31427753565</v>
      </c>
      <c r="AE51" s="21">
        <f t="shared" si="26"/>
        <v>639442.41507015028</v>
      </c>
      <c r="AF51" s="92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6"/>
      <c r="BC51" s="16"/>
      <c r="BD51" s="16"/>
      <c r="BE51" s="16"/>
    </row>
    <row r="52" spans="1:57" x14ac:dyDescent="0.2">
      <c r="A52" s="106"/>
      <c r="B52" s="9" t="s">
        <v>12</v>
      </c>
      <c r="F52" s="21">
        <f t="shared" ref="F52:AE52" si="27">F46*VLOOKUP($A44,TrudZa,2)*0.001</f>
        <v>0.52795413545816738</v>
      </c>
      <c r="G52" s="21">
        <f t="shared" si="27"/>
        <v>0.55287681934661348</v>
      </c>
      <c r="H52" s="21">
        <f t="shared" si="27"/>
        <v>0.58315334475504366</v>
      </c>
      <c r="I52" s="21">
        <f t="shared" si="27"/>
        <v>0.55756812099934128</v>
      </c>
      <c r="J52" s="21">
        <f t="shared" si="27"/>
        <v>0.56633946767779419</v>
      </c>
      <c r="K52" s="21">
        <f t="shared" si="27"/>
        <v>0.58640941974179583</v>
      </c>
      <c r="L52" s="21">
        <f t="shared" si="27"/>
        <v>0.58584851320364761</v>
      </c>
      <c r="M52" s="21">
        <f t="shared" si="27"/>
        <v>0.55758676483430192</v>
      </c>
      <c r="N52" s="252">
        <f t="shared" si="27"/>
        <v>0.54586173477854749</v>
      </c>
      <c r="O52" s="77">
        <f t="shared" si="27"/>
        <v>0.56280733926548776</v>
      </c>
      <c r="P52" s="21">
        <f t="shared" si="27"/>
        <v>0.57820422558939943</v>
      </c>
      <c r="Q52" s="21">
        <f t="shared" si="27"/>
        <v>0.59304804804545841</v>
      </c>
      <c r="R52" s="21">
        <f t="shared" si="27"/>
        <v>0.60788730458557283</v>
      </c>
      <c r="S52" s="21">
        <f t="shared" si="27"/>
        <v>0.59895814778054346</v>
      </c>
      <c r="T52" s="21">
        <f t="shared" si="27"/>
        <v>0.61053354503117574</v>
      </c>
      <c r="U52" s="21">
        <f t="shared" si="27"/>
        <v>0.64270756416253738</v>
      </c>
      <c r="V52" s="21">
        <f t="shared" si="27"/>
        <v>0.66359343672808324</v>
      </c>
      <c r="W52" s="21">
        <f t="shared" si="27"/>
        <v>0.68022589725025873</v>
      </c>
      <c r="X52" s="21">
        <f t="shared" si="27"/>
        <v>0.69533576313152468</v>
      </c>
      <c r="Y52" s="21">
        <f t="shared" si="27"/>
        <v>0.71172822392548352</v>
      </c>
      <c r="Z52" s="21">
        <f t="shared" si="27"/>
        <v>0.72874239875167435</v>
      </c>
      <c r="AA52" s="21">
        <f t="shared" si="27"/>
        <v>0.76344476759284285</v>
      </c>
      <c r="AB52" s="21">
        <f t="shared" si="27"/>
        <v>0.78656573027548027</v>
      </c>
      <c r="AC52" s="21">
        <f t="shared" si="27"/>
        <v>0.80617792954643075</v>
      </c>
      <c r="AD52" s="21">
        <f t="shared" si="27"/>
        <v>0.82996407853781895</v>
      </c>
      <c r="AE52" s="21">
        <f t="shared" si="27"/>
        <v>0.85202819074048863</v>
      </c>
      <c r="AF52" s="96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6"/>
      <c r="BC52" s="16"/>
      <c r="BD52" s="16"/>
      <c r="BE52" s="16"/>
    </row>
    <row r="53" spans="1:57" x14ac:dyDescent="0.2">
      <c r="O53" s="77"/>
      <c r="AB53" s="13"/>
    </row>
    <row r="54" spans="1:57" x14ac:dyDescent="0.2">
      <c r="F54" s="38"/>
      <c r="AB54" s="13"/>
    </row>
    <row r="55" spans="1:57" x14ac:dyDescent="0.2">
      <c r="F55" s="116"/>
      <c r="AB55" s="13"/>
    </row>
    <row r="56" spans="1:57" ht="13.5" thickBot="1" x14ac:dyDescent="0.25">
      <c r="A56">
        <v>6</v>
      </c>
      <c r="E56" s="101" t="s">
        <v>266</v>
      </c>
      <c r="F56" s="115">
        <v>352664259.80999994</v>
      </c>
      <c r="G56" s="115">
        <v>463105941.31</v>
      </c>
      <c r="H56" s="115">
        <v>575446108.62</v>
      </c>
      <c r="I56" s="115">
        <v>735572690.80000007</v>
      </c>
      <c r="J56" s="115">
        <v>835062306.08999991</v>
      </c>
      <c r="K56" s="115">
        <v>835697082.50999999</v>
      </c>
      <c r="L56" s="115">
        <v>922757617.45999992</v>
      </c>
      <c r="M56" s="115">
        <v>181662616.19</v>
      </c>
      <c r="N56" s="257">
        <v>197330331.13</v>
      </c>
      <c r="AB56" s="13"/>
    </row>
    <row r="57" spans="1:57" x14ac:dyDescent="0.2">
      <c r="A57" s="25" t="str">
        <f>VLOOKUP(A56,[1]!spotrnepr,2)</f>
        <v>культура</v>
      </c>
      <c r="F57" s="31">
        <v>2006</v>
      </c>
      <c r="G57" s="31">
        <v>2007</v>
      </c>
      <c r="H57" s="31">
        <v>2008</v>
      </c>
      <c r="I57" s="31">
        <v>2009</v>
      </c>
      <c r="J57" s="31">
        <v>2010</v>
      </c>
      <c r="K57" s="31">
        <v>2011</v>
      </c>
      <c r="L57" s="31">
        <v>2012</v>
      </c>
      <c r="M57" s="31">
        <v>2013</v>
      </c>
      <c r="N57" s="287">
        <v>2014</v>
      </c>
      <c r="O57" s="282">
        <v>2015</v>
      </c>
      <c r="P57" s="31">
        <v>2016</v>
      </c>
      <c r="Q57" s="31">
        <v>2017</v>
      </c>
      <c r="R57" s="31">
        <v>2018</v>
      </c>
      <c r="S57" s="31">
        <v>2019</v>
      </c>
      <c r="T57" s="31">
        <v>2020</v>
      </c>
      <c r="U57" s="31">
        <v>2021</v>
      </c>
      <c r="V57" s="31">
        <v>2022</v>
      </c>
      <c r="W57" s="31">
        <v>2023</v>
      </c>
      <c r="X57" s="31">
        <v>2024</v>
      </c>
      <c r="Y57" s="31">
        <v>2025</v>
      </c>
      <c r="Z57" s="31">
        <v>2026</v>
      </c>
      <c r="AA57" s="31">
        <v>2027</v>
      </c>
      <c r="AB57" s="31">
        <v>2028</v>
      </c>
      <c r="AC57" s="31">
        <v>2029</v>
      </c>
      <c r="AD57" s="31">
        <v>2030</v>
      </c>
      <c r="AE57" s="31">
        <v>2031</v>
      </c>
    </row>
    <row r="58" spans="1:57" x14ac:dyDescent="0.2">
      <c r="A58" s="106"/>
      <c r="B58" s="9" t="s">
        <v>9</v>
      </c>
      <c r="F58" s="21">
        <f>VLOOKUP(A56,bamonepr,3)</f>
        <v>125500</v>
      </c>
      <c r="G58" s="21">
        <f>F58*(100-INDEX(vibofnepr_NORM,$A56,F$3)+(INDEX(vibofnepr_NORM,$A56,F$3)-INDEX(vibofnepr_NULL,$A56,F$3))*(1-INDEX(Expl_zatrat_fact,6,F$3)/'Лист2_прогнозные цены'!F51))*0.01+F61</f>
        <v>128275</v>
      </c>
      <c r="H58" s="21">
        <f>G58*(100-INDEX(vibofnepr_NORM,$A56,G$3)+(INDEX(vibofnepr_NORM,$A56,G$3)-INDEX(vibofnepr_NULL,$A56,G$3))*(1-INDEX(Expl_zatrat_fact,6,G$3)/'Лист2_прогнозные цены'!G51))*0.01+G61</f>
        <v>131475.17499999999</v>
      </c>
      <c r="I58" s="21">
        <f>H58*(100-INDEX(vibofnepr_NORM,$A56,H$3)+(INDEX(vibofnepr_NORM,$A56,H$3)-INDEX(vibofnepr_NULL,$A56,H$3))*(1-INDEX(Expl_zatrat_fact,6,H$3)/'Лист2_прогнозные цены'!H51))*0.01+H61</f>
        <v>132811.79912500002</v>
      </c>
      <c r="J58" s="21">
        <f>I58*(100-INDEX(vibofnepr_NORM,$A56,I$3)+(INDEX(vibofnepr_NORM,$A56,I$3)-INDEX(vibofnepr_NULL,$A56,I$3))*(1-INDEX(Expl_zatrat_fact,6,I$3)/'Лист2_прогнозные цены'!I51))*0.01+I61</f>
        <v>136033.17552675001</v>
      </c>
      <c r="K58" s="21">
        <f>J58*(100-INDEX(vibofnepr_NORM,$A56,J$3)+(INDEX(vibofnepr_NORM,$A56,J$3)-INDEX(vibofnepr_NULL,$A56,J$3))*(1-INDEX(Expl_zatrat_fact,6,J$3)/'Лист2_прогнозные цены'!J51))*0.01+J61</f>
        <v>142777.1091756965</v>
      </c>
      <c r="L58" s="21">
        <f>K58*(100-INDEX(vibofnepr_NORM,$A56,K$3)+(INDEX(vibofnepr_NORM,$A56,K$3)-INDEX(vibofnepr_NULL,$A56,K$3))*(1-INDEX(Expl_zatrat_fact,6,K$3)/'Лист2_прогнозные цены'!K51))*0.01+K61</f>
        <v>148693.33808393954</v>
      </c>
      <c r="M58" s="21">
        <f>L58*(100-INDEX(vibofnepr_NORM,$A56,L$3)+(INDEX(vibofnepr_NORM,$A56,L$3)-INDEX(vibofnepr_NULL,$A56,L$3))*(1-INDEX(Expl_zatrat_fact,6,L$3)/'Лист2_прогнозные цены'!L51))*0.01+L61</f>
        <v>155102.40470310015</v>
      </c>
      <c r="N58" s="252">
        <f>M58*(100-INDEX(vibofnepr_NORM,$A56,M$3)+(INDEX(vibofnepr_NORM,$A56,M$3)-INDEX(vibofnepr_NULL,$A56,M$3))*(1-INDEX(Expl_zatrat_fact,6,M$3)/'Лист2_прогнозные цены'!M51))*0.01+M61</f>
        <v>158263.38065606914</v>
      </c>
      <c r="O58" s="77">
        <f>N58*(100-INDEX(vibofnepr_NORM,$A56,N$3)+(INDEX(vibofnepr_NORM,$A56,N$3)-INDEX(vibofnepr_NULL,$A56,N$3))*(1-INDEX(Expl_zatrat_fact,6,N$3)/'Лист2_прогнозные цены'!N51))*0.01+N61</f>
        <v>158533.40315999518</v>
      </c>
      <c r="P58" s="21">
        <f>O58*(100-INDEX(vibofnepr_NORM,$A56,O$3)+(INDEX(vibofnepr_NORM,$A56,O$3)-INDEX(vibofnepr_NULL,$A56,O$3))*(1-INDEX(Expl_zatrat_fact,6,O$3)/'Лист2_прогнозные цены'!O51))*0.01+O61</f>
        <v>164491.06912839523</v>
      </c>
      <c r="Q58" s="21">
        <f>P58*(100-INDEX(vibofnepr_NORM,$A56,P$3)+(INDEX(vibofnepr_NORM,$A56,P$3)-INDEX(vibofnepr_NULL,$A56,P$3))*(1-INDEX(Expl_zatrat_fact,6,P$3)/'Лист2_прогнозные цены'!P51))*0.01+P61</f>
        <v>164480.05227722609</v>
      </c>
      <c r="R58" s="21">
        <f>Q58*(100-INDEX(vibofnepr_NORM,$A56,Q$3)+(INDEX(vibofnepr_NORM,$A56,Q$3)-INDEX(vibofnepr_NULL,$A56,Q$3))*(1-INDEX(Expl_zatrat_fact,6,Q$3)/'Лист2_прогнозные цены'!Q51))*0.01+Q61</f>
        <v>168616.75029649184</v>
      </c>
      <c r="S58" s="21">
        <f>R58*(100-INDEX(vibofnepr_NORM,$A56,R$3)+(INDEX(vibofnepr_NORM,$A56,R$3)-INDEX(vibofnepr_NULL,$A56,R$3))*(1-INDEX(Expl_zatrat_fact,6,R$3)/'Лист2_прогнозные цены'!R51))*0.01+R61</f>
        <v>171431.35312555547</v>
      </c>
      <c r="T58" s="21">
        <f>S58*(100-INDEX(vibofnepr_NORM,$A56,S$3)+(INDEX(vibofnepr_NORM,$A56,S$3)-INDEX(vibofnepr_NULL,$A56,S$3))*(1-INDEX(Expl_zatrat_fact,6,S$3)/'Лист2_прогнозные цены'!S51))*0.01+S61</f>
        <v>194335.03959429992</v>
      </c>
      <c r="U58" s="21">
        <f>T58*(100-INDEX(vibofnepr_NORM,$A56,T$3)+(INDEX(vibofnepr_NORM,$A56,T$3)-INDEX(vibofnepr_NULL,$A56,T$3))*(1-INDEX(Expl_zatrat_fact,6,T$3)/'Лист2_прогнозные цены'!T51))*0.01+T61</f>
        <v>196773.58674072404</v>
      </c>
      <c r="V58" s="21">
        <f>U58*(100-INDEX(vibofnepr_NORM,$A56,U$3)+(INDEX(vibofnepr_NORM,$A56,U$3)-INDEX(vibofnepr_NULL,$A56,U$3))*(1-INDEX(Expl_zatrat_fact,6,U$3)/'Лист2_прогнозные цены'!U51))*0.01+U61</f>
        <v>214061.85087331678</v>
      </c>
      <c r="W58" s="21">
        <f>V58*(100-INDEX(vibofnepr_NORM,$A56,V$3)+(INDEX(vibofnepr_NORM,$A56,V$3)-INDEX(vibofnepr_NULL,$A56,V$3))*(1-INDEX(Expl_zatrat_fact,6,V$3)/'Лист2_прогнозные цены'!V51))*0.01+V61</f>
        <v>212735.9108469316</v>
      </c>
      <c r="X58" s="21">
        <f>W58*(100-INDEX(vibofnepr_NORM,$A56,W$3)+(INDEX(vibofnepr_NORM,$A56,W$3)-INDEX(vibofnepr_NULL,$A56,W$3))*(1-INDEX(Expl_zatrat_fact,6,W$3)/'Лист2_прогнозные цены'!W51))*0.01+W61</f>
        <v>214413.33070744757</v>
      </c>
      <c r="Y58" s="21">
        <f>X58*(100-INDEX(vibofnepr_NORM,$A56,X$3)+(INDEX(vibofnepr_NORM,$A56,X$3)-INDEX(vibofnepr_NULL,$A56,X$3))*(1-INDEX(Expl_zatrat_fact,6,X$3)/'Лист2_прогнозные цены'!X51))*0.01+X61</f>
        <v>216598.77609499785</v>
      </c>
      <c r="Z58" s="21">
        <f>Y58*(100-INDEX(vibofnepr_NORM,$A56,Y$3)+(INDEX(vibofnepr_NORM,$A56,Y$3)-INDEX(vibofnepr_NULL,$A56,Y$3))*(1-INDEX(Expl_zatrat_fact,6,Y$3)/'Лист2_прогнозные цены'!Y51))*0.01+Y61</f>
        <v>232259.78833404789</v>
      </c>
      <c r="AA58" s="21">
        <f>Z58*(100-INDEX(vibofnepr_NORM,$A56,Z$3)+(INDEX(vibofnepr_NORM,$A56,Z$3)-INDEX(vibofnepr_NULL,$A56,Z$3))*(1-INDEX(Expl_zatrat_fact,6,Z$3)/'Лист2_прогнозные цены'!Z51))*0.01+Z61</f>
        <v>232114.95974217405</v>
      </c>
      <c r="AB58" s="21">
        <f>AA58*(100-INDEX(vibofnepr_NORM,$A56,AA$3)+(INDEX(vibofnepr_NORM,$A56,AA$3)-INDEX(vibofnepr_NULL,$A56,AA$3))*(1-INDEX(Expl_zatrat_fact,6,AA$3)/'Лист2_прогнозные цены'!AA51))*0.01+AA61</f>
        <v>244223.81014475229</v>
      </c>
      <c r="AC58" s="21">
        <f>AB58*(100-INDEX(vibofnepr_NORM,$A56,AB$3)+(INDEX(vibofnepr_NORM,$A56,AB$3)-INDEX(vibofnepr_NULL,$A56,AB$3))*(1-INDEX(Expl_zatrat_fact,6,AB$3)/'Лист2_прогнозные цены'!AB51))*0.01+AB61</f>
        <v>249817.5720433048</v>
      </c>
      <c r="AD58" s="21">
        <f>AC58*(100-INDEX(vibofnepr_NORM,$A56,AC$3)+(INDEX(vibofnepr_NORM,$A56,AC$3)-INDEX(vibofnepr_NULL,$A56,AC$3))*(1-INDEX(Expl_zatrat_fact,6,AC$3)/'Лист2_прогнозные цены'!AC51))*0.01+AC61</f>
        <v>256523.39632287176</v>
      </c>
      <c r="AE58" s="21">
        <f>AD58*(100-INDEX(vibofnepr_NORM,$A56,AD$3)+(INDEX(vibofnepr_NORM,$A56,AD$3)-INDEX(vibofnepr_NULL,$A56,AD$3))*(1-INDEX(Expl_zatrat_fact,6,AD$3)/'Лист2_прогнозные цены'!AD51))*0.01+AD61</f>
        <v>262838.16235964303</v>
      </c>
      <c r="AF58" s="92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6"/>
      <c r="BD58" s="16"/>
      <c r="BE58" s="16"/>
    </row>
    <row r="59" spans="1:57" x14ac:dyDescent="0.2">
      <c r="A59" s="3"/>
      <c r="B59" s="9" t="s">
        <v>10</v>
      </c>
      <c r="F59" s="21">
        <f t="shared" ref="F59:AE59" si="28">F58*INDEX(explzaNS,$A$56,F$3)</f>
        <v>288650</v>
      </c>
      <c r="G59" s="21">
        <f t="shared" si="28"/>
        <v>301446.25</v>
      </c>
      <c r="H59" s="21">
        <f t="shared" si="28"/>
        <v>151196.45124999998</v>
      </c>
      <c r="I59" s="21">
        <f t="shared" si="28"/>
        <v>212498.87860000005</v>
      </c>
      <c r="J59" s="21">
        <f t="shared" si="28"/>
        <v>299272.98615885008</v>
      </c>
      <c r="K59" s="21">
        <f t="shared" si="28"/>
        <v>328387.35110410192</v>
      </c>
      <c r="L59" s="21">
        <f t="shared" si="28"/>
        <v>743466.69041969767</v>
      </c>
      <c r="M59" s="21">
        <f t="shared" si="28"/>
        <v>775512.02351550083</v>
      </c>
      <c r="N59" s="252">
        <f t="shared" si="28"/>
        <v>791316.90328034572</v>
      </c>
      <c r="O59" s="77">
        <f t="shared" si="28"/>
        <v>792667.01579997595</v>
      </c>
      <c r="P59" s="21">
        <f t="shared" si="28"/>
        <v>822455.34564197622</v>
      </c>
      <c r="Q59" s="21">
        <f t="shared" si="28"/>
        <v>822400.26138613047</v>
      </c>
      <c r="R59" s="21">
        <f t="shared" si="28"/>
        <v>843083.75148245925</v>
      </c>
      <c r="S59" s="21">
        <f t="shared" si="28"/>
        <v>857156.76562777732</v>
      </c>
      <c r="T59" s="21">
        <f t="shared" si="28"/>
        <v>971675.19797149953</v>
      </c>
      <c r="U59" s="21">
        <f t="shared" si="28"/>
        <v>983867.93370362022</v>
      </c>
      <c r="V59" s="21">
        <f t="shared" si="28"/>
        <v>1070309.2543665839</v>
      </c>
      <c r="W59" s="21">
        <f t="shared" si="28"/>
        <v>1063679.5542346579</v>
      </c>
      <c r="X59" s="21">
        <f t="shared" si="28"/>
        <v>1072066.6535372378</v>
      </c>
      <c r="Y59" s="21">
        <f t="shared" si="28"/>
        <v>1082993.8804749893</v>
      </c>
      <c r="Z59" s="21">
        <f t="shared" si="28"/>
        <v>1161298.9416702394</v>
      </c>
      <c r="AA59" s="21">
        <f t="shared" si="28"/>
        <v>1160574.7987108703</v>
      </c>
      <c r="AB59" s="21">
        <f t="shared" si="28"/>
        <v>1221119.0507237616</v>
      </c>
      <c r="AC59" s="21">
        <f t="shared" si="28"/>
        <v>1249087.860216524</v>
      </c>
      <c r="AD59" s="21">
        <f t="shared" si="28"/>
        <v>1282616.9816143587</v>
      </c>
      <c r="AE59" s="21">
        <f t="shared" si="28"/>
        <v>1314190.8117982151</v>
      </c>
      <c r="AF59" s="92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6"/>
      <c r="BC59" s="16"/>
      <c r="BD59" s="16"/>
      <c r="BE59" s="16"/>
    </row>
    <row r="60" spans="1:57" x14ac:dyDescent="0.2">
      <c r="A60" s="3"/>
      <c r="B60" s="9" t="s">
        <v>15</v>
      </c>
      <c r="F60" s="21">
        <f t="shared" ref="F60:AE60" si="29">F58*INDEX(TrudZa,$A$56,F$6)*VLOOKUP($A$56,BazZpNS,2)*INDEX(CumIndFZP,$A$56,F$3)</f>
        <v>210194.15779816511</v>
      </c>
      <c r="G60" s="21">
        <f t="shared" si="29"/>
        <v>207554.53927541454</v>
      </c>
      <c r="H60" s="21">
        <f t="shared" si="29"/>
        <v>237817.7130434803</v>
      </c>
      <c r="I60" s="21">
        <f t="shared" si="29"/>
        <v>224949.23897008121</v>
      </c>
      <c r="J60" s="21">
        <f t="shared" si="29"/>
        <v>215449.26581910264</v>
      </c>
      <c r="K60" s="21">
        <f t="shared" si="29"/>
        <v>233472.54880090762</v>
      </c>
      <c r="L60" s="21">
        <f t="shared" si="29"/>
        <v>245557.83953591887</v>
      </c>
      <c r="M60" s="21">
        <f t="shared" si="29"/>
        <v>257964.96860032505</v>
      </c>
      <c r="N60" s="252">
        <f t="shared" si="29"/>
        <v>263222.27627401927</v>
      </c>
      <c r="O60" s="27">
        <f t="shared" si="29"/>
        <v>263671.37535072275</v>
      </c>
      <c r="P60" s="21">
        <f t="shared" si="29"/>
        <v>273580.11349963443</v>
      </c>
      <c r="Q60" s="21">
        <f t="shared" si="29"/>
        <v>273561.79036872386</v>
      </c>
      <c r="R60" s="21">
        <f t="shared" si="29"/>
        <v>280441.91048479569</v>
      </c>
      <c r="S60" s="21">
        <f t="shared" si="29"/>
        <v>285123.13339563092</v>
      </c>
      <c r="T60" s="21">
        <f t="shared" si="29"/>
        <v>323216.3452452551</v>
      </c>
      <c r="U60" s="21">
        <f t="shared" si="29"/>
        <v>327272.11562007217</v>
      </c>
      <c r="V60" s="21">
        <f t="shared" si="29"/>
        <v>356025.80594908661</v>
      </c>
      <c r="W60" s="21">
        <f t="shared" si="29"/>
        <v>353820.51404579787</v>
      </c>
      <c r="X60" s="21">
        <f t="shared" si="29"/>
        <v>356610.38414791448</v>
      </c>
      <c r="Y60" s="21">
        <f t="shared" si="29"/>
        <v>360245.19788182335</v>
      </c>
      <c r="Z60" s="21">
        <f t="shared" si="29"/>
        <v>386292.45703444112</v>
      </c>
      <c r="AA60" s="21">
        <f t="shared" si="29"/>
        <v>386051.57938185614</v>
      </c>
      <c r="AB60" s="21">
        <f t="shared" si="29"/>
        <v>406190.91390646581</v>
      </c>
      <c r="AC60" s="21">
        <f t="shared" si="29"/>
        <v>415494.40997591754</v>
      </c>
      <c r="AD60" s="21">
        <f t="shared" si="29"/>
        <v>430269.95710283343</v>
      </c>
      <c r="AE60" s="21">
        <f t="shared" si="29"/>
        <v>444604.96071641735</v>
      </c>
      <c r="AF60" s="92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6"/>
      <c r="BC60" s="16"/>
      <c r="BD60" s="16"/>
      <c r="BE60" s="16"/>
    </row>
    <row r="61" spans="1:57" x14ac:dyDescent="0.2">
      <c r="A61" s="106"/>
      <c r="B61" s="9" t="s">
        <v>11</v>
      </c>
      <c r="F61" s="27">
        <f t="shared" ref="F61:AE61" si="30">INDEX(VvodNewMosh,$A56,F$6)+INDEX(VVODNMNAS,$A56,F$6)</f>
        <v>4030</v>
      </c>
      <c r="G61" s="27">
        <f t="shared" si="30"/>
        <v>3585</v>
      </c>
      <c r="H61" s="27">
        <f t="shared" si="30"/>
        <v>1994</v>
      </c>
      <c r="I61" s="27">
        <f t="shared" si="30"/>
        <v>3487</v>
      </c>
      <c r="J61" s="27">
        <f t="shared" si="30"/>
        <v>7016</v>
      </c>
      <c r="K61" s="27">
        <f t="shared" si="30"/>
        <v>7344</v>
      </c>
      <c r="L61" s="27">
        <f t="shared" si="30"/>
        <v>7896</v>
      </c>
      <c r="M61" s="27">
        <f t="shared" si="30"/>
        <v>4712</v>
      </c>
      <c r="N61" s="252">
        <f t="shared" si="30"/>
        <v>2647</v>
      </c>
      <c r="O61" s="77">
        <f t="shared" si="30"/>
        <v>7543</v>
      </c>
      <c r="P61" s="27">
        <f t="shared" si="30"/>
        <v>2998</v>
      </c>
      <c r="Q61" s="27">
        <f t="shared" si="30"/>
        <v>5886</v>
      </c>
      <c r="R61" s="27">
        <f t="shared" si="30"/>
        <v>5026</v>
      </c>
      <c r="S61" s="27">
        <f t="shared" si="30"/>
        <v>24618</v>
      </c>
      <c r="T61" s="27">
        <f t="shared" si="30"/>
        <v>4571</v>
      </c>
      <c r="U61" s="27">
        <f t="shared" si="30"/>
        <v>19256</v>
      </c>
      <c r="V61" s="27">
        <f t="shared" si="30"/>
        <v>2096</v>
      </c>
      <c r="W61" s="27">
        <f t="shared" si="30"/>
        <v>4185</v>
      </c>
      <c r="X61" s="27">
        <f t="shared" si="30"/>
        <v>4711</v>
      </c>
      <c r="Y61" s="27">
        <f t="shared" si="30"/>
        <v>17827</v>
      </c>
      <c r="Z61" s="27">
        <f t="shared" si="30"/>
        <v>2870</v>
      </c>
      <c r="AA61" s="27">
        <f t="shared" si="30"/>
        <v>14430</v>
      </c>
      <c r="AB61" s="27">
        <f t="shared" si="30"/>
        <v>8036</v>
      </c>
      <c r="AC61" s="27">
        <f t="shared" si="30"/>
        <v>9204</v>
      </c>
      <c r="AD61" s="27">
        <f t="shared" si="30"/>
        <v>8880</v>
      </c>
      <c r="AE61" s="27">
        <f t="shared" si="30"/>
        <v>2694</v>
      </c>
      <c r="AF61" s="92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6"/>
      <c r="BC61" s="16"/>
      <c r="BD61" s="16"/>
      <c r="BE61" s="16"/>
    </row>
    <row r="62" spans="1:57" s="3" customFormat="1" x14ac:dyDescent="0.2">
      <c r="A62" s="106"/>
      <c r="B62" s="53" t="s">
        <v>17</v>
      </c>
      <c r="F62" s="77">
        <f t="shared" ref="F62:AE62" si="31">F58*VLOOKUP($A56,baplata,2)*INDEX(cumindtarif,$A56,F$6)</f>
        <v>76575.02101685002</v>
      </c>
      <c r="G62" s="27">
        <f t="shared" si="31"/>
        <v>98748.117717684145</v>
      </c>
      <c r="H62" s="27">
        <f t="shared" si="31"/>
        <v>98832.295612552509</v>
      </c>
      <c r="I62" s="27">
        <f t="shared" si="31"/>
        <v>97750.244169692771</v>
      </c>
      <c r="J62" s="27">
        <f t="shared" si="31"/>
        <v>136109.26795691886</v>
      </c>
      <c r="K62" s="27">
        <f t="shared" si="31"/>
        <v>139696.43747614144</v>
      </c>
      <c r="L62" s="27">
        <f t="shared" si="31"/>
        <v>139653.93248241048</v>
      </c>
      <c r="M62" s="27">
        <f t="shared" si="31"/>
        <v>147260.29195293327</v>
      </c>
      <c r="N62" s="252">
        <f t="shared" si="31"/>
        <v>150261.4462069982</v>
      </c>
      <c r="O62" s="77">
        <f t="shared" si="31"/>
        <v>150517.81613780701</v>
      </c>
      <c r="P62" s="27">
        <f t="shared" si="31"/>
        <v>156174.25732286824</v>
      </c>
      <c r="Q62" s="27">
        <f t="shared" si="31"/>
        <v>156163.79749329513</v>
      </c>
      <c r="R62" s="27">
        <f t="shared" si="31"/>
        <v>160091.34045566429</v>
      </c>
      <c r="S62" s="27">
        <f t="shared" si="31"/>
        <v>162763.63451282523</v>
      </c>
      <c r="T62" s="27">
        <f t="shared" si="31"/>
        <v>184509.29063364444</v>
      </c>
      <c r="U62" s="27">
        <f t="shared" si="31"/>
        <v>186824.5427112045</v>
      </c>
      <c r="V62" s="27">
        <f t="shared" si="31"/>
        <v>203238.69714290649</v>
      </c>
      <c r="W62" s="27">
        <f t="shared" si="31"/>
        <v>201979.79779978329</v>
      </c>
      <c r="X62" s="27">
        <f t="shared" si="31"/>
        <v>203572.4058503166</v>
      </c>
      <c r="Y62" s="27">
        <f t="shared" si="31"/>
        <v>205647.35321450411</v>
      </c>
      <c r="Z62" s="27">
        <f t="shared" si="31"/>
        <v>220516.5310265157</v>
      </c>
      <c r="AA62" s="27">
        <f t="shared" si="31"/>
        <v>220379.02509446195</v>
      </c>
      <c r="AB62" s="27">
        <f t="shared" si="31"/>
        <v>231875.64146808561</v>
      </c>
      <c r="AC62" s="27">
        <f t="shared" si="31"/>
        <v>237186.57789020526</v>
      </c>
      <c r="AD62" s="27">
        <f t="shared" si="31"/>
        <v>245759.11603753976</v>
      </c>
      <c r="AE62" s="27">
        <f t="shared" si="31"/>
        <v>254089.43418177936</v>
      </c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3"/>
      <c r="BC62" s="23"/>
      <c r="BD62" s="23"/>
      <c r="BE62" s="23"/>
    </row>
    <row r="63" spans="1:57" x14ac:dyDescent="0.2">
      <c r="A63" s="106"/>
      <c r="B63" s="9" t="s">
        <v>18</v>
      </c>
      <c r="F63" s="21">
        <f t="shared" ref="F63:L63" si="32">F62</f>
        <v>76575.02101685002</v>
      </c>
      <c r="G63" s="21">
        <f t="shared" si="32"/>
        <v>98748.117717684145</v>
      </c>
      <c r="H63" s="21">
        <f t="shared" si="32"/>
        <v>98832.295612552509</v>
      </c>
      <c r="I63" s="21">
        <f t="shared" si="32"/>
        <v>97750.244169692771</v>
      </c>
      <c r="J63" s="21">
        <f t="shared" si="32"/>
        <v>136109.26795691886</v>
      </c>
      <c r="K63" s="21">
        <f t="shared" si="32"/>
        <v>139696.43747614144</v>
      </c>
      <c r="L63" s="21">
        <f t="shared" si="32"/>
        <v>139653.93248241048</v>
      </c>
      <c r="M63" s="21">
        <f t="shared" ref="M63:AE63" si="33">M62</f>
        <v>147260.29195293327</v>
      </c>
      <c r="N63" s="252">
        <f t="shared" si="33"/>
        <v>150261.4462069982</v>
      </c>
      <c r="O63" s="77">
        <f t="shared" si="33"/>
        <v>150517.81613780701</v>
      </c>
      <c r="P63" s="21">
        <f t="shared" si="33"/>
        <v>156174.25732286824</v>
      </c>
      <c r="Q63" s="21">
        <f t="shared" si="33"/>
        <v>156163.79749329513</v>
      </c>
      <c r="R63" s="21">
        <f t="shared" si="33"/>
        <v>160091.34045566429</v>
      </c>
      <c r="S63" s="21">
        <f t="shared" si="33"/>
        <v>162763.63451282523</v>
      </c>
      <c r="T63" s="21">
        <f t="shared" si="33"/>
        <v>184509.29063364444</v>
      </c>
      <c r="U63" s="21">
        <f t="shared" si="33"/>
        <v>186824.5427112045</v>
      </c>
      <c r="V63" s="21">
        <f t="shared" si="33"/>
        <v>203238.69714290649</v>
      </c>
      <c r="W63" s="21">
        <f t="shared" si="33"/>
        <v>201979.79779978329</v>
      </c>
      <c r="X63" s="21">
        <f t="shared" si="33"/>
        <v>203572.4058503166</v>
      </c>
      <c r="Y63" s="21">
        <f t="shared" si="33"/>
        <v>205647.35321450411</v>
      </c>
      <c r="Z63" s="21">
        <f t="shared" si="33"/>
        <v>220516.5310265157</v>
      </c>
      <c r="AA63" s="21">
        <f t="shared" si="33"/>
        <v>220379.02509446195</v>
      </c>
      <c r="AB63" s="21">
        <f t="shared" si="33"/>
        <v>231875.64146808561</v>
      </c>
      <c r="AC63" s="21">
        <f t="shared" si="33"/>
        <v>237186.57789020526</v>
      </c>
      <c r="AD63" s="21">
        <f t="shared" si="33"/>
        <v>245759.11603753976</v>
      </c>
      <c r="AE63" s="21">
        <f t="shared" si="33"/>
        <v>254089.43418177936</v>
      </c>
      <c r="AF63" s="92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6"/>
      <c r="BC63" s="16"/>
      <c r="BD63" s="16"/>
      <c r="BE63" s="16"/>
    </row>
    <row r="64" spans="1:57" x14ac:dyDescent="0.2">
      <c r="A64" s="3"/>
      <c r="B64" s="9" t="s">
        <v>12</v>
      </c>
      <c r="F64" s="18">
        <f>F58*VLOOKUP(A56,TrudZa,2)*0.001</f>
        <v>2.5870000000000002</v>
      </c>
      <c r="G64" s="16">
        <f t="shared" ref="G64:AE64" si="34">G58*VLOOKUP($A56,TrudZa,2)*0.001</f>
        <v>2.6442025896414343</v>
      </c>
      <c r="H64" s="16">
        <f t="shared" si="34"/>
        <v>2.7101695436254976</v>
      </c>
      <c r="I64" s="16">
        <f t="shared" si="34"/>
        <v>2.7377221062659363</v>
      </c>
      <c r="J64" s="16">
        <f t="shared" si="34"/>
        <v>2.8041260963163528</v>
      </c>
      <c r="K64" s="16">
        <f t="shared" si="34"/>
        <v>2.9431424815739193</v>
      </c>
      <c r="L64" s="16">
        <f t="shared" si="34"/>
        <v>3.0650969372362673</v>
      </c>
      <c r="M64" s="16">
        <f t="shared" si="34"/>
        <v>3.1972105256328298</v>
      </c>
      <c r="N64" s="253">
        <f t="shared" si="34"/>
        <v>3.262369448264947</v>
      </c>
      <c r="O64" s="77">
        <f t="shared" si="34"/>
        <v>3.2679355695211756</v>
      </c>
      <c r="P64" s="16">
        <f t="shared" si="34"/>
        <v>3.3907441899215813</v>
      </c>
      <c r="Q64" s="16">
        <f t="shared" si="34"/>
        <v>3.3905170935552502</v>
      </c>
      <c r="R64" s="16">
        <f t="shared" si="34"/>
        <v>3.4757891077053737</v>
      </c>
      <c r="S64" s="16">
        <f t="shared" si="34"/>
        <v>3.5338080520781832</v>
      </c>
      <c r="T64" s="16">
        <f t="shared" si="34"/>
        <v>4.0059342424737361</v>
      </c>
      <c r="U64" s="16">
        <f t="shared" si="34"/>
        <v>4.0562013458028137</v>
      </c>
      <c r="V64" s="16">
        <f t="shared" si="34"/>
        <v>4.4125737705917976</v>
      </c>
      <c r="W64" s="16">
        <f t="shared" si="34"/>
        <v>4.385241445107666</v>
      </c>
      <c r="X64" s="16">
        <f t="shared" si="34"/>
        <v>4.4198190162563096</v>
      </c>
      <c r="Y64" s="16">
        <f t="shared" si="34"/>
        <v>4.4648687948825456</v>
      </c>
      <c r="Z64" s="16">
        <f t="shared" si="34"/>
        <v>4.7876977882086207</v>
      </c>
      <c r="AA64" s="16">
        <f t="shared" si="34"/>
        <v>4.7847123573944561</v>
      </c>
      <c r="AB64" s="16">
        <f t="shared" si="34"/>
        <v>5.0343186999559695</v>
      </c>
      <c r="AC64" s="16">
        <f t="shared" si="34"/>
        <v>5.1496259671396771</v>
      </c>
      <c r="AD64" s="16">
        <f t="shared" si="34"/>
        <v>5.2878567831654921</v>
      </c>
      <c r="AE64" s="16">
        <f t="shared" si="34"/>
        <v>5.418026502186426</v>
      </c>
      <c r="AF64" s="96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6"/>
      <c r="BC64" s="16"/>
      <c r="BD64" s="16"/>
      <c r="BE64" s="16"/>
    </row>
    <row r="65" spans="1:57" x14ac:dyDescent="0.2">
      <c r="G65" s="16"/>
      <c r="H65" s="16"/>
      <c r="I65" s="16"/>
      <c r="J65" s="16"/>
      <c r="K65" s="16"/>
      <c r="L65" s="16"/>
      <c r="M65" s="16"/>
      <c r="N65" s="253"/>
      <c r="O65" s="23"/>
      <c r="P65" s="16"/>
      <c r="Q65" s="16"/>
      <c r="R65" s="16"/>
      <c r="S65" s="16"/>
      <c r="T65" s="16"/>
      <c r="U65" s="16"/>
      <c r="V65" s="16"/>
      <c r="W65" s="16"/>
      <c r="X65" s="16"/>
      <c r="Y65" s="16"/>
      <c r="AB65" s="13"/>
    </row>
    <row r="66" spans="1:57" x14ac:dyDescent="0.2">
      <c r="AB66" s="13"/>
    </row>
    <row r="67" spans="1:57" ht="13.5" thickBot="1" x14ac:dyDescent="0.25">
      <c r="A67">
        <v>7</v>
      </c>
      <c r="AB67" s="13"/>
    </row>
    <row r="68" spans="1:57" x14ac:dyDescent="0.2">
      <c r="A68" s="25" t="str">
        <f>VLOOKUP(A67,[1]!spotrnepr,2)</f>
        <v>физическая культура</v>
      </c>
      <c r="F68" s="31">
        <v>2006</v>
      </c>
      <c r="G68" s="31">
        <v>2007</v>
      </c>
      <c r="H68" s="31">
        <v>2008</v>
      </c>
      <c r="I68" s="31">
        <v>2009</v>
      </c>
      <c r="J68" s="31">
        <v>2010</v>
      </c>
      <c r="K68" s="31">
        <v>2011</v>
      </c>
      <c r="L68" s="31">
        <v>2012</v>
      </c>
      <c r="M68" s="31">
        <v>2013</v>
      </c>
      <c r="N68" s="287">
        <v>2014</v>
      </c>
      <c r="O68" s="282">
        <v>2015</v>
      </c>
      <c r="P68" s="31">
        <v>2016</v>
      </c>
      <c r="Q68" s="31">
        <v>2017</v>
      </c>
      <c r="R68" s="31">
        <v>2018</v>
      </c>
      <c r="S68" s="31">
        <v>2019</v>
      </c>
      <c r="T68" s="31">
        <v>2020</v>
      </c>
      <c r="U68" s="31">
        <v>2021</v>
      </c>
      <c r="V68" s="31">
        <v>2022</v>
      </c>
      <c r="W68" s="31">
        <v>2023</v>
      </c>
      <c r="X68" s="31">
        <v>2024</v>
      </c>
      <c r="Y68" s="31">
        <v>2025</v>
      </c>
      <c r="Z68" s="31">
        <v>2026</v>
      </c>
      <c r="AA68" s="31">
        <v>2027</v>
      </c>
      <c r="AB68" s="31">
        <v>2028</v>
      </c>
      <c r="AC68" s="31">
        <v>2029</v>
      </c>
      <c r="AD68" s="31">
        <v>2030</v>
      </c>
      <c r="AE68" s="31">
        <v>2031</v>
      </c>
    </row>
    <row r="69" spans="1:57" x14ac:dyDescent="0.2">
      <c r="A69" s="106"/>
      <c r="B69" s="9" t="s">
        <v>9</v>
      </c>
      <c r="F69" s="21">
        <f>VLOOKUP($A67,bamonepr,3)</f>
        <v>125500</v>
      </c>
      <c r="G69" s="21">
        <f>F69*(100-INDEX(vibofnepr_NORM,$A67,F$3)+(INDEX(vibofnepr_NORM,$A67,F$3)-INDEX(vibofnepr_NULL,$A67,F$3))*(1-INDEX(Expl_zatrat_fact,7,F$3)/'Лист2_прогнозные цены'!F61))*0.01+F72</f>
        <v>128275</v>
      </c>
      <c r="H69" s="21">
        <f>G69*(100-INDEX(vibofnepr_NORM,$A67,G$3)+(INDEX(vibofnepr_NORM,$A67,G$3)-INDEX(vibofnepr_NULL,$A67,G$3))*(1-INDEX(Expl_zatrat_fact,7,G$3)/'Лист2_прогнозные цены'!G61))*0.01+G72</f>
        <v>128353.45</v>
      </c>
      <c r="I69" s="21">
        <f>H69*(100-INDEX(vibofnepr_NORM,$A67,H$3)+(INDEX(vibofnepr_NORM,$A67,H$3)-INDEX(vibofnepr_NULL,$A67,H$3))*(1-INDEX(Expl_zatrat_fact,7,H$3)/'Лист2_прогнозные цены'!H61))*0.01+H72</f>
        <v>128754.68275000001</v>
      </c>
      <c r="J69" s="21">
        <f>I69*(100-INDEX(vibofnepr_NORM,$A67,I$3)+(INDEX(vibofnepr_NORM,$A67,I$3)-INDEX(vibofnepr_NULL,$A67,I$3))*(1-INDEX(Expl_zatrat_fact,7,I$3)/'Лист2_прогнозные цены'!I61))*0.01+I72</f>
        <v>136019.1733845</v>
      </c>
      <c r="K69" s="21">
        <f>J69*(100-INDEX(vibofnepr_NORM,$A67,J$3)+(INDEX(vibofnepr_NORM,$A67,J$3)-INDEX(vibofnepr_NULL,$A67,J$3))*(1-INDEX(Expl_zatrat_fact,7,J$3)/'Лист2_прогнозные цены'!J61))*0.01+J72</f>
        <v>143766.135037731</v>
      </c>
      <c r="L69" s="21">
        <f>K69*(100-INDEX(vibofnepr_NORM,$A67,K$3)+(INDEX(vibofnepr_NORM,$A67,K$3)-INDEX(vibofnepr_NULL,$A67,K$3))*(1-INDEX(Expl_zatrat_fact,7,K$3)/'Лист2_прогнозные цены'!K61))*0.01+K72</f>
        <v>149783.47368735369</v>
      </c>
      <c r="M69" s="21">
        <f>L69*(100-INDEX(vibofnepr_NORM,$A67,L$3)+(INDEX(vibofnepr_NORM,$A67,L$3)-INDEX(vibofnepr_NULL,$A67,L$3))*(1-INDEX(Expl_zatrat_fact,7,L$3)/'Лист2_прогнозные цены'!L61))*0.01+L72</f>
        <v>155969.63895048015</v>
      </c>
      <c r="N69" s="252">
        <f>M69*(100-INDEX(vibofnepr_NORM,$A67,M$3)+(INDEX(vibofnepr_NORM,$A67,M$3)-INDEX(vibofnepr_NULL,$A67,M$3))*(1-INDEX(Expl_zatrat_fact,7,M$3)/'Лист2_прогнозные цены'!M61))*0.01+M72</f>
        <v>164223.94256097535</v>
      </c>
      <c r="O69" s="77">
        <f>N69*(100-INDEX(vibofnepr_NORM,$A67,N$3)+(INDEX(vibofnepr_NORM,$A67,N$3)-INDEX(vibofnepr_NULL,$A67,N$3))*(1-INDEX(Expl_zatrat_fact,7,N$3)/'Лист2_прогнозные цены'!N61))*0.01+N72</f>
        <v>165505.70313536559</v>
      </c>
      <c r="P69" s="21">
        <f>O69*(100-INDEX(vibofnepr_NORM,$A67,O$3)+(INDEX(vibofnepr_NORM,$A67,O$3)-INDEX(vibofnepr_NULL,$A67,O$3))*(1-INDEX(Expl_zatrat_fact,7,O$3)/'Лист2_прогнозные цены'!O61))*0.01+O72</f>
        <v>167151.64610401192</v>
      </c>
      <c r="Q69" s="21">
        <f>P69*(100-INDEX(vibofnepr_NORM,$A67,P$3)+(INDEX(vibofnepr_NORM,$A67,P$3)-INDEX(vibofnepr_NULL,$A67,P$3))*(1-INDEX(Expl_zatrat_fact,7,P$3)/'Лист2_прогнозные цены'!P61))*0.01+P72</f>
        <v>168565.27436960279</v>
      </c>
      <c r="R69" s="21">
        <f>Q69*(100-INDEX(vibofnepr_NORM,$A67,Q$3)+(INDEX(vibofnepr_NORM,$A67,Q$3)-INDEX(vibofnepr_NULL,$A67,Q$3))*(1-INDEX(Expl_zatrat_fact,7,Q$3)/'Лист2_прогнозные цены'!Q61))*0.01+Q72</f>
        <v>169871.45034223745</v>
      </c>
      <c r="S69" s="21">
        <f>R69*(100-INDEX(vibofnepr_NORM,$A67,R$3)+(INDEX(vibofnepr_NORM,$A67,R$3)-INDEX(vibofnepr_NULL,$A67,R$3))*(1-INDEX(Expl_zatrat_fact,7,R$3)/'Лист2_прогнозные цены'!R61))*0.01+R72</f>
        <v>186244.73583881508</v>
      </c>
      <c r="T69" s="21">
        <f>S69*(100-INDEX(vibofnepr_NORM,$A67,S$3)+(INDEX(vibofnepr_NORM,$A67,S$3)-INDEX(vibofnepr_NULL,$A67,S$3))*(1-INDEX(Expl_zatrat_fact,7,S$3)/'Лист2_прогнозные цены'!S61))*0.01+S72</f>
        <v>192359.28848042694</v>
      </c>
      <c r="U69" s="21">
        <f>T69*(100-INDEX(vibofnepr_NORM,$A67,T$3)+(INDEX(vibofnepr_NORM,$A67,T$3)-INDEX(vibofnepr_NULL,$A67,T$3))*(1-INDEX(Expl_zatrat_fact,7,T$3)/'Лист2_прогнозные цены'!T61))*0.01+T72</f>
        <v>206796.69559562267</v>
      </c>
      <c r="V69" s="21">
        <f>U69*(100-INDEX(vibofnepr_NORM,$A67,U$3)+(INDEX(vibofnepr_NORM,$A67,U$3)-INDEX(vibofnepr_NULL,$A67,U$3))*(1-INDEX(Expl_zatrat_fact,7,U$3)/'Лист2_прогнозные цены'!U61))*0.01+U72</f>
        <v>210433.72863966646</v>
      </c>
      <c r="W69" s="21">
        <f>V69*(100-INDEX(vibofnepr_NORM,$A67,V$3)+(INDEX(vibofnepr_NORM,$A67,V$3)-INDEX(vibofnepr_NULL,$A67,V$3))*(1-INDEX(Expl_zatrat_fact,7,V$3)/'Лист2_прогнозные цены'!V61))*0.01+V72</f>
        <v>214561.39135326978</v>
      </c>
      <c r="X69" s="21">
        <f>W69*(100-INDEX(vibofnepr_NORM,$A67,W$3)+(INDEX(vibofnepr_NORM,$A67,W$3)-INDEX(vibofnepr_NULL,$A67,W$3))*(1-INDEX(Expl_zatrat_fact,7,W$3)/'Лист2_прогнозные цены'!W61))*0.01+W72</f>
        <v>226988.77743973711</v>
      </c>
      <c r="Y69" s="21">
        <f>X69*(100-INDEX(vibofnepr_NORM,$A67,X$3)+(INDEX(vibofnepr_NORM,$A67,X$3)-INDEX(vibofnepr_NULL,$A67,X$3))*(1-INDEX(Expl_zatrat_fact,7,X$3)/'Лист2_прогнозные цены'!X61))*0.01+X72</f>
        <v>225465.07142460189</v>
      </c>
      <c r="Z69" s="21">
        <f>Y69*(100-INDEX(vibofnepr_NORM,$A67,Y$3)+(INDEX(vibofnepr_NORM,$A67,Y$3)-INDEX(vibofnepr_NULL,$A67,Y$3))*(1-INDEX(Expl_zatrat_fact,7,Y$3)/'Лист2_прогнозные цены'!Y61))*0.01+Y72</f>
        <v>228391.42071035586</v>
      </c>
      <c r="AA69" s="21">
        <f>Z69*(100-INDEX(vibofnepr_NORM,$A67,Z$3)+(INDEX(vibofnepr_NORM,$A67,Z$3)-INDEX(vibofnepr_NULL,$A67,Z$3))*(1-INDEX(Expl_zatrat_fact,7,Z$3)/'Лист2_прогнозные цены'!Z61))*0.01+Z72</f>
        <v>237537.50650325231</v>
      </c>
      <c r="AB69" s="21">
        <f>AA69*(100-INDEX(vibofnepr_NORM,$A67,AA$3)+(INDEX(vibofnepr_NORM,$A67,AA$3)-INDEX(vibofnepr_NULL,$A67,AA$3))*(1-INDEX(Expl_zatrat_fact,7,AA$3)/'Лист2_прогнозные цены'!AA61))*0.01+AA72</f>
        <v>245162.13143821977</v>
      </c>
      <c r="AC69" s="21">
        <f>AB69*(100-INDEX(vibofnepr_NORM,$A67,AB$3)+(INDEX(vibofnepr_NORM,$A67,AB$3)-INDEX(vibofnepr_NULL,$A67,AB$3))*(1-INDEX(Expl_zatrat_fact,7,AB$3)/'Лист2_прогнозные цены'!AB61))*0.01+AB72</f>
        <v>250408.51012383759</v>
      </c>
      <c r="AD69" s="21">
        <f>AC69*(100-INDEX(vibofnepr_NORM,$A67,AC$3)+(INDEX(vibofnepr_NORM,$A67,AC$3)-INDEX(vibofnepr_NULL,$A67,AC$3))*(1-INDEX(Expl_zatrat_fact,7,AC$3)/'Лист2_прогнозные цены'!AC61))*0.01+AC72</f>
        <v>256855.42502259923</v>
      </c>
      <c r="AE69" s="21">
        <f>AD69*(100-INDEX(vibofnepr_NORM,$A67,AD$3)+(INDEX(vibofnepr_NORM,$A67,AD$3)-INDEX(vibofnepr_NULL,$A67,AD$3))*(1-INDEX(Expl_zatrat_fact,7,AD$3)/'Лист2_прогнозные цены'!AD61))*0.01+AD72</f>
        <v>262866.87077237322</v>
      </c>
      <c r="AF69" s="92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6"/>
      <c r="BD69" s="16"/>
      <c r="BE69" s="16"/>
    </row>
    <row r="70" spans="1:57" x14ac:dyDescent="0.2">
      <c r="A70" s="3"/>
      <c r="B70" s="9" t="s">
        <v>10</v>
      </c>
      <c r="F70" s="21">
        <f>F69*VLOOKUP($A67,explzaNS,2)</f>
        <v>23845</v>
      </c>
      <c r="G70" s="21">
        <f>G69*VLOOKUP($A67,explzaNS,2)</f>
        <v>24372.25</v>
      </c>
      <c r="H70" s="21">
        <f>H69*VLOOKUP($A67,explzaNS,2)</f>
        <v>24387.155500000001</v>
      </c>
      <c r="I70" s="21">
        <f>I69*VLOOKUP($A67,explzaNS,2)</f>
        <v>24463.3897225</v>
      </c>
      <c r="J70" s="21">
        <f>J69*VLOOKUP($A67,explzaNS,2)</f>
        <v>25843.642943055002</v>
      </c>
      <c r="K70" s="21">
        <f t="shared" ref="K70:AE70" si="35">K69*INDEX(explzaNS,$A$67,F$3)</f>
        <v>244402.42956414269</v>
      </c>
      <c r="L70" s="21">
        <f t="shared" si="35"/>
        <v>239653.5578997659</v>
      </c>
      <c r="M70" s="21">
        <f t="shared" si="35"/>
        <v>202760.53063562419</v>
      </c>
      <c r="N70" s="252">
        <f t="shared" si="35"/>
        <v>151086.02715609732</v>
      </c>
      <c r="O70" s="77">
        <f t="shared" si="35"/>
        <v>115853.99219475591</v>
      </c>
      <c r="P70" s="21">
        <f t="shared" si="35"/>
        <v>117006.15227280834</v>
      </c>
      <c r="Q70" s="21">
        <f t="shared" si="35"/>
        <v>151708.74693264251</v>
      </c>
      <c r="R70" s="21">
        <f t="shared" si="35"/>
        <v>159679.16332170321</v>
      </c>
      <c r="S70" s="21">
        <f t="shared" si="35"/>
        <v>223493.6830065781</v>
      </c>
      <c r="T70" s="21">
        <f t="shared" si="35"/>
        <v>230831.14617651232</v>
      </c>
      <c r="U70" s="21">
        <f t="shared" si="35"/>
        <v>248156.03471474719</v>
      </c>
      <c r="V70" s="21">
        <f t="shared" si="35"/>
        <v>252520.47436759973</v>
      </c>
      <c r="W70" s="21">
        <f t="shared" si="35"/>
        <v>257473.66962392372</v>
      </c>
      <c r="X70" s="21">
        <f t="shared" si="35"/>
        <v>272386.53292768454</v>
      </c>
      <c r="Y70" s="21">
        <f t="shared" si="35"/>
        <v>270558.08570952225</v>
      </c>
      <c r="Z70" s="21">
        <f t="shared" si="35"/>
        <v>274069.70485242701</v>
      </c>
      <c r="AA70" s="21">
        <f t="shared" si="35"/>
        <v>285045.00780390279</v>
      </c>
      <c r="AB70" s="21">
        <f t="shared" si="35"/>
        <v>294194.55772586371</v>
      </c>
      <c r="AC70" s="21">
        <f t="shared" si="35"/>
        <v>300490.21214860509</v>
      </c>
      <c r="AD70" s="21">
        <f t="shared" si="35"/>
        <v>308226.51002711907</v>
      </c>
      <c r="AE70" s="21">
        <f t="shared" si="35"/>
        <v>315440.24492684787</v>
      </c>
      <c r="AF70" s="21"/>
      <c r="AG70" s="21"/>
      <c r="AH70" s="21"/>
      <c r="AI70" s="21"/>
      <c r="AJ70" s="21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6"/>
      <c r="BC70" s="16"/>
      <c r="BD70" s="16"/>
      <c r="BE70" s="16"/>
    </row>
    <row r="71" spans="1:57" x14ac:dyDescent="0.2">
      <c r="A71" s="3"/>
      <c r="B71" s="9" t="s">
        <v>15</v>
      </c>
      <c r="F71" s="21">
        <f t="shared" ref="F71:AE71" si="36">F69*INDEX(TrudZa,$A$67,F$6)*VLOOKUP($A$67,BazZpNS,2)*INDEX(CumIndFZP,$A$67,F$3)</f>
        <v>172781.2205504587</v>
      </c>
      <c r="G71" s="21">
        <f t="shared" si="36"/>
        <v>196137.48566004352</v>
      </c>
      <c r="H71" s="21">
        <f t="shared" si="36"/>
        <v>224991.08167938847</v>
      </c>
      <c r="I71" s="21">
        <f t="shared" si="36"/>
        <v>211182.80649039982</v>
      </c>
      <c r="J71" s="21">
        <f t="shared" si="36"/>
        <v>255898.73819181707</v>
      </c>
      <c r="K71" s="21">
        <f t="shared" si="36"/>
        <v>260934.19113365869</v>
      </c>
      <c r="L71" s="21">
        <f t="shared" si="36"/>
        <v>268791.38276766805</v>
      </c>
      <c r="M71" s="21">
        <f t="shared" si="36"/>
        <v>295307.72349265474</v>
      </c>
      <c r="N71" s="252">
        <f t="shared" si="36"/>
        <v>310936.14723354991</v>
      </c>
      <c r="O71" s="27">
        <f t="shared" si="36"/>
        <v>313362.99004624621</v>
      </c>
      <c r="P71" s="21">
        <f t="shared" si="36"/>
        <v>316479.36368370795</v>
      </c>
      <c r="Q71" s="21">
        <f t="shared" si="36"/>
        <v>319155.88039417518</v>
      </c>
      <c r="R71" s="21">
        <f t="shared" si="36"/>
        <v>321628.95050932758</v>
      </c>
      <c r="S71" s="21">
        <f t="shared" si="36"/>
        <v>352629.58434181847</v>
      </c>
      <c r="T71" s="21">
        <f t="shared" si="36"/>
        <v>364206.67481225089</v>
      </c>
      <c r="U71" s="21">
        <f t="shared" si="36"/>
        <v>391541.98094627837</v>
      </c>
      <c r="V71" s="21">
        <f t="shared" si="36"/>
        <v>398428.21826612711</v>
      </c>
      <c r="W71" s="21">
        <f t="shared" si="36"/>
        <v>406243.39747345174</v>
      </c>
      <c r="X71" s="21">
        <f t="shared" si="36"/>
        <v>429772.99668810493</v>
      </c>
      <c r="Y71" s="21">
        <f t="shared" si="36"/>
        <v>426888.06243019784</v>
      </c>
      <c r="Z71" s="21">
        <f t="shared" si="36"/>
        <v>432428.71477468871</v>
      </c>
      <c r="AA71" s="21">
        <f t="shared" si="36"/>
        <v>449745.60921993572</v>
      </c>
      <c r="AB71" s="21">
        <f t="shared" si="36"/>
        <v>464181.82031320781</v>
      </c>
      <c r="AC71" s="21">
        <f t="shared" si="36"/>
        <v>474115.13910945185</v>
      </c>
      <c r="AD71" s="21">
        <f t="shared" si="36"/>
        <v>490725.93446784106</v>
      </c>
      <c r="AE71" s="21">
        <f t="shared" si="36"/>
        <v>506759.21189274662</v>
      </c>
      <c r="AF71" s="92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6"/>
      <c r="BC71" s="16"/>
      <c r="BD71" s="16"/>
      <c r="BE71" s="16"/>
    </row>
    <row r="72" spans="1:57" x14ac:dyDescent="0.2">
      <c r="A72" s="106"/>
      <c r="B72" s="9" t="s">
        <v>11</v>
      </c>
      <c r="F72" s="27">
        <f t="shared" ref="F72:AE72" si="37">INDEX(VvodNewMosh,$A67,F$6)+INDEX(VVODNMNAS,$A67,F$6)</f>
        <v>4030</v>
      </c>
      <c r="G72" s="27">
        <f t="shared" si="37"/>
        <v>335</v>
      </c>
      <c r="H72" s="27">
        <f t="shared" si="37"/>
        <v>1043</v>
      </c>
      <c r="I72" s="27">
        <f t="shared" si="37"/>
        <v>7522</v>
      </c>
      <c r="J72" s="27">
        <f t="shared" si="37"/>
        <v>8019</v>
      </c>
      <c r="K72" s="27">
        <f t="shared" si="37"/>
        <v>7455</v>
      </c>
      <c r="L72" s="27">
        <f t="shared" si="37"/>
        <v>7684</v>
      </c>
      <c r="M72" s="27">
        <f t="shared" si="37"/>
        <v>9814</v>
      </c>
      <c r="N72" s="252">
        <f t="shared" si="37"/>
        <v>2924</v>
      </c>
      <c r="O72" s="77">
        <f t="shared" si="37"/>
        <v>3301</v>
      </c>
      <c r="P72" s="27">
        <f t="shared" si="37"/>
        <v>3224</v>
      </c>
      <c r="Q72" s="27">
        <f t="shared" si="37"/>
        <v>3314</v>
      </c>
      <c r="R72" s="27">
        <f t="shared" si="37"/>
        <v>18072</v>
      </c>
      <c r="S72" s="27">
        <f t="shared" si="37"/>
        <v>7977</v>
      </c>
      <c r="T72" s="27">
        <f t="shared" si="37"/>
        <v>16361</v>
      </c>
      <c r="U72" s="27">
        <f t="shared" si="37"/>
        <v>5705</v>
      </c>
      <c r="V72" s="27">
        <f t="shared" si="37"/>
        <v>6232</v>
      </c>
      <c r="W72" s="27">
        <f t="shared" si="37"/>
        <v>14573</v>
      </c>
      <c r="X72" s="27">
        <f t="shared" si="37"/>
        <v>1816</v>
      </c>
      <c r="Y72" s="27">
        <f t="shared" si="37"/>
        <v>5181</v>
      </c>
      <c r="Z72" s="27">
        <f t="shared" si="37"/>
        <v>11430</v>
      </c>
      <c r="AA72" s="27">
        <f t="shared" si="37"/>
        <v>10000</v>
      </c>
      <c r="AB72" s="27">
        <f t="shared" si="37"/>
        <v>7698</v>
      </c>
      <c r="AC72" s="27">
        <f t="shared" si="37"/>
        <v>8951</v>
      </c>
      <c r="AD72" s="27">
        <f t="shared" si="37"/>
        <v>8580</v>
      </c>
      <c r="AE72" s="27">
        <f t="shared" si="37"/>
        <v>2688</v>
      </c>
      <c r="AF72" s="27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6"/>
      <c r="BC72" s="16"/>
      <c r="BD72" s="16"/>
      <c r="BE72" s="16"/>
    </row>
    <row r="73" spans="1:57" s="3" customFormat="1" x14ac:dyDescent="0.2">
      <c r="A73" s="106"/>
      <c r="B73" s="53" t="s">
        <v>17</v>
      </c>
      <c r="F73" s="77">
        <f t="shared" ref="F73:AE73" si="38">F69*VLOOKUP($A67,baplata,2)*INDEX(cumindtarif,$A67,F$6)</f>
        <v>12923.513286304322</v>
      </c>
      <c r="G73" s="27">
        <f t="shared" si="38"/>
        <v>16593.162096194264</v>
      </c>
      <c r="H73" s="27">
        <f t="shared" si="38"/>
        <v>17338.704068241877</v>
      </c>
      <c r="I73" s="27">
        <f t="shared" si="38"/>
        <v>18329.93470430711</v>
      </c>
      <c r="J73" s="27">
        <f t="shared" si="38"/>
        <v>18728.904278221864</v>
      </c>
      <c r="K73" s="27">
        <f t="shared" si="38"/>
        <v>30256.666363016724</v>
      </c>
      <c r="L73" s="27">
        <f t="shared" si="38"/>
        <v>29963.990621231471</v>
      </c>
      <c r="M73" s="27">
        <f t="shared" si="38"/>
        <v>31541.423443521166</v>
      </c>
      <c r="N73" s="252">
        <f t="shared" si="38"/>
        <v>33210.674505214498</v>
      </c>
      <c r="O73" s="77">
        <f t="shared" si="38"/>
        <v>33469.8823440099</v>
      </c>
      <c r="P73" s="27">
        <f t="shared" si="38"/>
        <v>33802.738049051593</v>
      </c>
      <c r="Q73" s="27">
        <f t="shared" si="38"/>
        <v>34088.613223327578</v>
      </c>
      <c r="R73" s="27">
        <f t="shared" si="38"/>
        <v>34352.758538543087</v>
      </c>
      <c r="S73" s="27">
        <f t="shared" si="38"/>
        <v>37663.894824324867</v>
      </c>
      <c r="T73" s="27">
        <f t="shared" si="38"/>
        <v>38900.428391591857</v>
      </c>
      <c r="U73" s="27">
        <f t="shared" si="38"/>
        <v>41820.075922426207</v>
      </c>
      <c r="V73" s="27">
        <f t="shared" si="38"/>
        <v>42555.585731208193</v>
      </c>
      <c r="W73" s="27">
        <f t="shared" si="38"/>
        <v>43390.31458201442</v>
      </c>
      <c r="X73" s="27">
        <f t="shared" si="38"/>
        <v>45903.479640848986</v>
      </c>
      <c r="Y73" s="27">
        <f t="shared" si="38"/>
        <v>45595.343666756751</v>
      </c>
      <c r="Z73" s="27">
        <f t="shared" si="38"/>
        <v>46187.133341892928</v>
      </c>
      <c r="AA73" s="27">
        <f t="shared" si="38"/>
        <v>48036.727703883553</v>
      </c>
      <c r="AB73" s="27">
        <f t="shared" si="38"/>
        <v>49578.640125365746</v>
      </c>
      <c r="AC73" s="27">
        <f t="shared" si="38"/>
        <v>50639.604636033582</v>
      </c>
      <c r="AD73" s="27">
        <f t="shared" si="38"/>
        <v>52443.183394713546</v>
      </c>
      <c r="AE73" s="27">
        <f t="shared" si="38"/>
        <v>54187.016537578049</v>
      </c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3"/>
      <c r="BC73" s="23"/>
      <c r="BD73" s="23"/>
      <c r="BE73" s="23"/>
    </row>
    <row r="74" spans="1:57" x14ac:dyDescent="0.2">
      <c r="A74" s="106"/>
      <c r="B74" s="9" t="s">
        <v>18</v>
      </c>
      <c r="F74" s="21">
        <f>F73</f>
        <v>12923.513286304322</v>
      </c>
      <c r="G74" s="21">
        <f t="shared" ref="G74:AE74" si="39">G73</f>
        <v>16593.162096194264</v>
      </c>
      <c r="H74" s="21">
        <f t="shared" si="39"/>
        <v>17338.704068241877</v>
      </c>
      <c r="I74" s="21">
        <f t="shared" si="39"/>
        <v>18329.93470430711</v>
      </c>
      <c r="J74" s="21">
        <f t="shared" si="39"/>
        <v>18728.904278221864</v>
      </c>
      <c r="K74" s="21">
        <f t="shared" si="39"/>
        <v>30256.666363016724</v>
      </c>
      <c r="L74" s="21">
        <f t="shared" si="39"/>
        <v>29963.990621231471</v>
      </c>
      <c r="M74" s="21">
        <f t="shared" si="39"/>
        <v>31541.423443521166</v>
      </c>
      <c r="N74" s="252">
        <f t="shared" si="39"/>
        <v>33210.674505214498</v>
      </c>
      <c r="O74" s="77">
        <f t="shared" si="39"/>
        <v>33469.8823440099</v>
      </c>
      <c r="P74" s="21">
        <f t="shared" si="39"/>
        <v>33802.738049051593</v>
      </c>
      <c r="Q74" s="21">
        <f t="shared" si="39"/>
        <v>34088.613223327578</v>
      </c>
      <c r="R74" s="21">
        <f t="shared" si="39"/>
        <v>34352.758538543087</v>
      </c>
      <c r="S74" s="21">
        <f t="shared" si="39"/>
        <v>37663.894824324867</v>
      </c>
      <c r="T74" s="21">
        <f t="shared" si="39"/>
        <v>38900.428391591857</v>
      </c>
      <c r="U74" s="21">
        <f t="shared" si="39"/>
        <v>41820.075922426207</v>
      </c>
      <c r="V74" s="21">
        <f t="shared" si="39"/>
        <v>42555.585731208193</v>
      </c>
      <c r="W74" s="21">
        <f t="shared" si="39"/>
        <v>43390.31458201442</v>
      </c>
      <c r="X74" s="21">
        <f t="shared" si="39"/>
        <v>45903.479640848986</v>
      </c>
      <c r="Y74" s="21">
        <f t="shared" si="39"/>
        <v>45595.343666756751</v>
      </c>
      <c r="Z74" s="21">
        <f t="shared" si="39"/>
        <v>46187.133341892928</v>
      </c>
      <c r="AA74" s="21">
        <f t="shared" si="39"/>
        <v>48036.727703883553</v>
      </c>
      <c r="AB74" s="21">
        <f t="shared" si="39"/>
        <v>49578.640125365746</v>
      </c>
      <c r="AC74" s="21">
        <f t="shared" si="39"/>
        <v>50639.604636033582</v>
      </c>
      <c r="AD74" s="21">
        <f t="shared" si="39"/>
        <v>52443.183394713546</v>
      </c>
      <c r="AE74" s="21">
        <f t="shared" si="39"/>
        <v>54187.016537578049</v>
      </c>
      <c r="AF74" s="92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6"/>
      <c r="BC74" s="16"/>
      <c r="BD74" s="16"/>
      <c r="BE74" s="16"/>
    </row>
    <row r="75" spans="1:57" x14ac:dyDescent="0.2">
      <c r="B75" s="9" t="s">
        <v>12</v>
      </c>
      <c r="F75" s="21">
        <f t="shared" ref="F75:AE75" si="40">F69*VLOOKUP($A67,TrudZa,2)*0.001</f>
        <v>2.5870000000000002</v>
      </c>
      <c r="G75" s="21">
        <f t="shared" si="40"/>
        <v>2.6442025896414343</v>
      </c>
      <c r="H75" s="21">
        <f t="shared" si="40"/>
        <v>2.6458197223107569</v>
      </c>
      <c r="I75" s="21">
        <f t="shared" si="40"/>
        <v>2.6540905519860556</v>
      </c>
      <c r="J75" s="21">
        <f t="shared" si="40"/>
        <v>2.80383746251555</v>
      </c>
      <c r="K75" s="21">
        <f t="shared" si="40"/>
        <v>2.9635298114949009</v>
      </c>
      <c r="L75" s="21">
        <f t="shared" si="40"/>
        <v>3.0875684974436974</v>
      </c>
      <c r="M75" s="21">
        <f t="shared" si="40"/>
        <v>3.2150872985250372</v>
      </c>
      <c r="N75" s="252">
        <f t="shared" si="40"/>
        <v>3.3852377641852049</v>
      </c>
      <c r="O75" s="77">
        <f t="shared" si="40"/>
        <v>3.4116593945114801</v>
      </c>
      <c r="P75" s="21">
        <f t="shared" si="40"/>
        <v>3.4455881153074013</v>
      </c>
      <c r="Q75" s="21">
        <f t="shared" si="40"/>
        <v>3.4747280063279873</v>
      </c>
      <c r="R75" s="21">
        <f t="shared" si="40"/>
        <v>3.501652924584608</v>
      </c>
      <c r="S75" s="21">
        <f t="shared" si="40"/>
        <v>3.8391643953387615</v>
      </c>
      <c r="T75" s="21">
        <f t="shared" si="40"/>
        <v>3.9652070063654543</v>
      </c>
      <c r="U75" s="21">
        <f t="shared" si="40"/>
        <v>4.2628131594093697</v>
      </c>
      <c r="V75" s="21">
        <f t="shared" si="40"/>
        <v>4.3377853066997378</v>
      </c>
      <c r="W75" s="21">
        <f t="shared" si="40"/>
        <v>4.4228710711626213</v>
      </c>
      <c r="X75" s="21">
        <f t="shared" si="40"/>
        <v>4.6790435636382464</v>
      </c>
      <c r="Y75" s="21">
        <f t="shared" si="40"/>
        <v>4.6476345798840253</v>
      </c>
      <c r="Z75" s="21">
        <f t="shared" si="40"/>
        <v>4.7079570149616785</v>
      </c>
      <c r="AA75" s="21">
        <f t="shared" si="40"/>
        <v>4.8964902734973199</v>
      </c>
      <c r="AB75" s="21">
        <f t="shared" si="40"/>
        <v>5.0536608289296776</v>
      </c>
      <c r="AC75" s="21">
        <f t="shared" si="40"/>
        <v>5.1618072963375923</v>
      </c>
      <c r="AD75" s="21">
        <f t="shared" si="40"/>
        <v>5.2947010719797944</v>
      </c>
      <c r="AE75" s="21">
        <f t="shared" si="40"/>
        <v>5.4186182843675663</v>
      </c>
      <c r="AF75" s="96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6"/>
      <c r="BC75" s="16"/>
      <c r="BD75" s="16"/>
      <c r="BE75" s="16"/>
    </row>
    <row r="76" spans="1:57" x14ac:dyDescent="0.2">
      <c r="F76" s="21"/>
      <c r="G76" s="21"/>
      <c r="H76" s="21"/>
      <c r="I76" s="21"/>
      <c r="J76" s="21"/>
      <c r="K76" s="21"/>
      <c r="L76" s="21"/>
      <c r="M76" s="21"/>
      <c r="N76" s="252"/>
      <c r="O76" s="77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97"/>
      <c r="AC76" s="21"/>
      <c r="AD76" s="21"/>
      <c r="AE76" s="21"/>
    </row>
    <row r="77" spans="1:57" x14ac:dyDescent="0.2">
      <c r="AB77" s="13"/>
    </row>
    <row r="78" spans="1:57" x14ac:dyDescent="0.2">
      <c r="AB78" s="13"/>
    </row>
  </sheetData>
  <phoneticPr fontId="2" type="noConversion"/>
  <pageMargins left="0.75" right="0.75" top="1" bottom="1" header="0.5" footer="0.5"/>
  <pageSetup paperSize="9" orientation="portrait" horizontalDpi="120" verticalDpi="144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AW109"/>
  <sheetViews>
    <sheetView zoomScaleNormal="100" workbookViewId="0">
      <pane xSplit="4" topLeftCell="E1" activePane="topRight" state="frozen"/>
      <selection pane="topRight" activeCell="H6" sqref="H6"/>
    </sheetView>
  </sheetViews>
  <sheetFormatPr defaultRowHeight="12.75" x14ac:dyDescent="0.2"/>
  <cols>
    <col min="1" max="1" width="22.85546875" customWidth="1"/>
    <col min="2" max="2" width="14.5703125" customWidth="1"/>
    <col min="3" max="3" width="16.5703125" bestFit="1" customWidth="1"/>
    <col min="4" max="4" width="11.5703125" customWidth="1"/>
    <col min="5" max="5" width="18.5703125" customWidth="1"/>
    <col min="6" max="13" width="16.7109375" customWidth="1"/>
    <col min="14" max="14" width="16.7109375" style="248" customWidth="1"/>
    <col min="15" max="15" width="16.7109375" style="3" customWidth="1"/>
    <col min="16" max="17" width="16.7109375" customWidth="1"/>
    <col min="18" max="25" width="17.7109375" customWidth="1"/>
    <col min="26" max="26" width="17.7109375" style="3" customWidth="1"/>
    <col min="27" max="28" width="17.7109375" customWidth="1"/>
    <col min="29" max="31" width="19.5703125" bestFit="1" customWidth="1"/>
    <col min="32" max="32" width="19.5703125" customWidth="1"/>
    <col min="33" max="33" width="9.140625" style="90" customWidth="1"/>
  </cols>
  <sheetData>
    <row r="1" spans="1:49" ht="15.75" x14ac:dyDescent="0.25">
      <c r="B1" s="6" t="s">
        <v>13</v>
      </c>
      <c r="F1" s="7">
        <v>1</v>
      </c>
      <c r="G1" s="7">
        <v>2</v>
      </c>
      <c r="H1" s="7">
        <v>3</v>
      </c>
      <c r="I1" s="7">
        <v>4</v>
      </c>
      <c r="J1" s="7">
        <v>5</v>
      </c>
      <c r="K1" s="7">
        <v>6</v>
      </c>
      <c r="L1" s="7">
        <v>7</v>
      </c>
      <c r="M1" s="7">
        <v>8</v>
      </c>
      <c r="N1" s="284">
        <v>9</v>
      </c>
      <c r="O1" s="71">
        <v>10</v>
      </c>
      <c r="P1" s="7">
        <v>11</v>
      </c>
      <c r="Q1" s="7">
        <v>12</v>
      </c>
      <c r="R1" s="7">
        <v>13</v>
      </c>
      <c r="S1" s="7">
        <v>14</v>
      </c>
      <c r="T1" s="7">
        <v>15</v>
      </c>
      <c r="U1" s="7">
        <v>16</v>
      </c>
      <c r="V1" s="7">
        <v>17</v>
      </c>
      <c r="W1" s="7">
        <v>18</v>
      </c>
      <c r="X1" s="7">
        <v>19</v>
      </c>
      <c r="Y1" s="7">
        <v>20</v>
      </c>
      <c r="Z1" s="7">
        <v>21</v>
      </c>
      <c r="AA1" s="7">
        <v>22</v>
      </c>
      <c r="AB1" s="7">
        <v>23</v>
      </c>
      <c r="AC1" s="7">
        <v>24</v>
      </c>
      <c r="AD1" s="7">
        <v>25</v>
      </c>
      <c r="AE1" s="7">
        <v>26</v>
      </c>
      <c r="AF1" s="7"/>
      <c r="AG1" s="89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</row>
    <row r="2" spans="1:49" ht="15.75" x14ac:dyDescent="0.25">
      <c r="A2" s="2" t="s">
        <v>8</v>
      </c>
      <c r="B2" s="6"/>
      <c r="C2" s="9"/>
      <c r="E2" s="10"/>
      <c r="F2" s="25">
        <v>2006</v>
      </c>
      <c r="G2" s="25">
        <v>2007</v>
      </c>
      <c r="H2" s="25">
        <v>2008</v>
      </c>
      <c r="I2" s="25">
        <v>2009</v>
      </c>
      <c r="J2" s="25">
        <v>2010</v>
      </c>
      <c r="K2" s="25">
        <v>2011</v>
      </c>
      <c r="L2" s="25">
        <v>2012</v>
      </c>
      <c r="M2" s="25">
        <v>2013</v>
      </c>
      <c r="N2" s="249">
        <v>2014</v>
      </c>
      <c r="O2" s="84">
        <v>2015</v>
      </c>
      <c r="P2" s="25">
        <v>2016</v>
      </c>
      <c r="Q2" s="25">
        <v>2017</v>
      </c>
      <c r="R2" s="25">
        <v>2018</v>
      </c>
      <c r="S2" s="25">
        <v>2019</v>
      </c>
      <c r="T2" s="25">
        <v>2020</v>
      </c>
      <c r="U2" s="25">
        <v>2021</v>
      </c>
      <c r="V2" s="25">
        <v>2022</v>
      </c>
      <c r="W2" s="25">
        <v>2023</v>
      </c>
      <c r="X2" s="25">
        <v>2024</v>
      </c>
      <c r="Y2" s="25">
        <v>2025</v>
      </c>
      <c r="Z2" s="25">
        <v>2026</v>
      </c>
      <c r="AA2" s="25">
        <v>2027</v>
      </c>
      <c r="AB2" s="25">
        <v>2028</v>
      </c>
      <c r="AC2" s="25">
        <v>2029</v>
      </c>
      <c r="AD2" s="25">
        <v>2030</v>
      </c>
      <c r="AE2" s="25">
        <v>2031</v>
      </c>
      <c r="AF2" s="25"/>
      <c r="AG2" s="89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ht="15.75" x14ac:dyDescent="0.25">
      <c r="A3" s="11">
        <v>1</v>
      </c>
      <c r="B3" s="6"/>
      <c r="F3" s="7"/>
      <c r="G3" s="7"/>
      <c r="H3" s="99">
        <f>VLOOKUP($A3,explzaNS,2)</f>
        <v>0.19</v>
      </c>
      <c r="I3" s="7"/>
      <c r="J3" s="7"/>
      <c r="K3" s="7"/>
      <c r="L3" s="7"/>
      <c r="M3" s="7"/>
      <c r="N3" s="284"/>
      <c r="O3" s="71"/>
      <c r="P3" s="7"/>
      <c r="Q3" s="7"/>
      <c r="R3" s="7"/>
      <c r="S3" s="7"/>
      <c r="T3" s="7"/>
      <c r="U3" s="7"/>
      <c r="V3" s="7"/>
      <c r="W3" s="7"/>
      <c r="X3" s="7"/>
      <c r="Y3" s="7"/>
      <c r="Z3" s="71"/>
      <c r="AA3" s="7"/>
      <c r="AB3" s="7"/>
      <c r="AC3" s="7"/>
      <c r="AD3" s="7"/>
      <c r="AE3" s="7"/>
      <c r="AF3" s="7"/>
      <c r="AG3" s="89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 ht="20.25" x14ac:dyDescent="0.3">
      <c r="A4" s="11" t="str">
        <f>VLOOKUP(A3,spotrnepr,2)</f>
        <v>жилой фонд</v>
      </c>
      <c r="B4" s="7"/>
      <c r="C4" s="12"/>
      <c r="N4" s="251"/>
      <c r="AE4" s="63"/>
      <c r="AF4" s="63"/>
    </row>
    <row r="5" spans="1:49" x14ac:dyDescent="0.2">
      <c r="B5" s="9" t="s">
        <v>9</v>
      </c>
      <c r="F5" s="21">
        <f>'Лист1_Базовые цены'!F7</f>
        <v>21169000</v>
      </c>
      <c r="G5" s="21">
        <f>'Лист1_Базовые цены'!G7</f>
        <v>21241429</v>
      </c>
      <c r="H5" s="21">
        <f>'Лист1_Базовые цены'!H7</f>
        <v>21387661.283999998</v>
      </c>
      <c r="I5" s="21">
        <f>'Лист1_Базовые цены'!I7</f>
        <v>21475591.993728001</v>
      </c>
      <c r="J5" s="21">
        <f>'Лист1_Базовые цены'!J7</f>
        <v>21531013.073790722</v>
      </c>
      <c r="K5" s="21">
        <f>'Лист1_Базовые цены'!K7</f>
        <v>21652238.982274186</v>
      </c>
      <c r="L5" s="21">
        <f>'Лист1_Базовые цены'!L7</f>
        <v>21822583.787362814</v>
      </c>
      <c r="M5" s="21">
        <f>'Лист1_Базовые цены'!M7</f>
        <v>21812319.606017236</v>
      </c>
      <c r="N5" s="252">
        <f>'Лист1_Базовые цены'!N7</f>
        <v>22005299.007987153</v>
      </c>
      <c r="O5" s="77">
        <f>'Лист1_Базовые цены'!O7</f>
        <v>22012778.153153867</v>
      </c>
      <c r="P5" s="21">
        <f>'Лист1_Базовые цены'!P7</f>
        <v>21982628.814292572</v>
      </c>
      <c r="Q5" s="21">
        <f>'Лист1_Базовые цены'!Q7</f>
        <v>21930328.739728644</v>
      </c>
      <c r="R5" s="21">
        <f>'Лист1_Базовые цены'!R7</f>
        <v>21870370.325704217</v>
      </c>
      <c r="S5" s="21">
        <f>'Лист1_Базовые цены'!S7</f>
        <v>22268564.93662123</v>
      </c>
      <c r="T5" s="21">
        <f>'Лист1_Базовые цены'!T7</f>
        <v>22652723.192067247</v>
      </c>
      <c r="U5" s="21">
        <f>'Лист1_Базовые цены'!U7</f>
        <v>23022303.254680354</v>
      </c>
      <c r="V5" s="21">
        <f>'Лист1_Базовые цены'!V7</f>
        <v>23226165.347984858</v>
      </c>
      <c r="W5" s="21">
        <f>'Лист1_Базовые цены'!W7</f>
        <v>23392321.590453926</v>
      </c>
      <c r="X5" s="21">
        <f>'Лист1_Базовые цены'!X7</f>
        <v>23467658.610891886</v>
      </c>
      <c r="Y5" s="21">
        <f>'Лист1_Базовые цены'!Y7</f>
        <v>23525364.52677438</v>
      </c>
      <c r="Z5" s="21">
        <f>'Лист1_Базовые цены'!Z7</f>
        <v>23578010.479549527</v>
      </c>
      <c r="AA5" s="21">
        <f>'Лист1_Базовые цены'!AA7</f>
        <v>23699773.137530677</v>
      </c>
      <c r="AB5" s="21">
        <f>'Лист1_Базовые цены'!AB7</f>
        <v>23927116.136268113</v>
      </c>
      <c r="AC5" s="21">
        <f>'Лист1_Базовые цены'!AC7</f>
        <v>24226400.943038341</v>
      </c>
      <c r="AD5" s="21">
        <f>'Лист1_Базовые цены'!AD7</f>
        <v>24616620.846448045</v>
      </c>
      <c r="AE5" s="21">
        <f>'Лист1_Базовые цены'!AE7</f>
        <v>24892000.431018393</v>
      </c>
      <c r="AF5" s="21"/>
      <c r="AG5" s="91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s="3" customFormat="1" ht="18" x14ac:dyDescent="0.25">
      <c r="A6" s="103"/>
      <c r="B6" s="53" t="s">
        <v>14</v>
      </c>
      <c r="F6" s="27">
        <f>F5*INDEX([1]!explzaNS,$A$3,F$1)*INDEX([1]!KumIndPPP,NscenInfl,F$1)</f>
        <v>3997723.3119999999</v>
      </c>
      <c r="G6" s="27">
        <f>G5*INDEX([1]!explzaNS,$A$3,G$1)*INDEX([1]!KumIndPPP,NscenInfl,G$1)</f>
        <v>4889123.3570296699</v>
      </c>
      <c r="H6" s="27">
        <f>H5*INDEX([1]!explzaNS,$A$3,H$1)*INDEX([1]!KumIndPPP,NscenInfl,H$1)</f>
        <v>5867955.582852996</v>
      </c>
      <c r="I6" s="27">
        <f>I5*INDEX([1]!explzaNS,$A$3,I$1)*INDEX([1]!KumIndPPP,NscenInfl,I$1)</f>
        <v>7007234.1475985004</v>
      </c>
      <c r="J6" s="27">
        <f>J5*INDEX([1]!explzaNS,$A$3,J$1)*INDEX([1]!KumIndPPP,NscenInfl,J$1)</f>
        <v>7707776.8012107676</v>
      </c>
      <c r="K6" s="27">
        <f>K5*INDEX([1]!explzaNS,$A$3,K$1)*INDEX([1]!KumIndPPP,NscenInfl,K$1)</f>
        <v>9130882.7854666337</v>
      </c>
      <c r="L6" s="27">
        <f>L5*INDEX([1]!explzaNS,$A$3,L$1)*INDEX([1]!KumIndPPP,NscenInfl,L$1)</f>
        <v>9824039.7629310917</v>
      </c>
      <c r="M6" s="27">
        <f>M5*INDEX([1]!explzaNS,$A$3,M$1)*INDEX([1]!KumIndPPP,NscenInfl,M$1)</f>
        <v>10128182.9378621</v>
      </c>
      <c r="N6" s="252">
        <f>N5*INDEX([1]!explzaNS,$A$3,N$1)*INDEX([1]!KumIndPPP,NscenInfl,N$1)</f>
        <v>12930988.05730585</v>
      </c>
      <c r="O6" s="27">
        <f>O5*INDEX([1]!explzaNS,$A$3,O$1)*INDEX([1]!KumIndPPP,NscenInfl,O$1)</f>
        <v>14746336.656715842</v>
      </c>
      <c r="P6" s="27">
        <f>P5*INDEX([1]!explzaNS,$A$3,P$1)*INDEX([1]!KumIndPPP,NscenInfl,P$1)</f>
        <v>17229583.386639513</v>
      </c>
      <c r="Q6" s="27">
        <f>Q5*INDEX([1]!explzaNS,$A$3,Q$1)*INDEX([1]!KumIndPPP,NscenInfl,Q$1)</f>
        <v>20282538.020059045</v>
      </c>
      <c r="R6" s="27">
        <f>R5*INDEX([1]!explzaNS,$A$3,R$1)*INDEX([1]!KumIndPPP,NscenInfl,R$1)</f>
        <v>23261147.44309843</v>
      </c>
      <c r="S6" s="27">
        <f>S5*INDEX([1]!explzaNS,$A$3,S$1)*INDEX([1]!KumIndPPP,NscenInfl,S$1)</f>
        <v>26763670.300215431</v>
      </c>
      <c r="T6" s="27">
        <f>T5*INDEX([1]!explzaNS,$A$3,T$1)*INDEX([1]!KumIndPPP,NscenInfl,T$1)</f>
        <v>30220165.442651868</v>
      </c>
      <c r="U6" s="27">
        <f>U5*INDEX([1]!explzaNS,$A$3,U$1)*INDEX([1]!KumIndPPP,NscenInfl,U$1)</f>
        <v>33784529.482887141</v>
      </c>
      <c r="V6" s="27">
        <f>V5*INDEX([1]!explzaNS,$A$3,V$1)*INDEX([1]!KumIndPPP,NscenInfl,V$1)</f>
        <v>37492059.991663545</v>
      </c>
      <c r="W6" s="27">
        <f>W5*INDEX([1]!explzaNS,$A$3,W$1)*INDEX([1]!KumIndPPP,NscenInfl,W$1)</f>
        <v>40781093.916084245</v>
      </c>
      <c r="X6" s="27">
        <f>X5*INDEX([1]!explzaNS,$A$3,X$1)*INDEX([1]!KumIndPPP,NscenInfl,X$1)</f>
        <v>44594551.970814764</v>
      </c>
      <c r="Y6" s="27">
        <f>Y5*INDEX([1]!explzaNS,$A$3,Y$1)*INDEX([1]!KumIndPPP,NscenInfl,Y$1)</f>
        <v>49174628.762843773</v>
      </c>
      <c r="Z6" s="27">
        <f>Z5*INDEX([1]!explzaNS,$A$3,Z$1)*INDEX([1]!KumIndPPP,NscenInfl,Z$1)</f>
        <v>54705987.708984531</v>
      </c>
      <c r="AA6" s="27">
        <f>AA5*INDEX([1]!explzaNS,$A$3,AA$1)*INDEX([1]!KumIndPPP,NscenInfl,AA$1)</f>
        <v>59387583.147415146</v>
      </c>
      <c r="AB6" s="27">
        <f>AB5*INDEX([1]!explzaNS,$A$3,AB$1)*INDEX([1]!KumIndPPP,NscenInfl,AB$1)</f>
        <v>64154274.478862472</v>
      </c>
      <c r="AC6" s="27">
        <f>AC5*INDEX([1]!explzaNS,$A$3,AC$1)*INDEX([1]!KumIndPPP,NscenInfl,AC$1)</f>
        <v>69503699.006806448</v>
      </c>
      <c r="AD6" s="27">
        <f>AD5*INDEX([1]!explzaNS,$A$3,AD$1)*INDEX([1]!KumIndPPP,NscenInfl,AD$1)</f>
        <v>75566834.900154933</v>
      </c>
      <c r="AE6" s="27">
        <f>AE5*INDEX([1]!explzaNS,$A$3,AE$1)*INDEX([1]!KumIndPPP,NscenInfl,AE$1)</f>
        <v>81761033.634278774</v>
      </c>
      <c r="AF6" s="27"/>
      <c r="AG6" s="92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3"/>
    </row>
    <row r="7" spans="1:49" ht="18" x14ac:dyDescent="0.25">
      <c r="A7" s="103"/>
      <c r="B7" s="9" t="s">
        <v>21</v>
      </c>
      <c r="F7" s="26">
        <f>'Лист1_Базовые цены'!F10*INDEX(KumIndPotrS,NscenInfl,F$1)</f>
        <v>3055252.1895224149</v>
      </c>
      <c r="G7" s="26">
        <f>'Лист1_Базовые цены'!G10*INDEX(KumIndPotrS,NscenInfl,G$1)</f>
        <v>3682964.1936907149</v>
      </c>
      <c r="H7" s="26">
        <f>'Лист1_Базовые цены'!H10*INDEX(KumIndPotrS,NscenInfl,H$1)</f>
        <v>4242886.1748318598</v>
      </c>
      <c r="I7" s="26">
        <f>'Лист1_Базовые цены'!I10*INDEX(KumIndPotrS,NscenInfl,I$1)</f>
        <v>5253285.8384537436</v>
      </c>
      <c r="J7" s="26">
        <f>'Лист1_Базовые цены'!J10*INDEX(KumIndPotrS,NscenInfl,J$1)</f>
        <v>5961121.5163566442</v>
      </c>
      <c r="K7" s="26">
        <f>'Лист1_Базовые цены'!K10*INDEX(KumIndPotrS,NscenInfl,K$1)</f>
        <v>6805197.6513715098</v>
      </c>
      <c r="L7" s="26">
        <f>'Лист1_Базовые цены'!L10*INDEX(KumIndPotrS,NscenInfl,L$1)</f>
        <v>7624972.8115806859</v>
      </c>
      <c r="M7" s="26">
        <f>'Лист1_Базовые цены'!M10*INDEX(KumIndPotrS,NscenInfl,M$1)</f>
        <v>8345418.1412938079</v>
      </c>
      <c r="N7" s="285">
        <f>'Лист1_Базовые цены'!N10*INDEX(KumIndPotrS,NscenInfl,N$1)</f>
        <v>9345370.0293141194</v>
      </c>
      <c r="O7" s="26">
        <f>'Лист1_Базовые цены'!O10*INDEX(KumIndPotrS,NscenInfl,O$1)</f>
        <v>10750828.275985705</v>
      </c>
      <c r="P7" s="26">
        <f>'Лист1_Базовые цены'!P10*INDEX(KumIndPotrS,NscenInfl,P$1)</f>
        <v>12507560.728988886</v>
      </c>
      <c r="Q7" s="26">
        <f>'Лист1_Базовые цены'!Q10*INDEX(KumIndPotrS,NscenInfl,Q$1)</f>
        <v>14599029.869366329</v>
      </c>
      <c r="R7" s="26">
        <f>'Лист1_Базовые цены'!R10*INDEX(KumIndPotrS,NscenInfl,R$1)</f>
        <v>16597391.699338065</v>
      </c>
      <c r="S7" s="26">
        <f>'Лист1_Базовые цены'!S10*INDEX(KumIndPotrS,NscenInfl,S$1)</f>
        <v>18758534.910812721</v>
      </c>
      <c r="T7" s="26">
        <f>'Лист1_Базовые цены'!T10*INDEX(KumIndPotrS,NscenInfl,T$1)</f>
        <v>20799533.828772649</v>
      </c>
      <c r="U7" s="26">
        <f>'Лист1_Базовые цены'!U10*INDEX(KumIndPotrS,NscenInfl,U$1)</f>
        <v>22618600.567050304</v>
      </c>
      <c r="V7" s="26">
        <f>'Лист1_Базовые цены'!V10*INDEX(KumIndPotrS,NscenInfl,V$1)</f>
        <v>24188021.15291163</v>
      </c>
      <c r="W7" s="26">
        <f>'Лист1_Базовые цены'!W10*INDEX(KumIndPotrS,NscenInfl,W$1)</f>
        <v>26553553.608849399</v>
      </c>
      <c r="X7" s="26">
        <f>'Лист1_Базовые цены'!X10*INDEX(KumIndPotrS,NscenInfl,X$1)</f>
        <v>29302978.819258004</v>
      </c>
      <c r="Y7" s="26">
        <f>'Лист1_Базовые цены'!Y10*INDEX(KumIndPotrS,NscenInfl,Y$1)</f>
        <v>32018786.542026561</v>
      </c>
      <c r="Z7" s="26">
        <f>'Лист1_Базовые цены'!Z10*INDEX(KumIndPotrS,NscenInfl,Z$1)</f>
        <v>34760363.954442464</v>
      </c>
      <c r="AA7" s="26">
        <f>'Лист1_Базовые цены'!AA10*INDEX(KumIndPotrS,NscenInfl,AA$1)</f>
        <v>37385666.295115091</v>
      </c>
      <c r="AB7" s="26">
        <f>'Лист1_Базовые цены'!AB10*INDEX(KumIndPotrS,NscenInfl,AB$1)</f>
        <v>40008950.487796836</v>
      </c>
      <c r="AC7" s="26">
        <f>'Лист1_Базовые цены'!AC10*INDEX(KumIndPotrS,NscenInfl,AC$1)</f>
        <v>42939953.253281392</v>
      </c>
      <c r="AD7" s="26">
        <f>'Лист1_Базовые цены'!AD10*INDEX(KumIndPotrS,NscenInfl,AD$1)</f>
        <v>46511281.772476509</v>
      </c>
      <c r="AE7" s="26">
        <f>'Лист1_Базовые цены'!AE10*INDEX(KumIndPotrS,NscenInfl,AE$1)</f>
        <v>50135676.113198578</v>
      </c>
      <c r="AF7" s="26"/>
      <c r="AG7" s="92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6"/>
    </row>
    <row r="8" spans="1:49" ht="18" x14ac:dyDescent="0.25">
      <c r="A8" s="103"/>
      <c r="B8" s="9" t="s">
        <v>22</v>
      </c>
      <c r="F8" s="27">
        <f>F7</f>
        <v>3055252.1895224149</v>
      </c>
      <c r="G8" s="27">
        <f t="shared" ref="G8:AE8" si="0">G7</f>
        <v>3682964.1936907149</v>
      </c>
      <c r="H8" s="27">
        <f t="shared" si="0"/>
        <v>4242886.1748318598</v>
      </c>
      <c r="I8" s="27">
        <f t="shared" si="0"/>
        <v>5253285.8384537436</v>
      </c>
      <c r="J8" s="27">
        <f t="shared" si="0"/>
        <v>5961121.5163566442</v>
      </c>
      <c r="K8" s="27">
        <f t="shared" si="0"/>
        <v>6805197.6513715098</v>
      </c>
      <c r="L8" s="27">
        <f t="shared" si="0"/>
        <v>7624972.8115806859</v>
      </c>
      <c r="M8" s="27">
        <f t="shared" si="0"/>
        <v>8345418.1412938079</v>
      </c>
      <c r="N8" s="252">
        <f t="shared" si="0"/>
        <v>9345370.0293141194</v>
      </c>
      <c r="O8" s="77">
        <f t="shared" si="0"/>
        <v>10750828.275985705</v>
      </c>
      <c r="P8" s="27">
        <f t="shared" si="0"/>
        <v>12507560.728988886</v>
      </c>
      <c r="Q8" s="27">
        <f t="shared" si="0"/>
        <v>14599029.869366329</v>
      </c>
      <c r="R8" s="27">
        <f t="shared" si="0"/>
        <v>16597391.699338065</v>
      </c>
      <c r="S8" s="27">
        <f t="shared" si="0"/>
        <v>18758534.910812721</v>
      </c>
      <c r="T8" s="27">
        <f t="shared" si="0"/>
        <v>20799533.828772649</v>
      </c>
      <c r="U8" s="27">
        <f t="shared" si="0"/>
        <v>22618600.567050304</v>
      </c>
      <c r="V8" s="27">
        <f t="shared" si="0"/>
        <v>24188021.15291163</v>
      </c>
      <c r="W8" s="27">
        <f t="shared" si="0"/>
        <v>26553553.608849399</v>
      </c>
      <c r="X8" s="27">
        <f t="shared" si="0"/>
        <v>29302978.819258004</v>
      </c>
      <c r="Y8" s="27">
        <f t="shared" si="0"/>
        <v>32018786.542026561</v>
      </c>
      <c r="Z8" s="27">
        <f t="shared" si="0"/>
        <v>34760363.954442464</v>
      </c>
      <c r="AA8" s="27">
        <f t="shared" si="0"/>
        <v>37385666.295115091</v>
      </c>
      <c r="AB8" s="27">
        <f t="shared" si="0"/>
        <v>40008950.487796836</v>
      </c>
      <c r="AC8" s="27">
        <f t="shared" si="0"/>
        <v>42939953.253281392</v>
      </c>
      <c r="AD8" s="27">
        <f t="shared" si="0"/>
        <v>46511281.772476509</v>
      </c>
      <c r="AE8" s="27">
        <f t="shared" si="0"/>
        <v>50135676.113198578</v>
      </c>
      <c r="AF8" s="27"/>
      <c r="AG8" s="92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6"/>
    </row>
    <row r="9" spans="1:49" ht="18" x14ac:dyDescent="0.25">
      <c r="A9" s="103"/>
      <c r="B9" s="9" t="s">
        <v>74</v>
      </c>
      <c r="F9" s="28">
        <f t="shared" ref="F9:AE9" si="1">F5*SpecNormNalogIm*INDEX(ObExplZAGKH,F1)*0.001</f>
        <v>0</v>
      </c>
      <c r="G9" s="28">
        <f t="shared" si="1"/>
        <v>0</v>
      </c>
      <c r="H9" s="28">
        <f t="shared" si="1"/>
        <v>0</v>
      </c>
      <c r="I9" s="28">
        <f t="shared" si="1"/>
        <v>0</v>
      </c>
      <c r="J9" s="28">
        <f t="shared" si="1"/>
        <v>0</v>
      </c>
      <c r="K9" s="28">
        <f t="shared" si="1"/>
        <v>0</v>
      </c>
      <c r="L9" s="28">
        <f t="shared" si="1"/>
        <v>0</v>
      </c>
      <c r="M9" s="28">
        <f t="shared" si="1"/>
        <v>0</v>
      </c>
      <c r="N9" s="286">
        <f t="shared" si="1"/>
        <v>0</v>
      </c>
      <c r="O9" s="77">
        <f t="shared" si="1"/>
        <v>0</v>
      </c>
      <c r="P9" s="28">
        <f t="shared" si="1"/>
        <v>0</v>
      </c>
      <c r="Q9" s="28">
        <f t="shared" si="1"/>
        <v>0</v>
      </c>
      <c r="R9" s="28">
        <f t="shared" si="1"/>
        <v>0</v>
      </c>
      <c r="S9" s="28">
        <f t="shared" si="1"/>
        <v>0</v>
      </c>
      <c r="T9" s="28">
        <f t="shared" si="1"/>
        <v>0</v>
      </c>
      <c r="U9" s="28">
        <f t="shared" si="1"/>
        <v>0</v>
      </c>
      <c r="V9" s="28">
        <f t="shared" si="1"/>
        <v>0</v>
      </c>
      <c r="W9" s="28">
        <f t="shared" si="1"/>
        <v>0</v>
      </c>
      <c r="X9" s="28">
        <f t="shared" si="1"/>
        <v>0</v>
      </c>
      <c r="Y9" s="28">
        <f t="shared" si="1"/>
        <v>0</v>
      </c>
      <c r="Z9" s="28">
        <f t="shared" si="1"/>
        <v>0</v>
      </c>
      <c r="AA9" s="28">
        <f t="shared" si="1"/>
        <v>0</v>
      </c>
      <c r="AB9" s="28">
        <f t="shared" si="1"/>
        <v>0</v>
      </c>
      <c r="AC9" s="28">
        <f t="shared" si="1"/>
        <v>0</v>
      </c>
      <c r="AD9" s="28">
        <f t="shared" si="1"/>
        <v>0</v>
      </c>
      <c r="AE9" s="28">
        <f t="shared" si="1"/>
        <v>0</v>
      </c>
      <c r="AF9" s="28"/>
      <c r="AG9" s="92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6"/>
    </row>
    <row r="10" spans="1:49" ht="13.5" thickBot="1" x14ac:dyDescent="0.25">
      <c r="B10" s="9"/>
      <c r="F10" s="21"/>
      <c r="G10" s="21"/>
      <c r="H10" s="21"/>
      <c r="I10" s="21"/>
      <c r="J10" s="21"/>
      <c r="K10" s="21"/>
      <c r="L10" s="21"/>
      <c r="M10" s="21"/>
      <c r="N10" s="252"/>
      <c r="O10" s="77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0"/>
      <c r="AA10" s="15"/>
      <c r="AB10" s="15"/>
      <c r="AC10" s="15"/>
      <c r="AD10" s="15"/>
      <c r="AE10" s="15"/>
      <c r="AF10" s="15"/>
      <c r="AG10" s="92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6"/>
    </row>
    <row r="11" spans="1:49" x14ac:dyDescent="0.2">
      <c r="A11" s="11">
        <v>2</v>
      </c>
      <c r="B11" s="9"/>
      <c r="F11" s="31">
        <v>2006</v>
      </c>
      <c r="G11" s="31">
        <v>2007</v>
      </c>
      <c r="H11" s="31">
        <v>2008</v>
      </c>
      <c r="I11" s="31">
        <v>2009</v>
      </c>
      <c r="J11" s="31">
        <v>2010</v>
      </c>
      <c r="K11" s="31">
        <v>2011</v>
      </c>
      <c r="L11" s="31">
        <v>2012</v>
      </c>
      <c r="M11" s="31">
        <v>2013</v>
      </c>
      <c r="N11" s="287">
        <v>2014</v>
      </c>
      <c r="O11" s="282">
        <v>2015</v>
      </c>
      <c r="P11" s="31">
        <v>2016</v>
      </c>
      <c r="Q11" s="31">
        <v>2017</v>
      </c>
      <c r="R11" s="31">
        <v>2018</v>
      </c>
      <c r="S11" s="31">
        <v>2019</v>
      </c>
      <c r="T11" s="31">
        <v>2020</v>
      </c>
      <c r="U11" s="31">
        <v>2021</v>
      </c>
      <c r="V11" s="31">
        <v>2022</v>
      </c>
      <c r="W11" s="31">
        <v>2023</v>
      </c>
      <c r="X11" s="31">
        <v>2024</v>
      </c>
      <c r="Y11" s="31">
        <v>2025</v>
      </c>
      <c r="Z11" s="31">
        <v>2026</v>
      </c>
      <c r="AA11" s="31">
        <v>2027</v>
      </c>
      <c r="AB11" s="31">
        <v>2028</v>
      </c>
      <c r="AC11" s="31">
        <v>2029</v>
      </c>
      <c r="AD11" s="31">
        <v>2030</v>
      </c>
      <c r="AE11" s="31">
        <v>2031</v>
      </c>
      <c r="AF11" s="383"/>
      <c r="AG11" s="92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6"/>
    </row>
    <row r="12" spans="1:49" x14ac:dyDescent="0.2">
      <c r="A12" s="11" t="str">
        <f>VLOOKUP(A11,spotrnepr,2)</f>
        <v>дошкольные учреждения</v>
      </c>
      <c r="B12" s="9"/>
      <c r="F12" s="21"/>
      <c r="G12" s="21"/>
      <c r="H12" s="21"/>
      <c r="I12" s="21"/>
      <c r="J12" s="21"/>
      <c r="K12" s="21"/>
      <c r="L12" s="21"/>
      <c r="M12" s="21"/>
      <c r="N12" s="252"/>
      <c r="O12" s="77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0"/>
      <c r="AA12" s="15"/>
      <c r="AB12" s="15"/>
      <c r="AC12" s="15"/>
      <c r="AD12" s="15"/>
      <c r="AE12" s="15"/>
      <c r="AF12" s="15"/>
      <c r="AG12" s="92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6"/>
    </row>
    <row r="13" spans="1:49" x14ac:dyDescent="0.2">
      <c r="B13" s="9" t="s">
        <v>9</v>
      </c>
      <c r="F13" s="21">
        <f>'Лист1_Базовые цены'!F14</f>
        <v>40900</v>
      </c>
      <c r="G13" s="21">
        <f>'Лист1_Базовые цены'!G14</f>
        <v>43540</v>
      </c>
      <c r="H13" s="21">
        <f>'Лист1_Базовые цены'!H14</f>
        <v>45250.22</v>
      </c>
      <c r="I13" s="21">
        <f>'Лист1_Базовые цены'!I14</f>
        <v>45824.717800000006</v>
      </c>
      <c r="J13" s="21">
        <f>'Лист1_Базовые цены'!J14</f>
        <v>46506.068364400009</v>
      </c>
      <c r="K13" s="21">
        <f>'Лист1_Базовые цены'!K14</f>
        <v>47218.056227671208</v>
      </c>
      <c r="L13" s="21">
        <f>'Лист1_Базовые цены'!L14</f>
        <v>48432.838171443538</v>
      </c>
      <c r="M13" s="21">
        <f>'Лист1_Базовые цены'!M14</f>
        <v>50661.405333272101</v>
      </c>
      <c r="N13" s="252">
        <f>'Лист1_Базовые цены'!N14</f>
        <v>53151.791279939374</v>
      </c>
      <c r="O13" s="77">
        <f>'Лист1_Базовые цены'!O14</f>
        <v>53137.276715701468</v>
      </c>
      <c r="P13" s="21">
        <f>'Лист1_Базовые цены'!P14</f>
        <v>53264.699283755705</v>
      </c>
      <c r="Q13" s="21">
        <f>'Лист1_Базовые цены'!Q14</f>
        <v>53333.614571249716</v>
      </c>
      <c r="R13" s="21">
        <f>'Лист1_Базовые цены'!R14</f>
        <v>53338.358272223653</v>
      </c>
      <c r="S13" s="21">
        <f>'Лист1_Базовые цены'!S14</f>
        <v>52480.300542143275</v>
      </c>
      <c r="T13" s="21">
        <f>'Лист1_Базовые цены'!T14</f>
        <v>52303.670890303394</v>
      </c>
      <c r="U13" s="21">
        <f>'Лист1_Базовые цены'!U14</f>
        <v>52656.234340862924</v>
      </c>
      <c r="V13" s="21">
        <f>'Лист1_Базовые цены'!V14</f>
        <v>52749.074074229153</v>
      </c>
      <c r="W13" s="21">
        <f>'Лист1_Базовые цены'!W14</f>
        <v>52562.765432287168</v>
      </c>
      <c r="X13" s="21">
        <f>'Лист1_Базовые цены'!X14</f>
        <v>52206.144427509935</v>
      </c>
      <c r="Y13" s="21">
        <f>'Лист1_Базовые цены'!Y14</f>
        <v>51942.024129554418</v>
      </c>
      <c r="Z13" s="21">
        <f>'Лист1_Базовые цены'!Z14</f>
        <v>52038.91918815946</v>
      </c>
      <c r="AA13" s="21">
        <f>'Лист1_Базовые цены'!AA14</f>
        <v>51510.34426123491</v>
      </c>
      <c r="AB13" s="21">
        <f>'Лист1_Базовые цены'!AB14</f>
        <v>50667.706809746385</v>
      </c>
      <c r="AC13" s="21">
        <f>'Лист1_Базовые цены'!AC14</f>
        <v>49768.741507456645</v>
      </c>
      <c r="AD13" s="21">
        <f>'Лист1_Базовые цены'!AD14</f>
        <v>48970.474781308287</v>
      </c>
      <c r="AE13" s="21">
        <f>'Лист1_Базовые цены'!AE14</f>
        <v>48397.75451999822</v>
      </c>
      <c r="AF13" s="21"/>
      <c r="AG13" s="92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s="3" customFormat="1" ht="18" x14ac:dyDescent="0.25">
      <c r="A14" s="103"/>
      <c r="B14" s="53" t="s">
        <v>14</v>
      </c>
      <c r="F14" s="27">
        <f>F13*INDEX([1]!explzaNS,$A$11,F$1)*INDEX([1]!KumIndPPP,NscenInfl,F$1)</f>
        <v>517851.25999999995</v>
      </c>
      <c r="G14" s="27">
        <f>G13*INDEX([1]!explzaNS,$A$11,G$1)*INDEX([1]!KumIndPPP,NscenInfl,G$1)</f>
        <v>574921.54836200003</v>
      </c>
      <c r="H14" s="27">
        <f>H13*INDEX([1]!explzaNS,$A$11,H$1)*INDEX([1]!KumIndPPP,NscenInfl,H$1)</f>
        <v>833107.02980692452</v>
      </c>
      <c r="I14" s="27">
        <f>I13*INDEX([1]!explzaNS,$A$11,I$1)*INDEX([1]!KumIndPPP,NscenInfl,I$1)</f>
        <v>961204.41795173066</v>
      </c>
      <c r="J14" s="27">
        <f>J13*INDEX([1]!explzaNS,$A$11,J$1)*INDEX([1]!KumIndPPP,NscenInfl,J$1)</f>
        <v>707559.91504491819</v>
      </c>
      <c r="K14" s="27">
        <f>K13*INDEX([1]!explzaNS,$A$11,K$1)*INDEX([1]!KumIndPPP,NscenInfl,K$1)</f>
        <v>1045387.6478586521</v>
      </c>
      <c r="L14" s="27">
        <f>L13*INDEX([1]!explzaNS,$A$11,L$1)*INDEX([1]!KumIndPPP,NscenInfl,L$1)</f>
        <v>1262301.0564856397</v>
      </c>
      <c r="M14" s="27">
        <f>M13*INDEX([1]!explzaNS,$A$11,M$1)*INDEX([1]!KumIndPPP,NscenInfl,M$1)</f>
        <v>1408768.1236271264</v>
      </c>
      <c r="N14" s="252">
        <f>N13*INDEX([1]!explzaNS,$A$11,N$1)*INDEX([1]!KumIndPPP,NscenInfl,N$1)</f>
        <v>1874017.284698131</v>
      </c>
      <c r="O14" s="27">
        <f>O13*INDEX([1]!explzaNS,$A$11,O$1)*INDEX([1]!KumIndPPP,NscenInfl,O$1)</f>
        <v>2135796.3070877576</v>
      </c>
      <c r="P14" s="27">
        <f>P13*INDEX([1]!explzaNS,$A$11,P$1)*INDEX([1]!KumIndPPP,NscenInfl,P$1)</f>
        <v>2504873.9683319274</v>
      </c>
      <c r="Q14" s="27">
        <f>Q13*INDEX([1]!explzaNS,$A$11,Q$1)*INDEX([1]!KumIndPPP,NscenInfl,Q$1)</f>
        <v>2959575.5124150477</v>
      </c>
      <c r="R14" s="27">
        <f>R13*INDEX([1]!explzaNS,$A$11,R$1)*INDEX([1]!KumIndPPP,NscenInfl,R$1)</f>
        <v>3403814.5609764922</v>
      </c>
      <c r="S14" s="27">
        <f>S13*INDEX([1]!explzaNS,$A$11,S$1)*INDEX([1]!KumIndPPP,NscenInfl,S$1)</f>
        <v>3784434.6008744244</v>
      </c>
      <c r="T14" s="27">
        <f>T13*INDEX([1]!explzaNS,$A$11,T$1)*INDEX([1]!KumIndPPP,NscenInfl,T$1)</f>
        <v>4186584.2993653906</v>
      </c>
      <c r="U14" s="27">
        <f>U13*INDEX([1]!explzaNS,$A$11,U$1)*INDEX([1]!KumIndPPP,NscenInfl,U$1)</f>
        <v>4636285.2974366238</v>
      </c>
      <c r="V14" s="27">
        <f>V13*INDEX([1]!explzaNS,$A$11,V$1)*INDEX([1]!KumIndPPP,NscenInfl,V$1)</f>
        <v>5108905.6331047518</v>
      </c>
      <c r="W14" s="27">
        <f>W13*INDEX([1]!explzaNS,$A$11,W$1)*INDEX([1]!KumIndPPP,NscenInfl,W$1)</f>
        <v>5498129.97045484</v>
      </c>
      <c r="X14" s="27">
        <f>X13*INDEX([1]!explzaNS,$A$11,X$1)*INDEX([1]!KumIndPPP,NscenInfl,X$1)</f>
        <v>5952301.4020357113</v>
      </c>
      <c r="Y14" s="27">
        <f>Y13*INDEX([1]!explzaNS,$A$11,Y$1)*INDEX([1]!KumIndPPP,NscenInfl,Y$1)</f>
        <v>6514406.3995808233</v>
      </c>
      <c r="Z14" s="27">
        <f>Z13*INDEX([1]!explzaNS,$A$11,Z$1)*INDEX([1]!KumIndPPP,NscenInfl,Z$1)</f>
        <v>7244480.1293955855</v>
      </c>
      <c r="AA14" s="27">
        <f>AA13*INDEX([1]!explzaNS,$A$11,AA$1)*INDEX([1]!KumIndPPP,NscenInfl,AA$1)</f>
        <v>7744567.4311246937</v>
      </c>
      <c r="AB14" s="27">
        <f>AB13*INDEX([1]!explzaNS,$A$11,AB$1)*INDEX([1]!KumIndPPP,NscenInfl,AB$1)</f>
        <v>8151128.4971611714</v>
      </c>
      <c r="AC14" s="27">
        <f>AC13*INDEX([1]!explzaNS,$A$11,AC$1)*INDEX([1]!KumIndPPP,NscenInfl,AC$1)</f>
        <v>8566963.7132192161</v>
      </c>
      <c r="AD14" s="27">
        <f>AD13*INDEX([1]!explzaNS,$A$11,AD$1)*INDEX([1]!KumIndPPP,NscenInfl,AD$1)</f>
        <v>9019622.4880685322</v>
      </c>
      <c r="AE14" s="27">
        <f>AE13*INDEX([1]!explzaNS,$A$11,AE$1)*INDEX([1]!KumIndPPP,NscenInfl,AE$1)</f>
        <v>9538125.5823911689</v>
      </c>
      <c r="AF14" s="27"/>
      <c r="AG14" s="92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3"/>
    </row>
    <row r="15" spans="1:49" ht="18" x14ac:dyDescent="0.25">
      <c r="A15" s="103"/>
      <c r="B15" s="9" t="s">
        <v>15</v>
      </c>
      <c r="F15" s="77">
        <f>'Лист1_Базовые цены'!F16*INDEX([1]!KumIndPotrS,NscenInfl,F$1)</f>
        <v>332573.28000000003</v>
      </c>
      <c r="G15" s="27">
        <f>'Лист1_Базовые цены'!G16*INDEX([1]!KumIndPotrS,NscenInfl,G$1)</f>
        <v>408479.33510024438</v>
      </c>
      <c r="H15" s="27">
        <f>'Лист1_Базовые цены'!H16*INDEX([1]!KumIndPotrS,NscenInfl,H$1)</f>
        <v>526186.66606224701</v>
      </c>
      <c r="I15" s="27">
        <f>'Лист1_Базовые цены'!I16*INDEX([1]!KumIndPotrS,NscenInfl,I$1)</f>
        <v>585002.48398389819</v>
      </c>
      <c r="J15" s="27">
        <f>'Лист1_Базовые цены'!J16*INDEX([1]!KumIndPotrS,NscenInfl,J$1)</f>
        <v>625045.08736597991</v>
      </c>
      <c r="K15" s="27">
        <f>'Лист1_Базовые цены'!K16*INDEX([1]!KumIndPotrS,NscenInfl,K$1)</f>
        <v>642590.41175480746</v>
      </c>
      <c r="L15" s="27">
        <f>'Лист1_Базовые цены'!L16*INDEX([1]!KumIndPotrS,NscenInfl,L$1)</f>
        <v>906293.26735403202</v>
      </c>
      <c r="M15" s="27">
        <f>'Лист1_Базовые цены'!M16*INDEX([1]!KumIndPotrS,NscenInfl,M$1)</f>
        <v>1465083.2502922143</v>
      </c>
      <c r="N15" s="252">
        <f>'Лист1_Базовые цены'!N16*INDEX([1]!KumIndPotrS,NscenInfl,N$1)</f>
        <v>1709068.2096749849</v>
      </c>
      <c r="O15" s="377">
        <f>'Лист1_Базовые цены'!O16*INDEX([1]!KumIndPotrS,NscenInfl,O$1)</f>
        <v>1964891.7266209119</v>
      </c>
      <c r="P15" s="27">
        <f>'Лист1_Базовые цены'!P16*INDEX([1]!KumIndPotrS,NscenInfl,P$1)</f>
        <v>2294588.0938092633</v>
      </c>
      <c r="Q15" s="27">
        <f>'Лист1_Базовые цены'!Q16*INDEX([1]!KumIndPotrS,NscenInfl,Q$1)</f>
        <v>2688141.5648547388</v>
      </c>
      <c r="R15" s="27">
        <f>'Лист1_Базовые цены'!R16*INDEX([1]!KumIndPotrS,NscenInfl,R$1)</f>
        <v>3064753.9509344539</v>
      </c>
      <c r="S15" s="27">
        <f>'Лист1_Базовые цены'!S16*INDEX([1]!KumIndPotrS,NscenInfl,S$1)</f>
        <v>3347150.6649903115</v>
      </c>
      <c r="T15" s="27">
        <f>'Лист1_Базовые цены'!T16*INDEX([1]!KumIndPotrS,NscenInfl,T$1)</f>
        <v>3636115.0535113239</v>
      </c>
      <c r="U15" s="27">
        <f>'Лист1_Базовые цены'!U16*INDEX([1]!KumIndPotrS,NscenInfl,U$1)</f>
        <v>3916868.7724053059</v>
      </c>
      <c r="V15" s="27">
        <f>'Лист1_Базовые цены'!V16*INDEX([1]!KumIndPotrS,NscenInfl,V$1)</f>
        <v>4159201.200332778</v>
      </c>
      <c r="W15" s="27">
        <f>'Лист1_Базовые цены'!W16*INDEX([1]!KumIndPotrS,NscenInfl,W$1)</f>
        <v>4517516.9763271613</v>
      </c>
      <c r="X15" s="27">
        <f>'Лист1_Базовые цены'!X16*INDEX([1]!KumIndPotrS,NscenInfl,X$1)</f>
        <v>4935553.8270917358</v>
      </c>
      <c r="Y15" s="27">
        <f>'Лист1_Базовые цены'!Y16*INDEX([1]!KumIndPotrS,NscenInfl,Y$1)</f>
        <v>5352536.527681632</v>
      </c>
      <c r="Z15" s="27">
        <f>'Лист1_Базовые цены'!Z16*INDEX([1]!KumIndPotrS,NscenInfl,Z$1)</f>
        <v>5808683.177594725</v>
      </c>
      <c r="AA15" s="27">
        <f>'Лист1_Базовые цены'!AA16*INDEX([1]!KumIndPotrS,NscenInfl,AA$1)</f>
        <v>6152160.4231925989</v>
      </c>
      <c r="AB15" s="27">
        <f>'Лист1_Базовые цены'!AB16*INDEX([1]!KumIndPotrS,NscenInfl,AB$1)</f>
        <v>6414610.8309286078</v>
      </c>
      <c r="AC15" s="27">
        <f>'Лист1_Базовые цены'!AC16*INDEX([1]!KumIndPotrS,NscenInfl,AC$1)</f>
        <v>6678848.4445332754</v>
      </c>
      <c r="AD15" s="27">
        <f>'Лист1_Базовые цены'!AD16*INDEX([1]!KumIndPotrS,NscenInfl,AD$1)</f>
        <v>7005456.6339427857</v>
      </c>
      <c r="AE15" s="27">
        <f>'Лист1_Базовые цены'!AE16*INDEX([1]!KumIndPotrS,NscenInfl,AE$1)</f>
        <v>7380479.0444676979</v>
      </c>
      <c r="AF15" s="27"/>
      <c r="AG15" s="92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6"/>
    </row>
    <row r="16" spans="1:49" x14ac:dyDescent="0.2">
      <c r="B16" s="9" t="s">
        <v>16</v>
      </c>
      <c r="F16" s="21">
        <f t="shared" ref="F16:AE16" si="2">INDEX(stavkapodna,1,F$1)*0.01*F15</f>
        <v>43234.526400000002</v>
      </c>
      <c r="G16" s="21">
        <f t="shared" si="2"/>
        <v>53102.31356303177</v>
      </c>
      <c r="H16" s="21">
        <f t="shared" si="2"/>
        <v>68404.266588092112</v>
      </c>
      <c r="I16" s="21">
        <f t="shared" si="2"/>
        <v>76050.322917906771</v>
      </c>
      <c r="J16" s="21">
        <f t="shared" si="2"/>
        <v>81255.861357577392</v>
      </c>
      <c r="K16" s="21">
        <f t="shared" si="2"/>
        <v>83536.753528124973</v>
      </c>
      <c r="L16" s="21">
        <f t="shared" si="2"/>
        <v>117818.12475602416</v>
      </c>
      <c r="M16" s="21">
        <f t="shared" si="2"/>
        <v>190460.82253798787</v>
      </c>
      <c r="N16" s="252">
        <f t="shared" si="2"/>
        <v>222178.86725774806</v>
      </c>
      <c r="O16" s="77">
        <f t="shared" si="2"/>
        <v>255435.92446071855</v>
      </c>
      <c r="P16" s="21">
        <f t="shared" si="2"/>
        <v>298296.45219520421</v>
      </c>
      <c r="Q16" s="21">
        <f t="shared" si="2"/>
        <v>349458.40343111608</v>
      </c>
      <c r="R16" s="21">
        <f t="shared" si="2"/>
        <v>398418.01362147904</v>
      </c>
      <c r="S16" s="21">
        <f t="shared" si="2"/>
        <v>435129.58644874051</v>
      </c>
      <c r="T16" s="21">
        <f t="shared" si="2"/>
        <v>472694.95695647213</v>
      </c>
      <c r="U16" s="21">
        <f t="shared" si="2"/>
        <v>509192.94041268976</v>
      </c>
      <c r="V16" s="21">
        <f t="shared" si="2"/>
        <v>540696.15604326117</v>
      </c>
      <c r="W16" s="21">
        <f t="shared" si="2"/>
        <v>587277.20692253101</v>
      </c>
      <c r="X16" s="21">
        <f t="shared" si="2"/>
        <v>641621.99752192572</v>
      </c>
      <c r="Y16" s="21">
        <f t="shared" si="2"/>
        <v>695829.74859861215</v>
      </c>
      <c r="Z16" s="21">
        <f t="shared" si="2"/>
        <v>755128.81308731425</v>
      </c>
      <c r="AA16" s="21">
        <f t="shared" si="2"/>
        <v>799780.85501503793</v>
      </c>
      <c r="AB16" s="21">
        <f t="shared" si="2"/>
        <v>833899.40802071907</v>
      </c>
      <c r="AC16" s="21">
        <f t="shared" si="2"/>
        <v>868250.29778932582</v>
      </c>
      <c r="AD16" s="21">
        <f t="shared" si="2"/>
        <v>910709.36241256213</v>
      </c>
      <c r="AE16" s="21">
        <f t="shared" si="2"/>
        <v>959462.27578080073</v>
      </c>
      <c r="AF16" s="21"/>
      <c r="AG16" s="92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6"/>
    </row>
    <row r="17" spans="1:49" ht="18" x14ac:dyDescent="0.25">
      <c r="A17" s="103"/>
      <c r="B17" s="9" t="s">
        <v>21</v>
      </c>
      <c r="F17" s="21">
        <f>INDEX(KumIndPotrS,NscenInfl,F$1)*'Лист1_Базовые цены'!F18</f>
        <v>205242.05378973106</v>
      </c>
      <c r="G17" s="21">
        <f>INDEX(KumIndPotrS,NscenInfl,G$1)*'Лист1_Базовые цены'!G18</f>
        <v>208615.6725391651</v>
      </c>
      <c r="H17" s="21">
        <f>INDEX(KumIndPotrS,NscenInfl,H$1)*'Лист1_Базовые цены'!H18</f>
        <v>217145.67939652529</v>
      </c>
      <c r="I17" s="21">
        <f>INDEX(KumIndPotrS,NscenInfl,I$1)*'Лист1_Базовые цены'!I18</f>
        <v>258641.87787918828</v>
      </c>
      <c r="J17" s="21">
        <f>INDEX(KumIndPotrS,NscenInfl,J$1)*'Лист1_Базовые цены'!J18</f>
        <v>287869.93415926612</v>
      </c>
      <c r="K17" s="21">
        <f>INDEX(KumIndPotrS,NscenInfl,K$1)*'Лист1_Базовые цены'!K18</f>
        <v>304899.38850352808</v>
      </c>
      <c r="L17" s="21">
        <f>INDEX(KumIndPotrS,NscenInfl,L$1)*'Лист1_Базовые цены'!L18</f>
        <v>346374.77535962418</v>
      </c>
      <c r="M17" s="21">
        <f>INDEX(KumIndPotrS,NscenInfl,M$1)*'Лист1_Базовые цены'!M18</f>
        <v>396732.41837306134</v>
      </c>
      <c r="N17" s="252">
        <f>INDEX(KumIndPotrS,NscenInfl,N$1)*'Лист1_Базовые цены'!N18</f>
        <v>462020.6012419223</v>
      </c>
      <c r="O17" s="77">
        <f>INDEX(KumIndPotrS,NscenInfl,O$1)*'Лист1_Базовые цены'!O18</f>
        <v>531178.59882333979</v>
      </c>
      <c r="P17" s="21">
        <f>INDEX(KumIndPotrS,NscenInfl,P$1)*'Лист1_Базовые цены'!P18</f>
        <v>620306.9981074197</v>
      </c>
      <c r="Q17" s="21">
        <f>INDEX(KumIndPotrS,NscenInfl,Q$1)*'Лист1_Базовые цены'!Q18</f>
        <v>726698.19436508964</v>
      </c>
      <c r="R17" s="21">
        <f>INDEX(KumIndPotrS,NscenInfl,R$1)*'Лист1_Базовые цены'!R18</f>
        <v>828509.62591982866</v>
      </c>
      <c r="S17" s="21">
        <f>INDEX(KumIndPotrS,NscenInfl,S$1)*'Лист1_Базовые цены'!S18</f>
        <v>904851.28324996121</v>
      </c>
      <c r="T17" s="21">
        <f>INDEX(KumIndPotrS,NscenInfl,T$1)*'Лист1_Базовые цены'!T18</f>
        <v>982968.41149926116</v>
      </c>
      <c r="U17" s="21">
        <f>INDEX(KumIndPotrS,NscenInfl,U$1)*'Лист1_Базовые цены'!U18</f>
        <v>1058865.9100718729</v>
      </c>
      <c r="V17" s="21">
        <f>INDEX(KumIndPotrS,NscenInfl,V$1)*'Лист1_Базовые цены'!V18</f>
        <v>1124376.7968917484</v>
      </c>
      <c r="W17" s="21">
        <f>INDEX(KumIndPotrS,NscenInfl,W$1)*'Лист1_Базовые цены'!W18</f>
        <v>1221242.0181405093</v>
      </c>
      <c r="X17" s="21">
        <f>INDEX(KumIndPotrS,NscenInfl,X$1)*'Лист1_Базовые цены'!X18</f>
        <v>1334251.9237944554</v>
      </c>
      <c r="Y17" s="21">
        <f>INDEX(KumIndPotrS,NscenInfl,Y$1)*'Лист1_Базовые цены'!Y18</f>
        <v>1446976.8559787958</v>
      </c>
      <c r="Z17" s="21">
        <f>INDEX(KumIndPotrS,NscenInfl,Z$1)*'Лист1_Базовые цены'!Z18</f>
        <v>1570289.1663092382</v>
      </c>
      <c r="AA17" s="21">
        <f>INDEX(KumIndPotrS,NscenInfl,AA$1)*'Лист1_Базовые цены'!AA18</f>
        <v>1663143.0165100025</v>
      </c>
      <c r="AB17" s="21">
        <f>INDEX(KumIndPotrS,NscenInfl,AB$1)*'Лист1_Базовые цены'!AB18</f>
        <v>1734092.4932435488</v>
      </c>
      <c r="AC17" s="21">
        <f>INDEX(KumIndPotrS,NscenInfl,AC$1)*'Лист1_Базовые цены'!AC18</f>
        <v>1805525.1139062289</v>
      </c>
      <c r="AD17" s="21">
        <f>INDEX(KumIndPotrS,NscenInfl,AD$1)*'Лист1_Базовые цены'!AD18</f>
        <v>1895950.5497179311</v>
      </c>
      <c r="AE17" s="21">
        <f>INDEX(KumIndPotrS,NscenInfl,AE$1)*'Лист1_Базовые цены'!AE18</f>
        <v>1999694.8135938568</v>
      </c>
      <c r="AF17" s="21"/>
      <c r="AG17" s="92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6"/>
    </row>
    <row r="18" spans="1:49" ht="18" x14ac:dyDescent="0.25">
      <c r="A18" s="103"/>
      <c r="B18" s="9" t="s">
        <v>22</v>
      </c>
      <c r="F18" s="21">
        <f>INDEX(KumIndPotrS,NscenInfl,F$1)*'Лист1_Базовые цены'!F19</f>
        <v>205242.05378973106</v>
      </c>
      <c r="G18" s="21">
        <f>INDEX(KumIndPotrS,NscenInfl,G$1)*'Лист1_Базовые цены'!G19</f>
        <v>208615.6725391651</v>
      </c>
      <c r="H18" s="21">
        <f>INDEX(KumIndPotrS,NscenInfl,H$1)*'Лист1_Базовые цены'!H19</f>
        <v>217145.67939652529</v>
      </c>
      <c r="I18" s="21">
        <f>INDEX(KumIndPotrS,NscenInfl,I$1)*'Лист1_Базовые цены'!I19</f>
        <v>258641.87787918828</v>
      </c>
      <c r="J18" s="21">
        <f>INDEX(KumIndPotrS,NscenInfl,J$1)*'Лист1_Базовые цены'!J19</f>
        <v>287869.93415926612</v>
      </c>
      <c r="K18" s="21">
        <f>INDEX(KumIndPotrS,NscenInfl,K$1)*'Лист1_Базовые цены'!K19</f>
        <v>304899.38850352808</v>
      </c>
      <c r="L18" s="21">
        <f>INDEX(KumIndPotrS,NscenInfl,L$1)*'Лист1_Базовые цены'!L19</f>
        <v>346374.77535962418</v>
      </c>
      <c r="M18" s="21">
        <f>INDEX(KumIndPotrS,NscenInfl,M$1)*'Лист1_Базовые цены'!M19</f>
        <v>396732.41837306134</v>
      </c>
      <c r="N18" s="252">
        <f>INDEX(KumIndPotrS,NscenInfl,N$1)*'Лист1_Базовые цены'!N19</f>
        <v>462020.6012419223</v>
      </c>
      <c r="O18" s="77">
        <f>INDEX(KumIndPotrS,NscenInfl,O$1)*'Лист1_Базовые цены'!O19</f>
        <v>531178.59882333979</v>
      </c>
      <c r="P18" s="21">
        <f>INDEX(KumIndPotrS,NscenInfl,P$1)*'Лист1_Базовые цены'!P19</f>
        <v>620306.9981074197</v>
      </c>
      <c r="Q18" s="21">
        <f>INDEX(KumIndPotrS,NscenInfl,Q$1)*'Лист1_Базовые цены'!Q19</f>
        <v>726698.19436508964</v>
      </c>
      <c r="R18" s="21">
        <f>INDEX(KumIndPotrS,NscenInfl,R$1)*'Лист1_Базовые цены'!R19</f>
        <v>828509.62591982866</v>
      </c>
      <c r="S18" s="21">
        <f>INDEX(KumIndPotrS,NscenInfl,S$1)*'Лист1_Базовые цены'!S19</f>
        <v>904851.28324996121</v>
      </c>
      <c r="T18" s="21">
        <f>INDEX(KumIndPotrS,NscenInfl,T$1)*'Лист1_Базовые цены'!T19</f>
        <v>982968.41149926116</v>
      </c>
      <c r="U18" s="21">
        <f>INDEX(KumIndPotrS,NscenInfl,U$1)*'Лист1_Базовые цены'!U19</f>
        <v>1058865.9100718729</v>
      </c>
      <c r="V18" s="21">
        <f>INDEX(KumIndPotrS,NscenInfl,V$1)*'Лист1_Базовые цены'!V19</f>
        <v>1124376.7968917484</v>
      </c>
      <c r="W18" s="21">
        <f>INDEX(KumIndPotrS,NscenInfl,W$1)*'Лист1_Базовые цены'!W19</f>
        <v>1221242.0181405093</v>
      </c>
      <c r="X18" s="21">
        <f>INDEX(KumIndPotrS,NscenInfl,X$1)*'Лист1_Базовые цены'!X19</f>
        <v>1334251.9237944554</v>
      </c>
      <c r="Y18" s="21">
        <f>INDEX(KumIndPotrS,NscenInfl,Y$1)*'Лист1_Базовые цены'!Y19</f>
        <v>1446976.8559787958</v>
      </c>
      <c r="Z18" s="21">
        <f>INDEX(KumIndPotrS,NscenInfl,Z$1)*'Лист1_Базовые цены'!Z19</f>
        <v>1570289.1663092382</v>
      </c>
      <c r="AA18" s="21">
        <f>INDEX(KumIndPotrS,NscenInfl,AA$1)*'Лист1_Базовые цены'!AA19</f>
        <v>1663143.0165100025</v>
      </c>
      <c r="AB18" s="21">
        <f>INDEX(KumIndPotrS,NscenInfl,AB$1)*'Лист1_Базовые цены'!AB19</f>
        <v>1734092.4932435488</v>
      </c>
      <c r="AC18" s="21">
        <f>INDEX(KumIndPotrS,NscenInfl,AC$1)*'Лист1_Базовые цены'!AC19</f>
        <v>1805525.1139062289</v>
      </c>
      <c r="AD18" s="21">
        <f>INDEX(KumIndPotrS,NscenInfl,AD$1)*'Лист1_Базовые цены'!AD19</f>
        <v>1895950.5497179311</v>
      </c>
      <c r="AE18" s="21">
        <f>INDEX(KumIndPotrS,NscenInfl,AE$1)*'Лист1_Базовые цены'!AE19</f>
        <v>1999694.8135938568</v>
      </c>
      <c r="AF18" s="21"/>
      <c r="AG18" s="92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6"/>
    </row>
    <row r="19" spans="1:49" x14ac:dyDescent="0.2">
      <c r="B19" s="9"/>
      <c r="F19" s="21"/>
      <c r="G19" s="21"/>
      <c r="H19" s="21"/>
      <c r="I19" s="21"/>
      <c r="J19" s="21"/>
      <c r="K19" s="21"/>
      <c r="L19" s="21"/>
      <c r="M19" s="21"/>
      <c r="N19" s="252"/>
      <c r="O19" s="77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0"/>
      <c r="AA19" s="15"/>
      <c r="AB19" s="15"/>
      <c r="AC19" s="15"/>
      <c r="AD19" s="15"/>
      <c r="AE19" s="15"/>
      <c r="AF19" s="15"/>
      <c r="AG19" s="92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6"/>
    </row>
    <row r="20" spans="1:49" ht="13.5" thickBot="1" x14ac:dyDescent="0.25">
      <c r="A20" s="11">
        <v>3</v>
      </c>
      <c r="B20" s="9"/>
      <c r="F20" s="21"/>
      <c r="G20" s="21"/>
      <c r="H20" s="21"/>
      <c r="I20" s="21"/>
      <c r="J20" s="21"/>
      <c r="K20" s="21"/>
      <c r="L20" s="21"/>
      <c r="M20" s="21"/>
      <c r="N20" s="252"/>
      <c r="O20" s="77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0"/>
      <c r="AA20" s="15"/>
      <c r="AB20" s="15"/>
      <c r="AC20" s="15"/>
      <c r="AD20" s="15"/>
      <c r="AE20" s="15"/>
      <c r="AF20" s="15"/>
      <c r="AG20" s="92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6"/>
    </row>
    <row r="21" spans="1:49" x14ac:dyDescent="0.2">
      <c r="A21" s="11" t="str">
        <f>VLOOKUP(A20,spotrnepr,2)</f>
        <v>общее полное образование</v>
      </c>
      <c r="B21" s="9"/>
      <c r="F21" s="31">
        <v>2006</v>
      </c>
      <c r="G21" s="31">
        <v>2007</v>
      </c>
      <c r="H21" s="31">
        <v>2008</v>
      </c>
      <c r="I21" s="31">
        <v>2009</v>
      </c>
      <c r="J21" s="31">
        <v>2010</v>
      </c>
      <c r="K21" s="31">
        <v>2011</v>
      </c>
      <c r="L21" s="31">
        <v>2012</v>
      </c>
      <c r="M21" s="31">
        <v>2013</v>
      </c>
      <c r="N21" s="287">
        <v>2014</v>
      </c>
      <c r="O21" s="282">
        <v>2015</v>
      </c>
      <c r="P21" s="31">
        <v>2016</v>
      </c>
      <c r="Q21" s="31">
        <v>2017</v>
      </c>
      <c r="R21" s="31">
        <v>2018</v>
      </c>
      <c r="S21" s="31">
        <v>2019</v>
      </c>
      <c r="T21" s="31">
        <v>2020</v>
      </c>
      <c r="U21" s="31">
        <v>2021</v>
      </c>
      <c r="V21" s="31">
        <v>2022</v>
      </c>
      <c r="W21" s="31">
        <v>2023</v>
      </c>
      <c r="X21" s="31">
        <v>2024</v>
      </c>
      <c r="Y21" s="31">
        <v>2025</v>
      </c>
      <c r="Z21" s="31">
        <v>2026</v>
      </c>
      <c r="AA21" s="31">
        <v>2027</v>
      </c>
      <c r="AB21" s="31">
        <v>2028</v>
      </c>
      <c r="AC21" s="31">
        <v>2029</v>
      </c>
      <c r="AD21" s="31">
        <v>2030</v>
      </c>
      <c r="AE21" s="31">
        <v>2031</v>
      </c>
      <c r="AF21" s="383"/>
      <c r="AG21" s="92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6"/>
    </row>
    <row r="22" spans="1:49" x14ac:dyDescent="0.2">
      <c r="B22" s="9" t="s">
        <v>9</v>
      </c>
      <c r="F22" s="21">
        <f>'Лист1_Базовые цены'!F24</f>
        <v>198878</v>
      </c>
      <c r="G22" s="21">
        <f>'Лист1_Базовые цены'!G24</f>
        <v>190776.1</v>
      </c>
      <c r="H22" s="21">
        <f>'Лист1_Базовые цены'!H24</f>
        <v>184004.17550000001</v>
      </c>
      <c r="I22" s="21">
        <f>'Лист1_Базовые цены'!I24</f>
        <v>180768.09199000002</v>
      </c>
      <c r="J22" s="21">
        <f>'Лист1_Базовые цены'!J24</f>
        <v>176089.04923030001</v>
      </c>
      <c r="K22" s="21">
        <f>'Лист1_Базовые цены'!K24</f>
        <v>175725.158737997</v>
      </c>
      <c r="L22" s="21">
        <f>'Лист1_Базовые цены'!L24</f>
        <v>170577.06431802158</v>
      </c>
      <c r="M22" s="21">
        <f>'Лист1_Базовые цены'!M24</f>
        <v>162674.03403626775</v>
      </c>
      <c r="N22" s="252">
        <f>'Лист1_Базовые цены'!N24</f>
        <v>150886.75312784433</v>
      </c>
      <c r="O22" s="77">
        <f>'Лист1_Базовые цены'!O24</f>
        <v>150925.66090898652</v>
      </c>
      <c r="P22" s="21">
        <f>'Лист1_Базовые цены'!P24</f>
        <v>150217.2689171964</v>
      </c>
      <c r="Q22" s="21">
        <f>'Лист1_Базовые цены'!Q24</f>
        <v>149298.79996813563</v>
      </c>
      <c r="R22" s="21">
        <f>'Лист1_Базовые цены'!R24</f>
        <v>148370.69382483599</v>
      </c>
      <c r="S22" s="21">
        <f>'Лист1_Базовые цены'!S24</f>
        <v>148521.71991048308</v>
      </c>
      <c r="T22" s="21">
        <f>'Лист1_Базовые цены'!T24</f>
        <v>150662.02598673329</v>
      </c>
      <c r="U22" s="21">
        <f>'Лист1_Базовые цены'!U24</f>
        <v>153782.11997964108</v>
      </c>
      <c r="V22" s="21">
        <f>'Лист1_Базовые цены'!V24</f>
        <v>156140.49946058518</v>
      </c>
      <c r="W22" s="21">
        <f>'Лист1_Базовые цены'!W24</f>
        <v>157127.33702903311</v>
      </c>
      <c r="X22" s="21">
        <f>'Лист1_Базовые цены'!X24</f>
        <v>157452.01245589936</v>
      </c>
      <c r="Y22" s="21">
        <f>'Лист1_Базовые цены'!Y24</f>
        <v>157422.07902383653</v>
      </c>
      <c r="Z22" s="21">
        <f>'Лист1_Базовые цены'!Z24</f>
        <v>156756.73845112318</v>
      </c>
      <c r="AA22" s="21">
        <f>'Лист1_Базовые цены'!AA24</f>
        <v>155417.14506170229</v>
      </c>
      <c r="AB22" s="21">
        <f>'Лист1_Базовые цены'!AB24</f>
        <v>155136.03705944936</v>
      </c>
      <c r="AC22" s="21">
        <f>'Лист1_Базовые цены'!AC24</f>
        <v>155855.15180047657</v>
      </c>
      <c r="AD22" s="21">
        <f>'Лист1_Базовые цены'!AD24</f>
        <v>156654.98469078451</v>
      </c>
      <c r="AE22" s="21">
        <f>'Лист1_Базовые цены'!AE24</f>
        <v>158616.43484387666</v>
      </c>
      <c r="AF22" s="21"/>
      <c r="AG22" s="92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49" x14ac:dyDescent="0.2">
      <c r="B23" s="9" t="s">
        <v>14</v>
      </c>
      <c r="F23" s="21">
        <f>F22*INDEX([1]!explzaNS,$A$20,F$1)*INDEX(KumIndPPP,NscenInfl,F$1)</f>
        <v>2304677.8152000001</v>
      </c>
      <c r="G23" s="21">
        <f t="shared" ref="G23:AE23" si="3">G22*INDEX(explzaNS,$A$20,G$1)*INDEX(KumIndPPP,NscenInfl,G$1)</f>
        <v>2703980.1055842899</v>
      </c>
      <c r="H23" s="21">
        <f t="shared" si="3"/>
        <v>2072488.8384396045</v>
      </c>
      <c r="I23" s="21">
        <f t="shared" si="3"/>
        <v>2527821.9119477458</v>
      </c>
      <c r="J23" s="21">
        <f t="shared" si="3"/>
        <v>3467046.7951236344</v>
      </c>
      <c r="K23" s="21">
        <f t="shared" si="3"/>
        <v>3334697.2693839096</v>
      </c>
      <c r="L23" s="21">
        <f t="shared" si="3"/>
        <v>14549681.201817384</v>
      </c>
      <c r="M23" s="21">
        <f t="shared" si="3"/>
        <v>14936288.688019773</v>
      </c>
      <c r="N23" s="252">
        <f t="shared" si="3"/>
        <v>13743180.417998951</v>
      </c>
      <c r="O23" s="77">
        <f t="shared" si="3"/>
        <v>15671265.640101366</v>
      </c>
      <c r="P23" s="21">
        <f t="shared" si="3"/>
        <v>18249320.967567526</v>
      </c>
      <c r="Q23" s="21">
        <f t="shared" si="3"/>
        <v>21402532.835208081</v>
      </c>
      <c r="R23" s="21">
        <f t="shared" si="3"/>
        <v>24459908.211608902</v>
      </c>
      <c r="S23" s="21">
        <f t="shared" si="3"/>
        <v>27667830.643323682</v>
      </c>
      <c r="T23" s="21">
        <f t="shared" si="3"/>
        <v>31153864.083325144</v>
      </c>
      <c r="U23" s="21">
        <f t="shared" si="3"/>
        <v>34978940.155660242</v>
      </c>
      <c r="V23" s="21">
        <f t="shared" si="3"/>
        <v>39066909.117605746</v>
      </c>
      <c r="W23" s="21">
        <f t="shared" si="3"/>
        <v>42458924.943598807</v>
      </c>
      <c r="X23" s="21">
        <f t="shared" si="3"/>
        <v>46375857.969607837</v>
      </c>
      <c r="Y23" s="21">
        <f t="shared" si="3"/>
        <v>51003745.526263796</v>
      </c>
      <c r="Z23" s="21">
        <f t="shared" si="3"/>
        <v>56374879.17986457</v>
      </c>
      <c r="AA23" s="21">
        <f t="shared" si="3"/>
        <v>60364566.722023353</v>
      </c>
      <c r="AB23" s="21">
        <f t="shared" si="3"/>
        <v>64473260.22036919</v>
      </c>
      <c r="AC23" s="21">
        <f t="shared" si="3"/>
        <v>69306166.675556302</v>
      </c>
      <c r="AD23" s="21">
        <f t="shared" si="3"/>
        <v>74538167.644120485</v>
      </c>
      <c r="AE23" s="21">
        <f t="shared" si="3"/>
        <v>80754448.543603703</v>
      </c>
      <c r="AF23" s="21"/>
      <c r="AG23" s="92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6"/>
    </row>
    <row r="24" spans="1:49" x14ac:dyDescent="0.2">
      <c r="B24" s="9" t="s">
        <v>15</v>
      </c>
      <c r="F24" s="21">
        <f>'Лист1_Базовые цены'!F27*INDEX(KumIndPotrS,NscenInfl,F$1)</f>
        <v>2890680.0120000001</v>
      </c>
      <c r="G24" s="21">
        <f>'Лист1_Базовые цены'!G27*INDEX(KumIndPotrS,NscenInfl,G$1)</f>
        <v>2841236.9321875609</v>
      </c>
      <c r="H24" s="21">
        <f>'Лист1_Базовые цены'!H27*INDEX(KumIndPotrS,NscenInfl,H$1)</f>
        <v>3364512.5219734255</v>
      </c>
      <c r="I24" s="21">
        <f>'Лист1_Базовые цены'!I27*INDEX(KumIndPotrS,NscenInfl,I$1)</f>
        <v>3449402.3802874475</v>
      </c>
      <c r="J24" s="21">
        <f>'Лист1_Базовые цены'!J27*INDEX(KumIndPotrS,NscenInfl,J$1)</f>
        <v>3403998.8557136594</v>
      </c>
      <c r="K24" s="21">
        <f>'Лист1_Базовые цены'!K27*INDEX(KumIndPotrS,NscenInfl,K$1)</f>
        <v>3783232.4805551497</v>
      </c>
      <c r="L24" s="21">
        <f>'Лист1_Базовые цены'!L27*INDEX(KumIndPotrS,NscenInfl,L$1)</f>
        <v>3978430.9734983295</v>
      </c>
      <c r="M24" s="21">
        <f>'Лист1_Базовые цены'!M27*INDEX(KumIndPotrS,NscenInfl,M$1)</f>
        <v>4085960.0071892161</v>
      </c>
      <c r="N24" s="252">
        <f>'Лист1_Базовые цены'!N27*INDEX(KumIndPotrS,NscenInfl,N$1)</f>
        <v>4206781.6122447932</v>
      </c>
      <c r="O24" s="77">
        <f>'Лист1_Базовые цены'!O27*INDEX(KumIndPotrS,NscenInfl,O$1)</f>
        <v>4839046.3328370862</v>
      </c>
      <c r="P24" s="21">
        <f>'Лист1_Базовые цены'!P27*INDEX(KumIndPotrS,NscenInfl,P$1)</f>
        <v>5611028.5864500105</v>
      </c>
      <c r="Q24" s="21">
        <f>'Лист1_Базовые цены'!Q27*INDEX(KumIndPotrS,NscenInfl,Q$1)</f>
        <v>6524763.8535928018</v>
      </c>
      <c r="R24" s="21">
        <f>'Лист1_Базовые цены'!R27*INDEX(KumIndPotrS,NscenInfl,R$1)</f>
        <v>7391991.5219440749</v>
      </c>
      <c r="S24" s="21">
        <f>'Лист1_Базовые цены'!S27*INDEX(KumIndPotrS,NscenInfl,S$1)</f>
        <v>8213462.5468952749</v>
      </c>
      <c r="T24" s="21">
        <f>'Лист1_Базовые цены'!T27*INDEX(KumIndPotrS,NscenInfl,T$1)</f>
        <v>9081688.7266433965</v>
      </c>
      <c r="U24" s="21">
        <f>'Лист1_Базовые цены'!U27*INDEX(KumIndPotrS,NscenInfl,U$1)</f>
        <v>9918646.9169510994</v>
      </c>
      <c r="V24" s="21">
        <f>'Лист1_Базовые цены'!V27*INDEX(KumIndPotrS,NscenInfl,V$1)</f>
        <v>10675003.26317797</v>
      </c>
      <c r="W24" s="21">
        <f>'Лист1_Базовые цены'!W27*INDEX(KumIndPotrS,NscenInfl,W$1)</f>
        <v>11709293.726049967</v>
      </c>
      <c r="X24" s="21">
        <f>'Лист1_Базовые цены'!X27*INDEX(KumIndPotrS,NscenInfl,X$1)</f>
        <v>12906837.766807303</v>
      </c>
      <c r="Y24" s="21">
        <f>'Лист1_Базовые цены'!Y27*INDEX(KumIndPotrS,NscenInfl,Y$1)</f>
        <v>14065778.591640189</v>
      </c>
      <c r="Z24" s="21">
        <f>'Лист1_Базовые цены'!Z27*INDEX(KumIndPotrS,NscenInfl,Z$1)</f>
        <v>15171656.57141502</v>
      </c>
      <c r="AA24" s="21">
        <f>'Лист1_Базовые цены'!AA27*INDEX(KumIndPotrS,NscenInfl,AA$1)</f>
        <v>16094944.712603997</v>
      </c>
      <c r="AB24" s="21">
        <f>'Лист1_Базовые цены'!AB27*INDEX(KumIndPotrS,NscenInfl,AB$1)</f>
        <v>17029783.263087254</v>
      </c>
      <c r="AC24" s="21">
        <f>'Лист1_Базовые цены'!AC27*INDEX(KumIndPotrS,NscenInfl,AC$1)</f>
        <v>18135246.176588949</v>
      </c>
      <c r="AD24" s="21">
        <f>'Лист1_Базовые цены'!AD27*INDEX(KumIndPotrS,NscenInfl,AD$1)</f>
        <v>19453257.156975418</v>
      </c>
      <c r="AE24" s="21">
        <f>'Лист1_Базовые цены'!AE27*INDEX(KumIndPotrS,NscenInfl,AE$1)</f>
        <v>21020454.89298987</v>
      </c>
      <c r="AF24" s="21"/>
      <c r="AG24" s="92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6"/>
    </row>
    <row r="25" spans="1:49" x14ac:dyDescent="0.2">
      <c r="B25" s="9" t="s">
        <v>16</v>
      </c>
      <c r="F25" s="21">
        <f t="shared" ref="F25:AE25" si="4">INDEX(stavkapodna,1,F$1)*0.01*F24</f>
        <v>375788.40156000003</v>
      </c>
      <c r="G25" s="21">
        <f t="shared" si="4"/>
        <v>369360.80118438293</v>
      </c>
      <c r="H25" s="21">
        <f t="shared" si="4"/>
        <v>437386.62785654532</v>
      </c>
      <c r="I25" s="21">
        <f t="shared" si="4"/>
        <v>448422.30943736818</v>
      </c>
      <c r="J25" s="21">
        <f t="shared" si="4"/>
        <v>442519.85124277574</v>
      </c>
      <c r="K25" s="21">
        <f t="shared" si="4"/>
        <v>491820.22247216949</v>
      </c>
      <c r="L25" s="21">
        <f t="shared" si="4"/>
        <v>517196.02655478287</v>
      </c>
      <c r="M25" s="21">
        <f t="shared" si="4"/>
        <v>531174.80093459808</v>
      </c>
      <c r="N25" s="252">
        <f t="shared" si="4"/>
        <v>546881.60959182319</v>
      </c>
      <c r="O25" s="77">
        <f t="shared" si="4"/>
        <v>629076.02326882118</v>
      </c>
      <c r="P25" s="21">
        <f t="shared" si="4"/>
        <v>729433.71623850137</v>
      </c>
      <c r="Q25" s="21">
        <f t="shared" si="4"/>
        <v>848219.30096706422</v>
      </c>
      <c r="R25" s="21">
        <f t="shared" si="4"/>
        <v>960958.89785272977</v>
      </c>
      <c r="S25" s="21">
        <f t="shared" si="4"/>
        <v>1067750.1310963859</v>
      </c>
      <c r="T25" s="21">
        <f t="shared" si="4"/>
        <v>1180619.5344636417</v>
      </c>
      <c r="U25" s="21">
        <f t="shared" si="4"/>
        <v>1289424.0992036429</v>
      </c>
      <c r="V25" s="21">
        <f t="shared" si="4"/>
        <v>1387750.4242131363</v>
      </c>
      <c r="W25" s="21">
        <f t="shared" si="4"/>
        <v>1522208.1843864957</v>
      </c>
      <c r="X25" s="21">
        <f t="shared" si="4"/>
        <v>1677888.9096849493</v>
      </c>
      <c r="Y25" s="21">
        <f t="shared" si="4"/>
        <v>1828551.2169132247</v>
      </c>
      <c r="Z25" s="21">
        <f t="shared" si="4"/>
        <v>1972315.3542839526</v>
      </c>
      <c r="AA25" s="21">
        <f t="shared" si="4"/>
        <v>2092342.8126385198</v>
      </c>
      <c r="AB25" s="21">
        <f t="shared" si="4"/>
        <v>2213871.8242013431</v>
      </c>
      <c r="AC25" s="21">
        <f t="shared" si="4"/>
        <v>2357582.0029565636</v>
      </c>
      <c r="AD25" s="21">
        <f t="shared" si="4"/>
        <v>2528923.4304068047</v>
      </c>
      <c r="AE25" s="21">
        <f t="shared" si="4"/>
        <v>2732659.1360886833</v>
      </c>
      <c r="AF25" s="21"/>
      <c r="AG25" s="92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6"/>
    </row>
    <row r="26" spans="1:49" ht="18" x14ac:dyDescent="0.25">
      <c r="A26" s="103"/>
      <c r="B26" s="9" t="s">
        <v>21</v>
      </c>
      <c r="F26" s="21">
        <f>INDEX(KumIndPotrS,NscenInfl,F$1)*'Лист1_Базовые цены'!F29</f>
        <v>809846.35656030325</v>
      </c>
      <c r="G26" s="21">
        <f>INDEX(KumIndPotrS,NscenInfl,G$1)*'Лист1_Базовые цены'!G29</f>
        <v>958271.8794054162</v>
      </c>
      <c r="H26" s="21">
        <f>INDEX(KumIndPotrS,NscenInfl,H$1)*'Лист1_Базовые цены'!H29</f>
        <v>1135196.4734709468</v>
      </c>
      <c r="I26" s="21">
        <f>INDEX(KumIndPotrS,NscenInfl,I$1)*'Лист1_Базовые цены'!I29</f>
        <v>1271360.6919418541</v>
      </c>
      <c r="J26" s="21">
        <f>INDEX(KumIndPotrS,NscenInfl,J$1)*'Лист1_Базовые цены'!J29</f>
        <v>1264499.398158594</v>
      </c>
      <c r="K26" s="21">
        <f>INDEX(KumIndPotrS,NscenInfl,K$1)*'Лист1_Базовые цены'!K29</f>
        <v>1316194.625460078</v>
      </c>
      <c r="L26" s="21">
        <f>INDEX(KumIndPotrS,NscenInfl,L$1)*'Лист1_Базовые цены'!L29</f>
        <v>1495078.9518485109</v>
      </c>
      <c r="M26" s="21">
        <f>INDEX(KumIndPotrS,NscenInfl,M$1)*'Лист1_Базовые цены'!M29</f>
        <v>1561262.2082174469</v>
      </c>
      <c r="N26" s="252">
        <f>INDEX(KumIndPotrS,NscenInfl,N$1)*'Лист1_Базовые цены'!N29</f>
        <v>1607428.6429298634</v>
      </c>
      <c r="O26" s="77">
        <f>INDEX(KumIndPotrS,NscenInfl,O$1)*'Лист1_Базовые цены'!O29</f>
        <v>1849019.6061583483</v>
      </c>
      <c r="P26" s="21">
        <f>INDEX(KumIndPotrS,NscenInfl,P$1)*'Лист1_Базовые цены'!P29</f>
        <v>2143997.2162817311</v>
      </c>
      <c r="Q26" s="21">
        <f>INDEX(KumIndPotrS,NscenInfl,Q$1)*'Лист1_Базовые цены'!Q29</f>
        <v>2493139.238816326</v>
      </c>
      <c r="R26" s="21">
        <f>INDEX(KumIndPotrS,NscenInfl,R$1)*'Лист1_Базовые цены'!R29</f>
        <v>2824510.5156117626</v>
      </c>
      <c r="S26" s="21">
        <f>INDEX(KumIndPotrS,NscenInfl,S$1)*'Лист1_Базовые цены'!S29</f>
        <v>3138397.9898272101</v>
      </c>
      <c r="T26" s="21">
        <f>INDEX(KumIndPotrS,NscenInfl,T$1)*'Лист1_Базовые цены'!T29</f>
        <v>3470150.8019547663</v>
      </c>
      <c r="U26" s="21">
        <f>INDEX(KumIndPotrS,NscenInfl,U$1)*'Лист1_Базовые цены'!U29</f>
        <v>3789955.9860697193</v>
      </c>
      <c r="V26" s="21">
        <f>INDEX(KumIndPotrS,NscenInfl,V$1)*'Лист1_Базовые цены'!V29</f>
        <v>4078962.8723906111</v>
      </c>
      <c r="W26" s="21">
        <f>INDEX(KumIndPotrS,NscenInfl,W$1)*'Лист1_Базовые цены'!W29</f>
        <v>4474169.5335328029</v>
      </c>
      <c r="X26" s="21">
        <f>INDEX(KumIndPotrS,NscenInfl,X$1)*'Лист1_Базовые цены'!X29</f>
        <v>4931756.061599832</v>
      </c>
      <c r="Y26" s="21">
        <f>INDEX(KumIndPotrS,NscenInfl,Y$1)*'Лист1_Базовые цены'!Y29</f>
        <v>5374592.1412942717</v>
      </c>
      <c r="Z26" s="21">
        <f>INDEX(KumIndPotrS,NscenInfl,Z$1)*'Лист1_Базовые цены'!Z29</f>
        <v>5797152.6885547489</v>
      </c>
      <c r="AA26" s="21">
        <f>INDEX(KumIndPotrS,NscenInfl,AA$1)*'Лист1_Базовые цены'!AA29</f>
        <v>6149944.9037495581</v>
      </c>
      <c r="AB26" s="21">
        <f>INDEX(KumIndPotrS,NscenInfl,AB$1)*'Лист1_Базовые цены'!AB29</f>
        <v>6507150.5780797675</v>
      </c>
      <c r="AC26" s="21">
        <f>INDEX(KumIndPotrS,NscenInfl,AC$1)*'Лист1_Базовые цены'!AC29</f>
        <v>6929552.5268015871</v>
      </c>
      <c r="AD26" s="21">
        <f>INDEX(KumIndPotrS,NscenInfl,AD$1)*'Лист1_Базовые цены'!AD29</f>
        <v>7437349.0390296578</v>
      </c>
      <c r="AE26" s="21">
        <f>INDEX(KumIndPotrS,NscenInfl,AE$1)*'Лист1_Базовые цены'!AE29</f>
        <v>8041036.7295920141</v>
      </c>
      <c r="AF26" s="21"/>
      <c r="AG26" s="92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6"/>
    </row>
    <row r="27" spans="1:49" ht="18" x14ac:dyDescent="0.25">
      <c r="A27" s="103"/>
      <c r="B27" s="9" t="s">
        <v>22</v>
      </c>
      <c r="F27" s="21">
        <f>INDEX(KumIndPotrS,NscenInfl,F$1)*'Лист1_Базовые цены'!F30</f>
        <v>809846.35656030325</v>
      </c>
      <c r="G27" s="21">
        <f>INDEX(KumIndPotrS,NscenInfl,G$1)*'Лист1_Базовые цены'!G30</f>
        <v>958271.8794054162</v>
      </c>
      <c r="H27" s="21">
        <f>INDEX(KumIndPotrS,NscenInfl,H$1)*'Лист1_Базовые цены'!H30</f>
        <v>1135196.4734709468</v>
      </c>
      <c r="I27" s="21">
        <f>INDEX(KumIndPotrS,NscenInfl,I$1)*'Лист1_Базовые цены'!I30</f>
        <v>1271360.6919418541</v>
      </c>
      <c r="J27" s="21">
        <f>INDEX(KumIndPotrS,NscenInfl,J$1)*'Лист1_Базовые цены'!J30</f>
        <v>1264499.398158594</v>
      </c>
      <c r="K27" s="21">
        <f>INDEX(KumIndPotrS,NscenInfl,K$1)*'Лист1_Базовые цены'!K30</f>
        <v>1316194.625460078</v>
      </c>
      <c r="L27" s="21">
        <f>INDEX(KumIndPotrS,NscenInfl,L$1)*'Лист1_Базовые цены'!L30</f>
        <v>1495078.9518485109</v>
      </c>
      <c r="M27" s="21">
        <f>INDEX(KumIndPotrS,NscenInfl,M$1)*'Лист1_Базовые цены'!M30</f>
        <v>1561262.2082174469</v>
      </c>
      <c r="N27" s="252">
        <f>INDEX(KumIndPotrS,NscenInfl,N$1)*'Лист1_Базовые цены'!N30</f>
        <v>1607428.6429298634</v>
      </c>
      <c r="O27" s="77">
        <f>INDEX(KumIndPotrS,NscenInfl,O$1)*'Лист1_Базовые цены'!O30</f>
        <v>1849019.6061583483</v>
      </c>
      <c r="P27" s="21">
        <f>INDEX(KumIndPotrS,NscenInfl,P$1)*'Лист1_Базовые цены'!P30</f>
        <v>2143997.2162817311</v>
      </c>
      <c r="Q27" s="21">
        <f>INDEX(KumIndPotrS,NscenInfl,Q$1)*'Лист1_Базовые цены'!Q30</f>
        <v>2493139.238816326</v>
      </c>
      <c r="R27" s="21">
        <f>INDEX(KumIndPotrS,NscenInfl,R$1)*'Лист1_Базовые цены'!R30</f>
        <v>2824510.5156117626</v>
      </c>
      <c r="S27" s="21">
        <f>INDEX(KumIndPotrS,NscenInfl,S$1)*'Лист1_Базовые цены'!S30</f>
        <v>3138397.9898272101</v>
      </c>
      <c r="T27" s="21">
        <f>INDEX(KumIndPotrS,NscenInfl,T$1)*'Лист1_Базовые цены'!T30</f>
        <v>3470150.8019547663</v>
      </c>
      <c r="U27" s="21">
        <f>INDEX(KumIndPotrS,NscenInfl,U$1)*'Лист1_Базовые цены'!U30</f>
        <v>3789955.9860697193</v>
      </c>
      <c r="V27" s="21">
        <f>INDEX(KumIndPotrS,NscenInfl,V$1)*'Лист1_Базовые цены'!V30</f>
        <v>4078962.8723906111</v>
      </c>
      <c r="W27" s="21">
        <f>INDEX(KumIndPotrS,NscenInfl,W$1)*'Лист1_Базовые цены'!W30</f>
        <v>4474169.5335328029</v>
      </c>
      <c r="X27" s="21">
        <f>INDEX(KumIndPotrS,NscenInfl,X$1)*'Лист1_Базовые цены'!X30</f>
        <v>4931756.061599832</v>
      </c>
      <c r="Y27" s="21">
        <f>INDEX(KumIndPotrS,NscenInfl,Y$1)*'Лист1_Базовые цены'!Y30</f>
        <v>5374592.1412942717</v>
      </c>
      <c r="Z27" s="21">
        <f>INDEX(KumIndPotrS,NscenInfl,Z$1)*'Лист1_Базовые цены'!Z30</f>
        <v>5797152.6885547489</v>
      </c>
      <c r="AA27" s="21">
        <f>INDEX(KumIndPotrS,NscenInfl,AA$1)*'Лист1_Базовые цены'!AA30</f>
        <v>6149944.9037495581</v>
      </c>
      <c r="AB27" s="21">
        <f>INDEX(KumIndPotrS,NscenInfl,AB$1)*'Лист1_Базовые цены'!AB30</f>
        <v>6507150.5780797675</v>
      </c>
      <c r="AC27" s="21">
        <f>INDEX(KumIndPotrS,NscenInfl,AC$1)*'Лист1_Базовые цены'!AC30</f>
        <v>6929552.5268015871</v>
      </c>
      <c r="AD27" s="21">
        <f>INDEX(KumIndPotrS,NscenInfl,AD$1)*'Лист1_Базовые цены'!AD30</f>
        <v>7437349.0390296578</v>
      </c>
      <c r="AE27" s="21">
        <f>INDEX(KumIndPotrS,NscenInfl,AE$1)*'Лист1_Базовые цены'!AE30</f>
        <v>8041036.7295920141</v>
      </c>
      <c r="AF27" s="21"/>
      <c r="AG27" s="92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6"/>
    </row>
    <row r="28" spans="1:49" x14ac:dyDescent="0.2">
      <c r="B28" s="9"/>
      <c r="F28" s="21"/>
      <c r="G28" s="21"/>
      <c r="H28" s="21"/>
      <c r="I28" s="21"/>
      <c r="J28" s="21"/>
      <c r="K28" s="21"/>
      <c r="L28" s="21"/>
      <c r="M28" s="21"/>
      <c r="N28" s="252"/>
      <c r="O28" s="77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0"/>
      <c r="AA28" s="15"/>
      <c r="AB28" s="15"/>
      <c r="AC28" s="15"/>
      <c r="AD28" s="15"/>
      <c r="AE28" s="15"/>
      <c r="AF28" s="15"/>
      <c r="AG28" s="92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6"/>
    </row>
    <row r="29" spans="1:49" ht="13.5" thickBot="1" x14ac:dyDescent="0.25">
      <c r="A29" s="11">
        <v>4</v>
      </c>
      <c r="B29" s="9"/>
      <c r="F29" s="21"/>
      <c r="G29" s="21"/>
      <c r="H29" s="21"/>
      <c r="I29" s="21"/>
      <c r="J29" s="21"/>
      <c r="K29" s="21"/>
      <c r="L29" s="21"/>
      <c r="M29" s="21"/>
      <c r="N29" s="252"/>
      <c r="O29" s="77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0"/>
      <c r="AA29" s="15"/>
      <c r="AB29" s="15"/>
      <c r="AC29" s="15"/>
      <c r="AD29" s="15"/>
      <c r="AE29" s="15"/>
      <c r="AF29" s="15"/>
      <c r="AG29" s="92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6"/>
    </row>
    <row r="30" spans="1:49" x14ac:dyDescent="0.2">
      <c r="A30" s="11" t="str">
        <f>VLOOKUP(A29,spotrnepr,2)</f>
        <v>больницы</v>
      </c>
      <c r="B30" s="9"/>
      <c r="F30" s="31">
        <v>2006</v>
      </c>
      <c r="G30" s="31">
        <v>2007</v>
      </c>
      <c r="H30" s="31">
        <v>2008</v>
      </c>
      <c r="I30" s="31">
        <v>2009</v>
      </c>
      <c r="J30" s="31">
        <v>2010</v>
      </c>
      <c r="K30" s="31">
        <v>2011</v>
      </c>
      <c r="L30" s="31">
        <v>2012</v>
      </c>
      <c r="M30" s="31">
        <v>2013</v>
      </c>
      <c r="N30" s="287">
        <v>2014</v>
      </c>
      <c r="O30" s="282">
        <v>2015</v>
      </c>
      <c r="P30" s="31">
        <v>2016</v>
      </c>
      <c r="Q30" s="31">
        <v>2017</v>
      </c>
      <c r="R30" s="31">
        <v>2018</v>
      </c>
      <c r="S30" s="31">
        <v>2019</v>
      </c>
      <c r="T30" s="31">
        <v>2020</v>
      </c>
      <c r="U30" s="31">
        <v>2021</v>
      </c>
      <c r="V30" s="31">
        <v>2022</v>
      </c>
      <c r="W30" s="31">
        <v>2023</v>
      </c>
      <c r="X30" s="31">
        <v>2024</v>
      </c>
      <c r="Y30" s="31">
        <v>2025</v>
      </c>
      <c r="Z30" s="31">
        <v>2026</v>
      </c>
      <c r="AA30" s="31">
        <v>2027</v>
      </c>
      <c r="AB30" s="31">
        <v>2028</v>
      </c>
      <c r="AC30" s="31">
        <v>2029</v>
      </c>
      <c r="AD30" s="31">
        <v>2030</v>
      </c>
      <c r="AE30" s="31">
        <v>2031</v>
      </c>
      <c r="AF30" s="383"/>
      <c r="AG30" s="92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6"/>
    </row>
    <row r="31" spans="1:49" x14ac:dyDescent="0.2">
      <c r="B31" s="9" t="s">
        <v>9</v>
      </c>
      <c r="F31" s="21">
        <f>'Лист1_Базовые цены'!F35</f>
        <v>15560</v>
      </c>
      <c r="G31" s="21">
        <f>'Лист1_Базовые цены'!G35</f>
        <v>15602.620564798397</v>
      </c>
      <c r="H31" s="21">
        <f>'Лист1_Базовые цены'!H35</f>
        <v>14376.397816790533</v>
      </c>
      <c r="I31" s="21">
        <f>'Лист1_Базовые цены'!I35</f>
        <v>13297.077304789347</v>
      </c>
      <c r="J31" s="21">
        <f>'Лист1_Базовые цены'!J35</f>
        <v>12930.194212597775</v>
      </c>
      <c r="K31" s="21">
        <f>'Лист1_Базовые цены'!K35</f>
        <v>12431.684501967888</v>
      </c>
      <c r="L31" s="21">
        <f>'Лист1_Базовые цены'!L35</f>
        <v>12381.100276869494</v>
      </c>
      <c r="M31" s="21">
        <f>'Лист1_Базовые цены'!M35</f>
        <v>12333.990249182545</v>
      </c>
      <c r="N31" s="252">
        <f>'Лист1_Базовые цены'!N35</f>
        <v>13277.65034669072</v>
      </c>
      <c r="O31" s="77">
        <f>'Лист1_Базовые цены'!O35</f>
        <v>13783.041782871485</v>
      </c>
      <c r="P31" s="21">
        <f>'Лист1_Базовые цены'!P35</f>
        <v>14060.04915220875</v>
      </c>
      <c r="Q31" s="21">
        <f>'Лист1_Базовые цены'!Q35</f>
        <v>14777.706086916298</v>
      </c>
      <c r="R31" s="21">
        <f>'Лист1_Базовые цены'!R35</f>
        <v>15092.593206865935</v>
      </c>
      <c r="S31" s="21">
        <f>'Лист1_Базовые цены'!S35</f>
        <v>15510.984839225421</v>
      </c>
      <c r="T31" s="21">
        <f>'Лист1_Базовые цены'!T35</f>
        <v>16324.882202487845</v>
      </c>
      <c r="U31" s="21">
        <f>'Лист1_Базовые цены'!U35</f>
        <v>19014.633380462965</v>
      </c>
      <c r="V31" s="21">
        <f>'Лист1_Базовые цены'!V35</f>
        <v>19089.888720913928</v>
      </c>
      <c r="W31" s="21">
        <f>'Лист1_Базовые цены'!W35</f>
        <v>20173.989833704789</v>
      </c>
      <c r="X31" s="21">
        <f>'Лист1_Базовые цены'!X35</f>
        <v>20314.354855932383</v>
      </c>
      <c r="Y31" s="21">
        <f>'Лист1_Базовые цены'!Y35</f>
        <v>21154.362752393445</v>
      </c>
      <c r="Z31" s="21">
        <f>'Лист1_Базовые цены'!Z35</f>
        <v>21458.689368359155</v>
      </c>
      <c r="AA31" s="21">
        <f>'Лист1_Базовые цены'!AA35</f>
        <v>23247.102474675565</v>
      </c>
      <c r="AB31" s="21">
        <f>'Лист1_Базовые цены'!AB35</f>
        <v>23980.631449928809</v>
      </c>
      <c r="AC31" s="21">
        <f>'Лист1_Базовые цены'!AC35</f>
        <v>24688.825135429521</v>
      </c>
      <c r="AD31" s="21">
        <f>'Лист1_Базовые цены'!AD35</f>
        <v>25518.936884075229</v>
      </c>
      <c r="AE31" s="21">
        <f>'Лист1_Базовые цены'!AE35</f>
        <v>26284.747515234478</v>
      </c>
      <c r="AF31" s="21"/>
      <c r="AG31" s="92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 spans="1:49" x14ac:dyDescent="0.2">
      <c r="B32" s="9" t="s">
        <v>14</v>
      </c>
      <c r="F32" s="21">
        <f>F31*INDEX([1]!explzaNS,$A$29,F$1)*INDEX(KumIndPPP,NscenInfl,F$1)</f>
        <v>3589614.1999999997</v>
      </c>
      <c r="G32" s="21">
        <f>G31*INDEX([1]!explzaNS,$A$29,G$1)*INDEX(KumIndPPP,NscenInfl,G$1)</f>
        <v>4252787.9542679349</v>
      </c>
      <c r="H32" s="21">
        <f>H31*INDEX([1]!explzaNS,$A$29,H$1)*INDEX(KumIndPPP,NscenInfl,H$1)</f>
        <v>3113947.3132673013</v>
      </c>
      <c r="I32" s="21">
        <f>I31*INDEX([1]!explzaNS,$A$29,I$1)*INDEX(KumIndPPP,NscenInfl,I$1)</f>
        <v>1590849.5498618162</v>
      </c>
      <c r="J32" s="21">
        <f>J31*INDEX([1]!explzaNS,$A$29,J$1)*INDEX(KumIndPPP,NscenInfl,J$1)</f>
        <v>1990389.9448457144</v>
      </c>
      <c r="K32" s="21">
        <f>K31*INDEX([1]!explzaNS,$A$29,K$1)*INDEX(KumIndPPP,NscenInfl,K$1)</f>
        <v>2359133.1292728879</v>
      </c>
      <c r="L32" s="21">
        <f>L31*INDEX([1]!explzaNS,$A$29,L$1)*INDEX(KumIndPPP,NscenInfl,L$1)</f>
        <v>1936125.5565438024</v>
      </c>
      <c r="M32" s="21">
        <f>M31*INDEX([1]!explzaNS,$A$29,M$1)*INDEX(KumIndPPP,NscenInfl,M$1)</f>
        <v>1973739.5966344902</v>
      </c>
      <c r="N32" s="252">
        <f>N31*INDEX([1]!explzaNS,$A$29,N$1)*INDEX(KumIndPPP,NscenInfl,N$1)</f>
        <v>2340706.2726094564</v>
      </c>
      <c r="O32" s="27">
        <f>O31*INDEX([1]!explzaNS,$A$29,O$1)*INDEX(KumIndPPP,NscenInfl,O$1)</f>
        <v>2769973.5063384096</v>
      </c>
      <c r="P32" s="21">
        <f>P31*INDEX([1]!explzaNS,$A$29,P$1)*INDEX(KumIndPPP,NscenInfl,P$1)</f>
        <v>3306002.9990233909</v>
      </c>
      <c r="Q32" s="21">
        <f>Q31*INDEX([1]!explzaNS,$A$29,Q$1)*INDEX(KumIndPPP,NscenInfl,Q$1)</f>
        <v>4100203.7285581501</v>
      </c>
      <c r="R32" s="21">
        <f>R31*INDEX([1]!explzaNS,$A$29,R$1)*INDEX(KumIndPPP,NscenInfl,R$1)</f>
        <v>4815707.6993479291</v>
      </c>
      <c r="S32" s="21">
        <f>S31*INDEX([1]!explzaNS,$A$29,S$1)*INDEX(KumIndPPP,NscenInfl,S$1)</f>
        <v>5592603.9973861407</v>
      </c>
      <c r="T32" s="21">
        <f>T31*INDEX([1]!explzaNS,$A$29,T$1)*INDEX(KumIndPPP,NscenInfl,T$1)</f>
        <v>6533527.604713086</v>
      </c>
      <c r="U32" s="21">
        <f>U31*INDEX([1]!explzaNS,$A$29,U$1)*INDEX(KumIndPPP,NscenInfl,U$1)</f>
        <v>8371018.76743731</v>
      </c>
      <c r="V32" s="21">
        <f>V31*INDEX([1]!explzaNS,$A$29,V$1)*INDEX(KumIndPPP,NscenInfl,V$1)</f>
        <v>9244564.1684986558</v>
      </c>
      <c r="W32" s="21">
        <f>W31*INDEX([1]!explzaNS,$A$29,W$1)*INDEX(KumIndPPP,NscenInfl,W$1)</f>
        <v>10551120.856762458</v>
      </c>
      <c r="X32" s="21">
        <f>X31*INDEX([1]!explzaNS,$A$29,X$1)*INDEX(KumIndPPP,NscenInfl,X$1)</f>
        <v>11580740.56381572</v>
      </c>
      <c r="Y32" s="21">
        <f>Y31*INDEX([1]!explzaNS,$A$29,Y$1)*INDEX(KumIndPPP,NscenInfl,Y$1)</f>
        <v>13265570.451155638</v>
      </c>
      <c r="Z32" s="21">
        <f>Z31*INDEX([1]!explzaNS,$A$29,Z$1)*INDEX(KumIndPPP,NscenInfl,Z$1)</f>
        <v>14936613.899479462</v>
      </c>
      <c r="AA32" s="21">
        <f>AA31*INDEX([1]!explzaNS,$A$29,AA$1)*INDEX(KumIndPPP,NscenInfl,AA$1)</f>
        <v>17475980.337106992</v>
      </c>
      <c r="AB32" s="21">
        <f>AB31*INDEX([1]!explzaNS,$A$29,AB$1)*INDEX(KumIndPPP,NscenInfl,AB$1)</f>
        <v>19289328.518992092</v>
      </c>
      <c r="AC32" s="21">
        <f>AC31*INDEX([1]!explzaNS,$A$29,AC$1)*INDEX(KumIndPPP,NscenInfl,AC$1)</f>
        <v>21249107.637727767</v>
      </c>
      <c r="AD32" s="21">
        <f>AD31*INDEX([1]!explzaNS,$A$29,AD$1)*INDEX(KumIndPPP,NscenInfl,AD$1)</f>
        <v>23501015.460754864</v>
      </c>
      <c r="AE32" s="21">
        <f>AE31*INDEX([1]!explzaNS,$A$29,AE$1)*INDEX(KumIndPPP,NscenInfl,AE$1)</f>
        <v>25900708.120472517</v>
      </c>
      <c r="AF32" s="21"/>
      <c r="AG32" s="92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6"/>
    </row>
    <row r="33" spans="1:49" x14ac:dyDescent="0.2">
      <c r="B33" s="9" t="s">
        <v>15</v>
      </c>
      <c r="F33" s="21">
        <f>'Лист1_Базовые цены'!F38*INDEX(KumIndPotrS,NscenInfl,F$1)</f>
        <v>1501118.1900000002</v>
      </c>
      <c r="G33" s="21">
        <f>'Лист1_Базовые цены'!G38*INDEX(KumIndPotrS,NscenInfl,G$1)</f>
        <v>1826415.8397701744</v>
      </c>
      <c r="H33" s="21">
        <f>'Лист1_Базовые цены'!H38*INDEX(KumIndPotrS,NscenInfl,H$1)</f>
        <v>2135906.8101700856</v>
      </c>
      <c r="I33" s="21">
        <f>'Лист1_Базовые цены'!I38*INDEX(KumIndPotrS,NscenInfl,I$1)</f>
        <v>2145763.2855857653</v>
      </c>
      <c r="J33" s="21">
        <f>'Лист1_Базовые цены'!J38*INDEX(KumIndPotrS,NscenInfl,J$1)</f>
        <v>2190588.5885242024</v>
      </c>
      <c r="K33" s="21">
        <f>'Лист1_Базовые цены'!K38*INDEX(KumIndPotrS,NscenInfl,K$1)</f>
        <v>2224760.1969267209</v>
      </c>
      <c r="L33" s="21">
        <f>'Лист1_Базовые цены'!L38*INDEX(KumIndPotrS,NscenInfl,L$1)</f>
        <v>2532237.3728219452</v>
      </c>
      <c r="M33" s="21">
        <f>'Лист1_Базовые цены'!M38*INDEX(KumIndPotrS,NscenInfl,M$1)</f>
        <v>2995590.1382188783</v>
      </c>
      <c r="N33" s="252">
        <f>'Лист1_Базовые цены'!N38*INDEX(KumIndPotrS,NscenInfl,N$1)</f>
        <v>3579505.2025673888</v>
      </c>
      <c r="O33" s="77">
        <f>'Лист1_Базовые цены'!O38*INDEX(KumIndPotrS,NscenInfl,O$1)</f>
        <v>4273116.0071918843</v>
      </c>
      <c r="P33" s="21">
        <f>'Лист1_Базовые цены'!P38*INDEX(KumIndPotrS,NscenInfl,P$1)</f>
        <v>5078230.0944436481</v>
      </c>
      <c r="Q33" s="21">
        <f>'Лист1_Базовые цены'!Q38*INDEX(KumIndPotrS,NscenInfl,Q$1)</f>
        <v>6244798.395017691</v>
      </c>
      <c r="R33" s="21">
        <f>'Лист1_Базовые цены'!R38*INDEX(KumIndPotrS,NscenInfl,R$1)</f>
        <v>7270765.1282159844</v>
      </c>
      <c r="S33" s="21">
        <f>'Лист1_Базовые цены'!S38*INDEX(KumIndPotrS,NscenInfl,S$1)</f>
        <v>8294278.259646262</v>
      </c>
      <c r="T33" s="21">
        <f>'Лист1_Базовые цены'!T38*INDEX(KumIndPotrS,NscenInfl,T$1)</f>
        <v>9515153.1299965922</v>
      </c>
      <c r="U33" s="21">
        <f>'Лист1_Базовые цены'!U38*INDEX(KumIndPotrS,NscenInfl,U$1)</f>
        <v>11858710.29924839</v>
      </c>
      <c r="V33" s="21">
        <f>'Лист1_Базовые цены'!V38*INDEX(KumIndPotrS,NscenInfl,V$1)</f>
        <v>12619982.872345945</v>
      </c>
      <c r="W33" s="21">
        <f>'Лист1_Базовые цены'!W38*INDEX(KumIndPotrS,NscenInfl,W$1)</f>
        <v>14536962.303994572</v>
      </c>
      <c r="X33" s="21">
        <f>'Лист1_Базовые цены'!X38*INDEX(KumIndPotrS,NscenInfl,X$1)</f>
        <v>16101917.098471632</v>
      </c>
      <c r="Y33" s="21">
        <f>'Лист1_Базовые цены'!Y38*INDEX(KumIndPotrS,NscenInfl,Y$1)</f>
        <v>18276835.248819802</v>
      </c>
      <c r="Z33" s="21">
        <f>'Лист1_Базовые цены'!Z38*INDEX(KumIndPotrS,NscenInfl,Z$1)</f>
        <v>20082274.27172653</v>
      </c>
      <c r="AA33" s="21">
        <f>'Лист1_Базовые цены'!AA38*INDEX(KumIndPotrS,NscenInfl,AA$1)</f>
        <v>23278892.177370664</v>
      </c>
      <c r="AB33" s="21">
        <f>'Лист1_Базовые цены'!AB38*INDEX(KumIndPotrS,NscenInfl,AB$1)</f>
        <v>25454229.68496225</v>
      </c>
      <c r="AC33" s="21">
        <f>'Лист1_Базовые цены'!AC38*INDEX(KumIndPotrS,NscenInfl,AC$1)</f>
        <v>27778298.022674266</v>
      </c>
      <c r="AD33" s="21">
        <f>'Лист1_Базовые цены'!AD38*INDEX(KumIndPotrS,NscenInfl,AD$1)</f>
        <v>30658980.102126718</v>
      </c>
      <c r="AE33" s="21">
        <f>'Лист1_Базовые цены'!AE38*INDEX(KumIndPotrS,NscenInfl,AE$1)</f>
        <v>33720099.850937888</v>
      </c>
      <c r="AF33" s="21"/>
      <c r="AG33" s="92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6"/>
    </row>
    <row r="34" spans="1:49" x14ac:dyDescent="0.2">
      <c r="B34" s="9" t="s">
        <v>16</v>
      </c>
      <c r="F34" s="21">
        <f t="shared" ref="F34:AE34" si="5">INDEX(stavkapodna,1,F$1)*0.01*F33</f>
        <v>195145.36470000003</v>
      </c>
      <c r="G34" s="21">
        <f t="shared" si="5"/>
        <v>237434.05917012267</v>
      </c>
      <c r="H34" s="21">
        <f t="shared" si="5"/>
        <v>277667.88532211113</v>
      </c>
      <c r="I34" s="21">
        <f t="shared" si="5"/>
        <v>278949.22712614952</v>
      </c>
      <c r="J34" s="21">
        <f t="shared" si="5"/>
        <v>284776.51650814631</v>
      </c>
      <c r="K34" s="21">
        <f t="shared" si="5"/>
        <v>289218.82560047373</v>
      </c>
      <c r="L34" s="21">
        <f t="shared" si="5"/>
        <v>329190.85846685286</v>
      </c>
      <c r="M34" s="21">
        <f t="shared" si="5"/>
        <v>389426.71796845418</v>
      </c>
      <c r="N34" s="252">
        <f t="shared" si="5"/>
        <v>465335.67633376055</v>
      </c>
      <c r="O34" s="77">
        <f t="shared" si="5"/>
        <v>555505.08093494503</v>
      </c>
      <c r="P34" s="21">
        <f t="shared" si="5"/>
        <v>660169.9122776743</v>
      </c>
      <c r="Q34" s="21">
        <f t="shared" si="5"/>
        <v>811823.79135229986</v>
      </c>
      <c r="R34" s="21">
        <f t="shared" si="5"/>
        <v>945199.46666807798</v>
      </c>
      <c r="S34" s="21">
        <f t="shared" si="5"/>
        <v>1078256.1737540141</v>
      </c>
      <c r="T34" s="21">
        <f t="shared" si="5"/>
        <v>1236969.906899557</v>
      </c>
      <c r="U34" s="21">
        <f t="shared" si="5"/>
        <v>1541632.3389022907</v>
      </c>
      <c r="V34" s="21">
        <f t="shared" si="5"/>
        <v>1640597.7734049729</v>
      </c>
      <c r="W34" s="21">
        <f t="shared" si="5"/>
        <v>1889805.0995192945</v>
      </c>
      <c r="X34" s="21">
        <f t="shared" si="5"/>
        <v>2093249.2228013123</v>
      </c>
      <c r="Y34" s="21">
        <f t="shared" si="5"/>
        <v>2375988.5823465744</v>
      </c>
      <c r="Z34" s="21">
        <f t="shared" si="5"/>
        <v>2610695.6553244488</v>
      </c>
      <c r="AA34" s="21">
        <f t="shared" si="5"/>
        <v>3026255.9830581862</v>
      </c>
      <c r="AB34" s="21">
        <f t="shared" si="5"/>
        <v>3309049.8590450925</v>
      </c>
      <c r="AC34" s="21">
        <f t="shared" si="5"/>
        <v>3611178.7429476548</v>
      </c>
      <c r="AD34" s="21">
        <f t="shared" si="5"/>
        <v>3985667.4132764735</v>
      </c>
      <c r="AE34" s="21">
        <f t="shared" si="5"/>
        <v>4383612.9806219256</v>
      </c>
      <c r="AF34" s="21"/>
      <c r="AG34" s="92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6"/>
    </row>
    <row r="35" spans="1:49" ht="18" x14ac:dyDescent="0.25">
      <c r="A35" s="103"/>
      <c r="B35" s="9" t="s">
        <v>21</v>
      </c>
      <c r="F35" s="21">
        <f>INDEX(KumIndPotrS,NscenInfl,F$1)*'Лист1_Базовые цены'!F40</f>
        <v>193639.56041131107</v>
      </c>
      <c r="G35" s="21">
        <f>INDEX(KumIndPotrS,NscenInfl,G$1)*'Лист1_Базовые цены'!G40</f>
        <v>305286.43452187465</v>
      </c>
      <c r="H35" s="21">
        <f>INDEX(KumIndPotrS,NscenInfl,H$1)*'Лист1_Базовые цены'!H40</f>
        <v>411403.46474269486</v>
      </c>
      <c r="I35" s="21">
        <f>INDEX(KumIndPotrS,NscenInfl,I$1)*'Лист1_Базовые цены'!I40</f>
        <v>488836.6505675537</v>
      </c>
      <c r="J35" s="21">
        <f>INDEX(KumIndPotrS,NscenInfl,J$1)*'Лист1_Базовые цены'!J40</f>
        <v>605903.92654057161</v>
      </c>
      <c r="K35" s="21">
        <f>INDEX(KumIndPotrS,NscenInfl,K$1)*'Лист1_Базовые цены'!K40</f>
        <v>698109.87883102905</v>
      </c>
      <c r="L35" s="21">
        <f>INDEX(KumIndPotrS,NscenInfl,L$1)*'Лист1_Базовые цены'!L40</f>
        <v>838422.17271993263</v>
      </c>
      <c r="M35" s="21">
        <f>INDEX(KumIndPotrS,NscenInfl,M$1)*'Лист1_Базовые цены'!M40</f>
        <v>914579.01847126195</v>
      </c>
      <c r="N35" s="252">
        <f>INDEX(KumIndPotrS,NscenInfl,N$1)*'Лист1_Базовые цены'!N40</f>
        <v>1092853.2288210036</v>
      </c>
      <c r="O35" s="77">
        <f>INDEX(KumIndPotrS,NscenInfl,O$1)*'Лист1_Базовые цены'!O40</f>
        <v>1304618.4769439376</v>
      </c>
      <c r="P35" s="21">
        <f>INDEX(KumIndPotrS,NscenInfl,P$1)*'Лист1_Базовые цены'!P40</f>
        <v>1550426.6208156878</v>
      </c>
      <c r="Q35" s="21">
        <f>INDEX(KumIndPotrS,NscenInfl,Q$1)*'Лист1_Базовые цены'!Q40</f>
        <v>1906589.7947113889</v>
      </c>
      <c r="R35" s="21">
        <f>INDEX(KumIndPotrS,NscenInfl,R$1)*'Лист1_Базовые цены'!R40</f>
        <v>2219826.1202891511</v>
      </c>
      <c r="S35" s="21">
        <f>INDEX(KumIndPotrS,NscenInfl,S$1)*'Лист1_Базовые цены'!S40</f>
        <v>2532313.3404842769</v>
      </c>
      <c r="T35" s="21">
        <f>INDEX(KumIndPotrS,NscenInfl,T$1)*'Лист1_Базовые цены'!T40</f>
        <v>2905056.7696855543</v>
      </c>
      <c r="U35" s="21">
        <f>INDEX(KumIndPotrS,NscenInfl,U$1)*'Лист1_Базовые цены'!U40</f>
        <v>3620564.6050999165</v>
      </c>
      <c r="V35" s="21">
        <f>INDEX(KumIndPotrS,NscenInfl,V$1)*'Лист1_Базовые цены'!V40</f>
        <v>3852987.5637048706</v>
      </c>
      <c r="W35" s="21">
        <f>INDEX(KumIndPotrS,NscenInfl,W$1)*'Лист1_Базовые цены'!W40</f>
        <v>4438257.6060442515</v>
      </c>
      <c r="X35" s="21">
        <f>INDEX(KumIndPotrS,NscenInfl,X$1)*'Лист1_Базовые цены'!X40</f>
        <v>4916051.5477534253</v>
      </c>
      <c r="Y35" s="21">
        <f>INDEX(KumIndPotrS,NscenInfl,Y$1)*'Лист1_Базовые цены'!Y40</f>
        <v>5580072.463639956</v>
      </c>
      <c r="Z35" s="21">
        <f>INDEX(KumIndPotrS,NscenInfl,Z$1)*'Лист1_Базовые цены'!Z40</f>
        <v>6131288.2753135553</v>
      </c>
      <c r="AA35" s="21">
        <f>INDEX(KumIndPotrS,NscenInfl,AA$1)*'Лист1_Базовые цены'!AA40</f>
        <v>7107242.7723162621</v>
      </c>
      <c r="AB35" s="21">
        <f>INDEX(KumIndPotrS,NscenInfl,AB$1)*'Лист1_Базовые цены'!AB40</f>
        <v>7771391.7215178907</v>
      </c>
      <c r="AC35" s="21">
        <f>INDEX(KumIndPotrS,NscenInfl,AC$1)*'Лист1_Базовые цены'!AC40</f>
        <v>8480949.4517448302</v>
      </c>
      <c r="AD35" s="21">
        <f>INDEX(KumIndPotrS,NscenInfl,AD$1)*'Лист1_Базовые цены'!AD40</f>
        <v>9365705.7300216407</v>
      </c>
      <c r="AE35" s="21">
        <f>INDEX(KumIndPotrS,NscenInfl,AE$1)*'Лист1_Базовые цены'!AE40</f>
        <v>10306604.699201295</v>
      </c>
      <c r="AF35" s="21"/>
      <c r="AG35" s="92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6"/>
    </row>
    <row r="36" spans="1:49" ht="18" x14ac:dyDescent="0.25">
      <c r="A36" s="103"/>
      <c r="B36" s="9" t="s">
        <v>22</v>
      </c>
      <c r="F36" s="21">
        <f>INDEX(KumIndPotrS,NscenInfl,F$1)*'Лист1_Базовые цены'!F41</f>
        <v>193639.56041131107</v>
      </c>
      <c r="G36" s="21">
        <f>INDEX(KumIndPotrS,NscenInfl,G$1)*'Лист1_Базовые цены'!G41</f>
        <v>305286.43452187465</v>
      </c>
      <c r="H36" s="21">
        <f>INDEX(KumIndPotrS,NscenInfl,H$1)*'Лист1_Базовые цены'!H41</f>
        <v>411403.46474269486</v>
      </c>
      <c r="I36" s="21">
        <f>INDEX(KumIndPotrS,NscenInfl,I$1)*'Лист1_Базовые цены'!I41</f>
        <v>488836.6505675537</v>
      </c>
      <c r="J36" s="21">
        <f>INDEX(KumIndPotrS,NscenInfl,J$1)*'Лист1_Базовые цены'!J41</f>
        <v>605903.92654057161</v>
      </c>
      <c r="K36" s="21">
        <f>INDEX(KumIndPotrS,NscenInfl,K$1)*'Лист1_Базовые цены'!K41</f>
        <v>698109.87883102905</v>
      </c>
      <c r="L36" s="21">
        <f>INDEX(KumIndPotrS,NscenInfl,L$1)*'Лист1_Базовые цены'!L41</f>
        <v>838422.17271993263</v>
      </c>
      <c r="M36" s="21">
        <f>INDEX(KumIndPotrS,NscenInfl,M$1)*'Лист1_Базовые цены'!M41</f>
        <v>914579.01847126195</v>
      </c>
      <c r="N36" s="252">
        <f>INDEX(KumIndPotrS,NscenInfl,N$1)*'Лист1_Базовые цены'!N41</f>
        <v>1092853.2288210036</v>
      </c>
      <c r="O36" s="77">
        <f>INDEX(KumIndPotrS,NscenInfl,O$1)*'Лист1_Базовые цены'!O41</f>
        <v>1304618.4769439376</v>
      </c>
      <c r="P36" s="21">
        <f>INDEX(KumIndPotrS,NscenInfl,P$1)*'Лист1_Базовые цены'!P41</f>
        <v>1550426.6208156878</v>
      </c>
      <c r="Q36" s="21">
        <f>INDEX(KumIndPotrS,NscenInfl,Q$1)*'Лист1_Базовые цены'!Q41</f>
        <v>1906589.7947113889</v>
      </c>
      <c r="R36" s="21">
        <f>INDEX(KumIndPotrS,NscenInfl,R$1)*'Лист1_Базовые цены'!R41</f>
        <v>2219826.1202891511</v>
      </c>
      <c r="S36" s="21">
        <f>INDEX(KumIndPotrS,NscenInfl,S$1)*'Лист1_Базовые цены'!S41</f>
        <v>2532313.3404842769</v>
      </c>
      <c r="T36" s="21">
        <f>INDEX(KumIndPotrS,NscenInfl,T$1)*'Лист1_Базовые цены'!T41</f>
        <v>2905056.7696855543</v>
      </c>
      <c r="U36" s="21">
        <f>INDEX(KumIndPotrS,NscenInfl,U$1)*'Лист1_Базовые цены'!U41</f>
        <v>3620564.6050999165</v>
      </c>
      <c r="V36" s="21">
        <f>INDEX(KumIndPotrS,NscenInfl,V$1)*'Лист1_Базовые цены'!V41</f>
        <v>3852987.5637048706</v>
      </c>
      <c r="W36" s="21">
        <f>INDEX(KumIndPotrS,NscenInfl,W$1)*'Лист1_Базовые цены'!W41</f>
        <v>4438257.6060442515</v>
      </c>
      <c r="X36" s="21">
        <f>INDEX(KumIndPotrS,NscenInfl,X$1)*'Лист1_Базовые цены'!X41</f>
        <v>4916051.5477534253</v>
      </c>
      <c r="Y36" s="21">
        <f>INDEX(KumIndPotrS,NscenInfl,Y$1)*'Лист1_Базовые цены'!Y41</f>
        <v>5580072.463639956</v>
      </c>
      <c r="Z36" s="21">
        <f>INDEX(KumIndPotrS,NscenInfl,Z$1)*'Лист1_Базовые цены'!Z41</f>
        <v>6131288.2753135553</v>
      </c>
      <c r="AA36" s="21">
        <f>INDEX(KumIndPotrS,NscenInfl,AA$1)*'Лист1_Базовые цены'!AA41</f>
        <v>7107242.7723162621</v>
      </c>
      <c r="AB36" s="21">
        <f>INDEX(KumIndPotrS,NscenInfl,AB$1)*'Лист1_Базовые цены'!AB41</f>
        <v>7771391.7215178907</v>
      </c>
      <c r="AC36" s="21">
        <f>INDEX(KumIndPotrS,NscenInfl,AC$1)*'Лист1_Базовые цены'!AC41</f>
        <v>8480949.4517448302</v>
      </c>
      <c r="AD36" s="21">
        <f>INDEX(KumIndPotrS,NscenInfl,AD$1)*'Лист1_Базовые цены'!AD41</f>
        <v>9365705.7300216407</v>
      </c>
      <c r="AE36" s="21">
        <f>INDEX(KumIndPotrS,NscenInfl,AE$1)*'Лист1_Базовые цены'!AE41</f>
        <v>10306604.699201295</v>
      </c>
      <c r="AF36" s="21"/>
      <c r="AG36" s="92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6"/>
    </row>
    <row r="37" spans="1:49" x14ac:dyDescent="0.2">
      <c r="B37" s="9"/>
      <c r="F37" s="21"/>
      <c r="G37" s="21"/>
      <c r="H37" s="21"/>
      <c r="I37" s="21"/>
      <c r="J37" s="21"/>
      <c r="K37" s="21"/>
      <c r="L37" s="21"/>
      <c r="M37" s="21"/>
      <c r="N37" s="252"/>
      <c r="O37" s="77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0"/>
      <c r="AA37" s="15"/>
      <c r="AB37" s="15"/>
      <c r="AC37" s="15"/>
      <c r="AD37" s="15"/>
      <c r="AE37" s="15"/>
      <c r="AF37" s="15"/>
      <c r="AG37" s="92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6"/>
    </row>
    <row r="38" spans="1:49" ht="13.5" thickBot="1" x14ac:dyDescent="0.25">
      <c r="A38" s="11">
        <v>5</v>
      </c>
      <c r="B38" s="9"/>
      <c r="F38" s="21"/>
      <c r="G38" s="21"/>
      <c r="H38" s="21"/>
      <c r="I38" s="21"/>
      <c r="J38" s="21"/>
      <c r="K38" s="21"/>
      <c r="L38" s="21"/>
      <c r="M38" s="21"/>
      <c r="N38" s="252"/>
      <c r="O38" s="77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0"/>
      <c r="AA38" s="15"/>
      <c r="AB38" s="15"/>
      <c r="AC38" s="15"/>
      <c r="AD38" s="15"/>
      <c r="AE38" s="15"/>
      <c r="AF38" s="15"/>
      <c r="AG38" s="92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6"/>
    </row>
    <row r="39" spans="1:49" x14ac:dyDescent="0.2">
      <c r="A39" s="11" t="str">
        <f>VLOOKUP(A38,spotrnepr,2)</f>
        <v>поликлиники</v>
      </c>
      <c r="B39" s="9"/>
      <c r="F39" s="31">
        <v>2006</v>
      </c>
      <c r="G39" s="31">
        <v>2007</v>
      </c>
      <c r="H39" s="31">
        <v>2008</v>
      </c>
      <c r="I39" s="31">
        <v>2009</v>
      </c>
      <c r="J39" s="31">
        <v>2010</v>
      </c>
      <c r="K39" s="31">
        <v>2011</v>
      </c>
      <c r="L39" s="31">
        <v>2012</v>
      </c>
      <c r="M39" s="31">
        <v>2013</v>
      </c>
      <c r="N39" s="287">
        <v>2014</v>
      </c>
      <c r="O39" s="282">
        <v>2015</v>
      </c>
      <c r="P39" s="31">
        <v>2016</v>
      </c>
      <c r="Q39" s="31">
        <v>2017</v>
      </c>
      <c r="R39" s="31">
        <v>2018</v>
      </c>
      <c r="S39" s="31">
        <v>2019</v>
      </c>
      <c r="T39" s="31">
        <v>2020</v>
      </c>
      <c r="U39" s="31">
        <v>2021</v>
      </c>
      <c r="V39" s="31">
        <v>2022</v>
      </c>
      <c r="W39" s="31">
        <v>2023</v>
      </c>
      <c r="X39" s="31">
        <v>2024</v>
      </c>
      <c r="Y39" s="31">
        <v>2025</v>
      </c>
      <c r="Z39" s="31">
        <v>2026</v>
      </c>
      <c r="AA39" s="31">
        <v>2027</v>
      </c>
      <c r="AB39" s="31">
        <v>2028</v>
      </c>
      <c r="AC39" s="31">
        <v>2029</v>
      </c>
      <c r="AD39" s="31">
        <v>2030</v>
      </c>
      <c r="AE39" s="31">
        <v>2031</v>
      </c>
      <c r="AF39" s="383"/>
      <c r="AG39" s="92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6"/>
    </row>
    <row r="40" spans="1:49" x14ac:dyDescent="0.2">
      <c r="B40" s="9" t="s">
        <v>9</v>
      </c>
      <c r="F40" s="21">
        <f>'Лист1_Базовые цены'!F46</f>
        <v>25612</v>
      </c>
      <c r="G40" s="21">
        <f>'Лист1_Базовые цены'!G46</f>
        <v>26821.043999999998</v>
      </c>
      <c r="H40" s="21">
        <f>'Лист1_Базовые цены'!H46</f>
        <v>28289.812433999996</v>
      </c>
      <c r="I40" s="21">
        <f>'Лист1_Базовые цены'!I46</f>
        <v>27048.627439279993</v>
      </c>
      <c r="J40" s="21">
        <f>'Лист1_Базовые цены'!J46</f>
        <v>27474.141164887194</v>
      </c>
      <c r="K40" s="21">
        <f>'Лист1_Базовые цены'!K46</f>
        <v>28447.770459062762</v>
      </c>
      <c r="L40" s="21">
        <f>'Лист1_Базовые цены'!L46</f>
        <v>28420.559879032771</v>
      </c>
      <c r="M40" s="21">
        <f>'Лист1_Базовые цены'!M46</f>
        <v>27049.531885081135</v>
      </c>
      <c r="N40" s="252">
        <f>'Лист1_Базовые цены'!N46</f>
        <v>26480.729692581252</v>
      </c>
      <c r="O40" s="77">
        <f>'Лист1_Базовые цены'!O46</f>
        <v>27302.791294093044</v>
      </c>
      <c r="P40" s="21">
        <f>'Лист1_Базовые цены'!P46</f>
        <v>28049.721805747828</v>
      </c>
      <c r="Q40" s="21">
        <f>'Лист1_Базовые цены'!Q46</f>
        <v>28769.822199344813</v>
      </c>
      <c r="R40" s="21">
        <f>'Лист1_Базовые цены'!R46</f>
        <v>29489.701092187624</v>
      </c>
      <c r="S40" s="21">
        <f>'Лист1_Базовые цены'!S46</f>
        <v>29056.531714904602</v>
      </c>
      <c r="T40" s="21">
        <f>'Лист1_Базовые цены'!T46</f>
        <v>29618.074952227507</v>
      </c>
      <c r="U40" s="21">
        <f>'Лист1_Базовые цены'!U46</f>
        <v>31178.894202705233</v>
      </c>
      <c r="V40" s="21">
        <f>'Лист1_Базовые цены'!V46</f>
        <v>32192.105260678181</v>
      </c>
      <c r="W40" s="21">
        <f>'Лист1_Базовые цены'!W46</f>
        <v>32998.975688019898</v>
      </c>
      <c r="X40" s="21">
        <f>'Лист1_Базовые цены'!X46</f>
        <v>33731.982324316334</v>
      </c>
      <c r="Y40" s="21">
        <f>'Лист1_Базовые цены'!Y46</f>
        <v>34527.209935310464</v>
      </c>
      <c r="Z40" s="21">
        <f>'Лист1_Базовые цены'!Z46</f>
        <v>35352.598006700864</v>
      </c>
      <c r="AA40" s="21">
        <f>'Лист1_Базовые цены'!AA46</f>
        <v>37036.072026633854</v>
      </c>
      <c r="AB40" s="21">
        <f>'Лист1_Базовые цены'!AB46</f>
        <v>38157.711306367521</v>
      </c>
      <c r="AC40" s="21">
        <f>'Лист1_Базовые цены'!AC46</f>
        <v>39109.134193303849</v>
      </c>
      <c r="AD40" s="21">
        <f>'Лист1_Базовые цены'!AD46</f>
        <v>40263.04285137081</v>
      </c>
      <c r="AE40" s="21">
        <f>'Лист1_Базовые цены'!AE46</f>
        <v>41333.412422857102</v>
      </c>
      <c r="AF40" s="21"/>
      <c r="AG40" s="92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 spans="1:49" x14ac:dyDescent="0.2">
      <c r="B41" s="9" t="s">
        <v>14</v>
      </c>
      <c r="F41" s="21">
        <f>F40*INDEX([1]!explzaNS,$A$38,F$1)*INDEX(KumIndPPP,NscenInfl,F$1)</f>
        <v>439706.81599999999</v>
      </c>
      <c r="G41" s="21">
        <f t="shared" ref="G41:AE41" si="6">G40*INDEX(explzaNS,$A$38,G$1)*INDEX(KumIndPPP,NscenInfl,G$1)</f>
        <v>454880.56123087194</v>
      </c>
      <c r="H41" s="21">
        <f t="shared" si="6"/>
        <v>857865.65704467369</v>
      </c>
      <c r="I41" s="21">
        <f t="shared" si="6"/>
        <v>882565.03426563041</v>
      </c>
      <c r="J41" s="21">
        <f t="shared" si="6"/>
        <v>1057297.6209550046</v>
      </c>
      <c r="K41" s="21">
        <f t="shared" si="6"/>
        <v>1139677.0324450107</v>
      </c>
      <c r="L41" s="21">
        <f t="shared" si="6"/>
        <v>1279430.1218266645</v>
      </c>
      <c r="M41" s="21">
        <f t="shared" si="6"/>
        <v>1312767.7533331839</v>
      </c>
      <c r="N41" s="252">
        <f t="shared" si="6"/>
        <v>1478284.3864801116</v>
      </c>
      <c r="O41" s="77">
        <f t="shared" si="6"/>
        <v>1737560.5288213415</v>
      </c>
      <c r="P41" s="21">
        <f t="shared" si="6"/>
        <v>2088561.7168973666</v>
      </c>
      <c r="Q41" s="21">
        <f t="shared" si="6"/>
        <v>2527772.2397059775</v>
      </c>
      <c r="R41" s="21">
        <f t="shared" si="6"/>
        <v>2979675.5207864996</v>
      </c>
      <c r="S41" s="21">
        <f t="shared" si="6"/>
        <v>3317575.5386295682</v>
      </c>
      <c r="T41" s="21">
        <f t="shared" si="6"/>
        <v>3753676.5963285575</v>
      </c>
      <c r="U41" s="21">
        <f t="shared" si="6"/>
        <v>4346637.4577874616</v>
      </c>
      <c r="V41" s="21">
        <f t="shared" si="6"/>
        <v>4936677.6970190238</v>
      </c>
      <c r="W41" s="21">
        <f t="shared" si="6"/>
        <v>5465244.6760823019</v>
      </c>
      <c r="X41" s="21">
        <f t="shared" si="6"/>
        <v>6089442.2004036568</v>
      </c>
      <c r="Y41" s="21">
        <f t="shared" si="6"/>
        <v>6856300.1113570333</v>
      </c>
      <c r="Z41" s="21">
        <f t="shared" si="6"/>
        <v>7792425.2940131389</v>
      </c>
      <c r="AA41" s="21">
        <f t="shared" si="6"/>
        <v>8816576.6586165521</v>
      </c>
      <c r="AB41" s="21">
        <f t="shared" si="6"/>
        <v>9719438.2187878639</v>
      </c>
      <c r="AC41" s="21">
        <f t="shared" si="6"/>
        <v>10659107.07451093</v>
      </c>
      <c r="AD41" s="21">
        <f t="shared" si="6"/>
        <v>11741754.46000783</v>
      </c>
      <c r="AE41" s="21">
        <f t="shared" si="6"/>
        <v>12897675.323666824</v>
      </c>
      <c r="AF41" s="21"/>
      <c r="AG41" s="92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6"/>
    </row>
    <row r="42" spans="1:49" x14ac:dyDescent="0.2">
      <c r="B42" s="9" t="s">
        <v>15</v>
      </c>
      <c r="F42" s="21">
        <f>'Лист1_Базовые цены'!F48*INDEX(KumIndPotrS,NscenInfl,F$1)</f>
        <v>264903.21000000002</v>
      </c>
      <c r="G42" s="21">
        <f>'Лист1_Базовые цены'!G48*INDEX(KumIndPotrS,NscenInfl,G$1)</f>
        <v>336601.64126553951</v>
      </c>
      <c r="H42" s="21">
        <f>'Лист1_Базовые цены'!H48*INDEX(KumIndPotrS,NscenInfl,H$1)</f>
        <v>450609.8900702981</v>
      </c>
      <c r="I42" s="21">
        <f>'Лист1_Базовые цены'!I48*INDEX(KumIndPotrS,NscenInfl,I$1)</f>
        <v>467960.59174344566</v>
      </c>
      <c r="J42" s="21">
        <f>'Лист1_Базовые цены'!J48*INDEX(KumIndPotrS,NscenInfl,J$1)</f>
        <v>499020.43575285078</v>
      </c>
      <c r="K42" s="21">
        <f>'Лист1_Базовые цены'!K48*INDEX(KumIndPotrS,NscenInfl,K$1)</f>
        <v>584794.28184821724</v>
      </c>
      <c r="L42" s="21">
        <f>'Лист1_Базовые цены'!L48*INDEX(KumIndPotrS,NscenInfl,L$1)</f>
        <v>701081.90424695064</v>
      </c>
      <c r="M42" s="21">
        <f>'Лист1_Базовые цены'!M48*INDEX(KumIndPotrS,NscenInfl,M$1)</f>
        <v>852611.55282000604</v>
      </c>
      <c r="N42" s="252">
        <f>'Лист1_Базовые цены'!N48*INDEX(KumIndPotrS,NscenInfl,N$1)</f>
        <v>926497.78696357703</v>
      </c>
      <c r="O42" s="27">
        <f>'Лист1_Базовые цены'!O48*INDEX(KumIndPotrS,NscenInfl,O$1)</f>
        <v>1098548.7336038675</v>
      </c>
      <c r="P42" s="21">
        <f>'Лист1_Базовые цены'!P48*INDEX(KumIndPotrS,NscenInfl,P$1)</f>
        <v>1314821.3943265604</v>
      </c>
      <c r="Q42" s="21">
        <f>'Лист1_Базовые цены'!Q48*INDEX(KumIndPotrS,NscenInfl,Q$1)</f>
        <v>1577833.7575232035</v>
      </c>
      <c r="R42" s="21">
        <f>'Лист1_Базовые цены'!R48*INDEX(KumIndPotrS,NscenInfl,R$1)</f>
        <v>1843738.3428557885</v>
      </c>
      <c r="S42" s="21">
        <f>'Лист1_Базовые цены'!S48*INDEX(KumIndPotrS,NscenInfl,S$1)</f>
        <v>2016488.1301078256</v>
      </c>
      <c r="T42" s="21">
        <f>'Лист1_Базовые цены'!T48*INDEX(KumIndPotrS,NscenInfl,T$1)</f>
        <v>2240449.8206653004</v>
      </c>
      <c r="U42" s="21">
        <f>'Лист1_Базовые цены'!U48*INDEX(KumIndPotrS,NscenInfl,U$1)</f>
        <v>2523613.7189976783</v>
      </c>
      <c r="V42" s="21">
        <f>'Лист1_Базовые цены'!V48*INDEX(KumIndPotrS,NscenInfl,V$1)</f>
        <v>2761960.1974385912</v>
      </c>
      <c r="W42" s="21">
        <f>'Лист1_Базовые цены'!W48*INDEX(KumIndPotrS,NscenInfl,W$1)</f>
        <v>3085993.4064173033</v>
      </c>
      <c r="X42" s="21">
        <f>'Лист1_Базовые цены'!X48*INDEX(KumIndPotrS,NscenInfl,X$1)</f>
        <v>3469996.8758005616</v>
      </c>
      <c r="Y42" s="21">
        <f>'Лист1_Базовые цены'!Y48*INDEX(KumIndPotrS,NscenInfl,Y$1)</f>
        <v>3871463.8026477625</v>
      </c>
      <c r="Z42" s="21">
        <f>'Лист1_Базовые цены'!Z48*INDEX(KumIndPotrS,NscenInfl,Z$1)</f>
        <v>4293818.7082739938</v>
      </c>
      <c r="AA42" s="21">
        <f>'Лист1_Базовые цены'!AA48*INDEX(KumIndPotrS,NscenInfl,AA$1)</f>
        <v>4813168.5100800022</v>
      </c>
      <c r="AB42" s="21">
        <f>'Лист1_Базовые цены'!AB48*INDEX(KumIndPotrS,NscenInfl,AB$1)</f>
        <v>5256471.6907647131</v>
      </c>
      <c r="AC42" s="21">
        <f>'Лист1_Базовые цены'!AC48*INDEX(KumIndPotrS,NscenInfl,AC$1)</f>
        <v>5710788.5321544837</v>
      </c>
      <c r="AD42" s="21">
        <f>'Лист1_Базовые цены'!AD48*INDEX(KumIndPotrS,NscenInfl,AD$1)</f>
        <v>6281427.4754992062</v>
      </c>
      <c r="AE42" s="21">
        <f>'Лист1_Базовые цены'!AE48*INDEX(KumIndPotrS,NscenInfl,AE$1)</f>
        <v>6889487.1958031207</v>
      </c>
      <c r="AF42" s="21"/>
      <c r="AG42" s="92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6"/>
    </row>
    <row r="43" spans="1:49" x14ac:dyDescent="0.2">
      <c r="B43" s="9" t="s">
        <v>16</v>
      </c>
      <c r="F43" s="21">
        <f t="shared" ref="F43:AE43" si="7">INDEX(stavkapodna,1,F$1)*0.01*F42</f>
        <v>34437.417300000001</v>
      </c>
      <c r="G43" s="21">
        <f t="shared" si="7"/>
        <v>43758.213364520139</v>
      </c>
      <c r="H43" s="21">
        <f t="shared" si="7"/>
        <v>58579.285709138756</v>
      </c>
      <c r="I43" s="21">
        <f t="shared" si="7"/>
        <v>60834.876926647936</v>
      </c>
      <c r="J43" s="21">
        <f t="shared" si="7"/>
        <v>64872.656647870601</v>
      </c>
      <c r="K43" s="21">
        <f t="shared" si="7"/>
        <v>76023.256640268242</v>
      </c>
      <c r="L43" s="21">
        <f t="shared" si="7"/>
        <v>91140.64755210359</v>
      </c>
      <c r="M43" s="21">
        <f t="shared" si="7"/>
        <v>110839.50186660078</v>
      </c>
      <c r="N43" s="252">
        <f t="shared" si="7"/>
        <v>120444.71230526501</v>
      </c>
      <c r="O43" s="77">
        <f t="shared" si="7"/>
        <v>142811.33536850277</v>
      </c>
      <c r="P43" s="21">
        <f t="shared" si="7"/>
        <v>170926.78126245286</v>
      </c>
      <c r="Q43" s="21">
        <f t="shared" si="7"/>
        <v>205118.38847801645</v>
      </c>
      <c r="R43" s="21">
        <f t="shared" si="7"/>
        <v>239685.98457125251</v>
      </c>
      <c r="S43" s="21">
        <f t="shared" si="7"/>
        <v>262143.45691401733</v>
      </c>
      <c r="T43" s="21">
        <f t="shared" si="7"/>
        <v>291258.47668648907</v>
      </c>
      <c r="U43" s="21">
        <f t="shared" si="7"/>
        <v>328069.78346969816</v>
      </c>
      <c r="V43" s="21">
        <f t="shared" si="7"/>
        <v>359054.82566701685</v>
      </c>
      <c r="W43" s="21">
        <f t="shared" si="7"/>
        <v>401179.14283424942</v>
      </c>
      <c r="X43" s="21">
        <f t="shared" si="7"/>
        <v>451099.59385407303</v>
      </c>
      <c r="Y43" s="21">
        <f t="shared" si="7"/>
        <v>503290.29434420913</v>
      </c>
      <c r="Z43" s="21">
        <f t="shared" si="7"/>
        <v>558196.43207561923</v>
      </c>
      <c r="AA43" s="21">
        <f t="shared" si="7"/>
        <v>625711.90631040034</v>
      </c>
      <c r="AB43" s="21">
        <f t="shared" si="7"/>
        <v>683341.31979941274</v>
      </c>
      <c r="AC43" s="21">
        <f t="shared" si="7"/>
        <v>742402.50918008294</v>
      </c>
      <c r="AD43" s="21">
        <f t="shared" si="7"/>
        <v>816585.57181489689</v>
      </c>
      <c r="AE43" s="21">
        <f t="shared" si="7"/>
        <v>895633.33545440575</v>
      </c>
      <c r="AF43" s="21"/>
      <c r="AG43" s="92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6"/>
    </row>
    <row r="44" spans="1:49" ht="18" x14ac:dyDescent="0.25">
      <c r="A44" s="103"/>
      <c r="B44" s="9" t="s">
        <v>21</v>
      </c>
      <c r="F44" s="21">
        <f>INDEX(KumIndPotrS,NscenInfl,F$1)*'Лист1_Базовые цены'!F50</f>
        <v>290077.00687177881</v>
      </c>
      <c r="G44" s="21">
        <f>INDEX(KumIndPotrS,NscenInfl,G$1)*'Лист1_Базовые цены'!G50</f>
        <v>302306.0520537406</v>
      </c>
      <c r="H44" s="21">
        <f>INDEX(KumIndPotrS,NscenInfl,H$1)*'Лист1_Базовые цены'!H50</f>
        <v>403390.72460684122</v>
      </c>
      <c r="I44" s="21">
        <f>INDEX(KumIndPotrS,NscenInfl,I$1)*'Лист1_Базовые цены'!I50</f>
        <v>485152.7776954252</v>
      </c>
      <c r="J44" s="21">
        <f>INDEX(KumIndPotrS,NscenInfl,J$1)*'Лист1_Базовые цены'!J50</f>
        <v>605233.01781654905</v>
      </c>
      <c r="K44" s="21">
        <f>INDEX(KumIndPotrS,NscenInfl,K$1)*'Лист1_Базовые цены'!K50</f>
        <v>686114.60746534623</v>
      </c>
      <c r="L44" s="21">
        <f>INDEX(KumIndPotrS,NscenInfl,L$1)*'Лист1_Базовые цены'!L50</f>
        <v>825266.47240065923</v>
      </c>
      <c r="M44" s="21">
        <f>INDEX(KumIndPotrS,NscenInfl,M$1)*'Лист1_Базовые цены'!M50</f>
        <v>860073.25964109413</v>
      </c>
      <c r="N44" s="252">
        <f>INDEX(KumIndPotrS,NscenInfl,N$1)*'Лист1_Базовые цены'!N50</f>
        <v>934606.11581960006</v>
      </c>
      <c r="O44" s="77">
        <f>INDEX(KumIndPotrS,NscenInfl,O$1)*'Лист1_Базовые цены'!O50</f>
        <v>1108162.7818204532</v>
      </c>
      <c r="P44" s="21">
        <f>INDEX(KumIndPotrS,NscenInfl,P$1)*'Лист1_Базовые цены'!P50</f>
        <v>1326328.1722186848</v>
      </c>
      <c r="Q44" s="21">
        <f>INDEX(KumIndPotrS,NscenInfl,Q$1)*'Лист1_Базовые цены'!Q50</f>
        <v>1591642.3118081107</v>
      </c>
      <c r="R44" s="21">
        <f>INDEX(KumIndPotrS,NscenInfl,R$1)*'Лист1_Базовые цены'!R50</f>
        <v>1859873.9850760775</v>
      </c>
      <c r="S44" s="21">
        <f>INDEX(KumIndPotrS,NscenInfl,S$1)*'Лист1_Базовые цены'!S50</f>
        <v>2034135.6076552533</v>
      </c>
      <c r="T44" s="21">
        <f>INDEX(KumIndPotrS,NscenInfl,T$1)*'Лист1_Базовые цены'!T50</f>
        <v>2260057.3191256141</v>
      </c>
      <c r="U44" s="21">
        <f>INDEX(KumIndPotrS,NscenInfl,U$1)*'Лист1_Базовые цены'!U50</f>
        <v>2545699.3518260806</v>
      </c>
      <c r="V44" s="21">
        <f>INDEX(KumIndPotrS,NscenInfl,V$1)*'Лист1_Базовые цены'!V50</f>
        <v>2786131.7409470472</v>
      </c>
      <c r="W44" s="21">
        <f>INDEX(KumIndPotrS,NscenInfl,W$1)*'Лист1_Базовые цены'!W50</f>
        <v>3113000.7557481169</v>
      </c>
      <c r="X44" s="21">
        <f>INDEX(KumIndPotrS,NscenInfl,X$1)*'Лист1_Базовые цены'!X50</f>
        <v>3500364.8660907219</v>
      </c>
      <c r="Y44" s="21">
        <f>INDEX(KumIndPotrS,NscenInfl,Y$1)*'Лист1_Базовые цены'!Y50</f>
        <v>3905345.2669186443</v>
      </c>
      <c r="Z44" s="21">
        <f>INDEX(KumIndPotrS,NscenInfl,Z$1)*'Лист1_Базовые цены'!Z50</f>
        <v>4331396.4495537998</v>
      </c>
      <c r="AA44" s="21">
        <f>INDEX(KumIndPotrS,NscenInfl,AA$1)*'Лист1_Базовые цены'!AA50</f>
        <v>4855291.3879414676</v>
      </c>
      <c r="AB44" s="21">
        <f>INDEX(KumIndPotrS,NscenInfl,AB$1)*'Лист1_Базовые цены'!AB50</f>
        <v>5302474.1763516236</v>
      </c>
      <c r="AC44" s="21">
        <f>INDEX(KumIndPotrS,NscenInfl,AC$1)*'Лист1_Базовые цены'!AC50</f>
        <v>5760767.012510784</v>
      </c>
      <c r="AD44" s="21">
        <f>INDEX(KumIndPotrS,NscenInfl,AD$1)*'Лист1_Базовые цены'!AD50</f>
        <v>6339958.396485311</v>
      </c>
      <c r="AE44" s="21">
        <f>INDEX(KumIndPotrS,NscenInfl,AE$1)*'Лист1_Базовые цены'!AE50</f>
        <v>6957589.1748876534</v>
      </c>
      <c r="AF44" s="21"/>
      <c r="AG44" s="92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6"/>
    </row>
    <row r="45" spans="1:49" ht="18" x14ac:dyDescent="0.25">
      <c r="A45" s="103"/>
      <c r="B45" s="9" t="s">
        <v>22</v>
      </c>
      <c r="F45" s="21">
        <f>INDEX(KumIndPotrS,NscenInfl,F$1)*'Лист1_Базовые цены'!F51</f>
        <v>290077.00687177881</v>
      </c>
      <c r="G45" s="21">
        <f>INDEX(KumIndPotrS,NscenInfl,G$1)*'Лист1_Базовые цены'!G51</f>
        <v>302306.0520537406</v>
      </c>
      <c r="H45" s="21">
        <f>INDEX(KumIndPotrS,NscenInfl,H$1)*'Лист1_Базовые цены'!H51</f>
        <v>403390.72460684122</v>
      </c>
      <c r="I45" s="21">
        <f>INDEX(KumIndPotrS,NscenInfl,I$1)*'Лист1_Базовые цены'!I51</f>
        <v>485152.7776954252</v>
      </c>
      <c r="J45" s="21">
        <f>INDEX(KumIndPotrS,NscenInfl,J$1)*'Лист1_Базовые цены'!J51</f>
        <v>605233.01781654905</v>
      </c>
      <c r="K45" s="21">
        <f>INDEX(KumIndPotrS,NscenInfl,K$1)*'Лист1_Базовые цены'!K51</f>
        <v>686114.60746534623</v>
      </c>
      <c r="L45" s="21">
        <f>INDEX(KumIndPotrS,NscenInfl,L$1)*'Лист1_Базовые цены'!L51</f>
        <v>825266.47240065923</v>
      </c>
      <c r="M45" s="21">
        <f>INDEX(KumIndPotrS,NscenInfl,M$1)*'Лист1_Базовые цены'!M51</f>
        <v>860073.25964109413</v>
      </c>
      <c r="N45" s="252">
        <f>INDEX(KumIndPotrS,NscenInfl,N$1)*'Лист1_Базовые цены'!N51</f>
        <v>934606.11581960006</v>
      </c>
      <c r="O45" s="77">
        <f>INDEX(KumIndPotrS,NscenInfl,O$1)*'Лист1_Базовые цены'!O51</f>
        <v>1108162.7818204532</v>
      </c>
      <c r="P45" s="21">
        <f>INDEX(KumIndPotrS,NscenInfl,P$1)*'Лист1_Базовые цены'!P51</f>
        <v>1326328.1722186848</v>
      </c>
      <c r="Q45" s="21">
        <f>INDEX(KumIndPotrS,NscenInfl,Q$1)*'Лист1_Базовые цены'!Q51</f>
        <v>1591642.3118081107</v>
      </c>
      <c r="R45" s="21">
        <f>INDEX(KumIndPotrS,NscenInfl,R$1)*'Лист1_Базовые цены'!R51</f>
        <v>1859873.9850760775</v>
      </c>
      <c r="S45" s="21">
        <f>INDEX(KumIndPotrS,NscenInfl,S$1)*'Лист1_Базовые цены'!S51</f>
        <v>2034135.6076552533</v>
      </c>
      <c r="T45" s="21">
        <f>INDEX(KumIndPotrS,NscenInfl,T$1)*'Лист1_Базовые цены'!T51</f>
        <v>2260057.3191256141</v>
      </c>
      <c r="U45" s="21">
        <f>INDEX(KumIndPotrS,NscenInfl,U$1)*'Лист1_Базовые цены'!U51</f>
        <v>2545699.3518260806</v>
      </c>
      <c r="V45" s="21">
        <f>INDEX(KumIndPotrS,NscenInfl,V$1)*'Лист1_Базовые цены'!V51</f>
        <v>2786131.7409470472</v>
      </c>
      <c r="W45" s="21">
        <f>INDEX(KumIndPotrS,NscenInfl,W$1)*'Лист1_Базовые цены'!W51</f>
        <v>3113000.7557481169</v>
      </c>
      <c r="X45" s="21">
        <f>INDEX(KumIndPotrS,NscenInfl,X$1)*'Лист1_Базовые цены'!X51</f>
        <v>3500364.8660907219</v>
      </c>
      <c r="Y45" s="21">
        <f>INDEX(KumIndPotrS,NscenInfl,Y$1)*'Лист1_Базовые цены'!Y51</f>
        <v>3905345.2669186443</v>
      </c>
      <c r="Z45" s="21">
        <f>INDEX(KumIndPotrS,NscenInfl,Z$1)*'Лист1_Базовые цены'!Z51</f>
        <v>4331396.4495537998</v>
      </c>
      <c r="AA45" s="21">
        <f>INDEX(KumIndPotrS,NscenInfl,AA$1)*'Лист1_Базовые цены'!AA51</f>
        <v>4855291.3879414676</v>
      </c>
      <c r="AB45" s="21">
        <f>INDEX(KumIndPotrS,NscenInfl,AB$1)*'Лист1_Базовые цены'!AB51</f>
        <v>5302474.1763516236</v>
      </c>
      <c r="AC45" s="21">
        <f>INDEX(KumIndPotrS,NscenInfl,AC$1)*'Лист1_Базовые цены'!AC51</f>
        <v>5760767.012510784</v>
      </c>
      <c r="AD45" s="21">
        <f>INDEX(KumIndPotrS,NscenInfl,AD$1)*'Лист1_Базовые цены'!AD51</f>
        <v>6339958.396485311</v>
      </c>
      <c r="AE45" s="21">
        <f>INDEX(KumIndPotrS,NscenInfl,AE$1)*'Лист1_Базовые цены'!AE51</f>
        <v>6957589.1748876534</v>
      </c>
      <c r="AF45" s="21"/>
      <c r="AG45" s="92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6"/>
    </row>
    <row r="46" spans="1:49" x14ac:dyDescent="0.2">
      <c r="F46" s="21"/>
      <c r="G46" s="21"/>
      <c r="H46" s="21"/>
      <c r="I46" s="21"/>
      <c r="J46" s="21"/>
      <c r="K46" s="21"/>
      <c r="L46" s="21"/>
      <c r="M46" s="21"/>
      <c r="N46" s="252"/>
      <c r="O46" s="77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49" x14ac:dyDescent="0.2">
      <c r="F47" s="21"/>
      <c r="G47" s="21"/>
      <c r="H47" s="21"/>
      <c r="I47" s="21"/>
      <c r="J47" s="21"/>
      <c r="K47" s="21"/>
      <c r="L47" s="21"/>
      <c r="M47" s="21"/>
      <c r="N47" s="252"/>
      <c r="O47" s="77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49" ht="13.5" thickBot="1" x14ac:dyDescent="0.25">
      <c r="A48" s="11">
        <v>6</v>
      </c>
      <c r="B48" s="9"/>
      <c r="F48" s="21"/>
      <c r="G48" s="21"/>
      <c r="H48" s="21"/>
      <c r="I48" s="21"/>
      <c r="J48" s="21"/>
      <c r="K48" s="21"/>
      <c r="L48" s="21"/>
      <c r="M48" s="21"/>
      <c r="N48" s="252"/>
      <c r="O48" s="77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0"/>
      <c r="AA48" s="15"/>
      <c r="AB48" s="15"/>
      <c r="AC48" s="15"/>
      <c r="AD48" s="15"/>
      <c r="AE48" s="15"/>
      <c r="AF48" s="15"/>
      <c r="AG48" s="92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6"/>
    </row>
    <row r="49" spans="1:49" x14ac:dyDescent="0.2">
      <c r="A49" s="11" t="str">
        <f>VLOOKUP(A48,spotrnepr,2)</f>
        <v>культура</v>
      </c>
      <c r="B49" s="9"/>
      <c r="F49" s="31">
        <v>2006</v>
      </c>
      <c r="G49" s="31">
        <v>2007</v>
      </c>
      <c r="H49" s="31">
        <v>2008</v>
      </c>
      <c r="I49" s="31">
        <v>2009</v>
      </c>
      <c r="J49" s="31">
        <v>2010</v>
      </c>
      <c r="K49" s="31">
        <v>2011</v>
      </c>
      <c r="L49" s="31">
        <v>2012</v>
      </c>
      <c r="M49" s="31">
        <v>2013</v>
      </c>
      <c r="N49" s="287">
        <v>2014</v>
      </c>
      <c r="O49" s="282">
        <v>2015</v>
      </c>
      <c r="P49" s="31">
        <v>2016</v>
      </c>
      <c r="Q49" s="31">
        <v>2017</v>
      </c>
      <c r="R49" s="31">
        <v>2018</v>
      </c>
      <c r="S49" s="31">
        <v>2019</v>
      </c>
      <c r="T49" s="31">
        <v>2020</v>
      </c>
      <c r="U49" s="31">
        <v>2021</v>
      </c>
      <c r="V49" s="31">
        <v>2022</v>
      </c>
      <c r="W49" s="31">
        <v>2023</v>
      </c>
      <c r="X49" s="31">
        <v>2024</v>
      </c>
      <c r="Y49" s="31">
        <v>2025</v>
      </c>
      <c r="Z49" s="31">
        <v>2026</v>
      </c>
      <c r="AA49" s="31">
        <v>2027</v>
      </c>
      <c r="AB49" s="31">
        <v>2028</v>
      </c>
      <c r="AC49" s="31">
        <v>2029</v>
      </c>
      <c r="AD49" s="31">
        <v>2030</v>
      </c>
      <c r="AE49" s="31">
        <v>2031</v>
      </c>
      <c r="AF49" s="383"/>
      <c r="AG49" s="92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6"/>
    </row>
    <row r="50" spans="1:49" x14ac:dyDescent="0.2">
      <c r="B50" s="9" t="s">
        <v>9</v>
      </c>
      <c r="F50" s="21">
        <f>'Лист1_Базовые цены'!F58</f>
        <v>125500</v>
      </c>
      <c r="G50" s="21">
        <f>'Лист1_Базовые цены'!G58</f>
        <v>128275</v>
      </c>
      <c r="H50" s="21">
        <f>'Лист1_Базовые цены'!H58</f>
        <v>131475.17499999999</v>
      </c>
      <c r="I50" s="21">
        <f>'Лист1_Базовые цены'!I58</f>
        <v>132811.79912500002</v>
      </c>
      <c r="J50" s="21">
        <f>'Лист1_Базовые цены'!J58</f>
        <v>136033.17552675001</v>
      </c>
      <c r="K50" s="21">
        <f>'Лист1_Базовые цены'!K58</f>
        <v>142777.1091756965</v>
      </c>
      <c r="L50" s="21">
        <f>'Лист1_Базовые цены'!L58</f>
        <v>148693.33808393954</v>
      </c>
      <c r="M50" s="21">
        <f>'Лист1_Базовые цены'!M58</f>
        <v>155102.40470310015</v>
      </c>
      <c r="N50" s="252">
        <f>'Лист1_Базовые цены'!N58</f>
        <v>158263.38065606914</v>
      </c>
      <c r="O50" s="77">
        <f>'Лист1_Базовые цены'!O58</f>
        <v>158533.40315999518</v>
      </c>
      <c r="P50" s="21">
        <f>'Лист1_Базовые цены'!P58</f>
        <v>164491.06912839523</v>
      </c>
      <c r="Q50" s="21">
        <f>'Лист1_Базовые цены'!Q58</f>
        <v>164480.05227722609</v>
      </c>
      <c r="R50" s="21">
        <f>'Лист1_Базовые цены'!R58</f>
        <v>168616.75029649184</v>
      </c>
      <c r="S50" s="21">
        <f>'Лист1_Базовые цены'!S58</f>
        <v>171431.35312555547</v>
      </c>
      <c r="T50" s="21">
        <f>'Лист1_Базовые цены'!T58</f>
        <v>194335.03959429992</v>
      </c>
      <c r="U50" s="21">
        <f>'Лист1_Базовые цены'!U58</f>
        <v>196773.58674072404</v>
      </c>
      <c r="V50" s="21">
        <f>'Лист1_Базовые цены'!V58</f>
        <v>214061.85087331678</v>
      </c>
      <c r="W50" s="21">
        <f>'Лист1_Базовые цены'!W58</f>
        <v>212735.9108469316</v>
      </c>
      <c r="X50" s="21">
        <f>'Лист1_Базовые цены'!X58</f>
        <v>214413.33070744757</v>
      </c>
      <c r="Y50" s="21">
        <f>'Лист1_Базовые цены'!Y58</f>
        <v>216598.77609499785</v>
      </c>
      <c r="Z50" s="21">
        <f>'Лист1_Базовые цены'!Z58</f>
        <v>232259.78833404789</v>
      </c>
      <c r="AA50" s="21">
        <f>'Лист1_Базовые цены'!AA58</f>
        <v>232114.95974217405</v>
      </c>
      <c r="AB50" s="21">
        <f>'Лист1_Базовые цены'!AB58</f>
        <v>244223.81014475229</v>
      </c>
      <c r="AC50" s="21">
        <f>'Лист1_Базовые цены'!AC58</f>
        <v>249817.5720433048</v>
      </c>
      <c r="AD50" s="21">
        <f>'Лист1_Базовые цены'!AD58</f>
        <v>256523.39632287176</v>
      </c>
      <c r="AE50" s="21">
        <f>'Лист1_Базовые цены'!AE58</f>
        <v>262838.16235964303</v>
      </c>
      <c r="AF50" s="21"/>
      <c r="AG50" s="92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x14ac:dyDescent="0.2">
      <c r="B51" s="9" t="s">
        <v>14</v>
      </c>
      <c r="F51" s="21">
        <f>F50*INDEX([1]!explzaNS,$A$48,F$1)*INDEX(KumIndPPP,NscenInfl,F$1)</f>
        <v>309721.45</v>
      </c>
      <c r="G51" s="21">
        <f t="shared" ref="G51:AE51" si="8">G50*INDEX(explzaNS,$A$48,G$1)*INDEX(KumIndPPP,NscenInfl,G$1)</f>
        <v>365177.11183625</v>
      </c>
      <c r="H51" s="21">
        <f t="shared" si="8"/>
        <v>218329.04604963408</v>
      </c>
      <c r="I51" s="21">
        <f t="shared" si="8"/>
        <v>330170.93010414159</v>
      </c>
      <c r="J51" s="21">
        <f t="shared" si="8"/>
        <v>535675.99723214877</v>
      </c>
      <c r="K51" s="21">
        <f t="shared" si="8"/>
        <v>692414.86148757057</v>
      </c>
      <c r="L51" s="21">
        <f t="shared" si="8"/>
        <v>1761537.3524741437</v>
      </c>
      <c r="M51" s="21">
        <f t="shared" si="8"/>
        <v>2034440.3163366984</v>
      </c>
      <c r="N51" s="252">
        <f t="shared" si="8"/>
        <v>2325010.3127770172</v>
      </c>
      <c r="O51" s="77">
        <f t="shared" si="8"/>
        <v>2655033.9512657141</v>
      </c>
      <c r="P51" s="21">
        <f t="shared" si="8"/>
        <v>3223127.4701578221</v>
      </c>
      <c r="Q51" s="21">
        <f t="shared" si="8"/>
        <v>3803035.687981457</v>
      </c>
      <c r="R51" s="21">
        <f t="shared" si="8"/>
        <v>4483484.9977517631</v>
      </c>
      <c r="S51" s="21">
        <f t="shared" si="8"/>
        <v>5150906.9255590765</v>
      </c>
      <c r="T51" s="21">
        <f t="shared" si="8"/>
        <v>6481380.8455274953</v>
      </c>
      <c r="U51" s="21">
        <f t="shared" si="8"/>
        <v>7218981.2734570177</v>
      </c>
      <c r="V51" s="21">
        <f t="shared" si="8"/>
        <v>8638554.4434751533</v>
      </c>
      <c r="W51" s="21">
        <f t="shared" si="8"/>
        <v>9271849.2326909881</v>
      </c>
      <c r="X51" s="21">
        <f t="shared" si="8"/>
        <v>10186003.829788724</v>
      </c>
      <c r="Y51" s="21">
        <f t="shared" si="8"/>
        <v>11318809.10159296</v>
      </c>
      <c r="Z51" s="21">
        <f t="shared" si="8"/>
        <v>13472299.896671062</v>
      </c>
      <c r="AA51" s="21">
        <f t="shared" si="8"/>
        <v>14541010.995605186</v>
      </c>
      <c r="AB51" s="21">
        <f t="shared" si="8"/>
        <v>16370549.276674926</v>
      </c>
      <c r="AC51" s="21">
        <f t="shared" si="8"/>
        <v>17917689.64644593</v>
      </c>
      <c r="AD51" s="21">
        <f t="shared" si="8"/>
        <v>19686557.772159137</v>
      </c>
      <c r="AE51" s="21">
        <f t="shared" si="8"/>
        <v>21583158.70656161</v>
      </c>
      <c r="AF51" s="21"/>
      <c r="AG51" s="92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6"/>
    </row>
    <row r="52" spans="1:49" x14ac:dyDescent="0.2">
      <c r="B52" s="9" t="s">
        <v>15</v>
      </c>
      <c r="F52" s="21">
        <f>'Лист1_Базовые цены'!F60*INDEX(KumIndPotrS,NscenInfl,F$1)</f>
        <v>229111.63199999998</v>
      </c>
      <c r="G52" s="21">
        <f>'Лист1_Базовые цены'!G60*INDEX(KumIndPotrS,NscenInfl,G$1)</f>
        <v>250894.00262151388</v>
      </c>
      <c r="H52" s="21">
        <f>'Лист1_Базовые цены'!H60*INDEX(KumIndPotrS,NscenInfl,H$1)</f>
        <v>323698.45984680468</v>
      </c>
      <c r="I52" s="21">
        <f>'Лист1_Базовые цены'!I60*INDEX(KumIndPotrS,NscenInfl,I$1)</f>
        <v>341087.77471131715</v>
      </c>
      <c r="J52" s="21">
        <f>'Лист1_Базовые цены'!J60*INDEX(KumIndPotrS,NscenInfl,J$1)</f>
        <v>356084.55919162557</v>
      </c>
      <c r="K52" s="21">
        <f>'Лист1_Базовые цены'!K60*INDEX(KumIndPotrS,NscenInfl,K$1)</f>
        <v>413655.43343651976</v>
      </c>
      <c r="L52" s="21">
        <f>'Лист1_Базовые цены'!L60*INDEX(KumIndPotrS,NscenInfl,L$1)</f>
        <v>473875.59760997968</v>
      </c>
      <c r="M52" s="21">
        <f>'Лист1_Базовые цены'!M60*INDEX(KumIndPotrS,NscenInfl,M$1)</f>
        <v>539237.30055822025</v>
      </c>
      <c r="N52" s="252">
        <f>'Лист1_Базовые цены'!N60*INDEX(KumIndPotrS,NscenInfl,N$1)</f>
        <v>610751.87932366738</v>
      </c>
      <c r="O52" s="27">
        <f>'Лист1_Базовые цены'!O60*INDEX(KumIndPotrS,NscenInfl,O$1)</f>
        <v>703563.00706638023</v>
      </c>
      <c r="P52" s="21">
        <f>'Лист1_Базовые цены'!P60*INDEX(KumIndPotrS,NscenInfl,P$1)</f>
        <v>850453.28427519382</v>
      </c>
      <c r="Q52" s="21">
        <f>'Лист1_Базовые цены'!Q60*INDEX(KumIndPotrS,NscenInfl,Q$1)</f>
        <v>994963.70007085754</v>
      </c>
      <c r="R52" s="21">
        <f>'Лист1_Базовые цены'!R60*INDEX(KumIndPotrS,NscenInfl,R$1)</f>
        <v>1162785.392688324</v>
      </c>
      <c r="S52" s="21">
        <f>'Лист1_Базовые цены'!S60*INDEX(KumIndPotrS,NscenInfl,S$1)</f>
        <v>1312236.4114660809</v>
      </c>
      <c r="T52" s="21">
        <f>'Лист1_Базовые цены'!T60*INDEX(KumIndPotrS,NscenInfl,T$1)</f>
        <v>1621434.6224281604</v>
      </c>
      <c r="U52" s="21">
        <f>'Лист1_Базовые цены'!U60*INDEX(KumIndPotrS,NscenInfl,U$1)</f>
        <v>1756705.2883305603</v>
      </c>
      <c r="V52" s="21">
        <f>'Лист1_Базовые цены'!V60*INDEX(KumIndPotrS,NscenInfl,V$1)</f>
        <v>2025709.8891618024</v>
      </c>
      <c r="W52" s="21">
        <f>'Лист1_Базовые цены'!W60*INDEX(KumIndPotrS,NscenInfl,W$1)</f>
        <v>2194346.8577915006</v>
      </c>
      <c r="X52" s="21">
        <f>'Лист1_Базовые цены'!X60*INDEX(KumIndPotrS,NscenInfl,X$1)</f>
        <v>2432814.1793114296</v>
      </c>
      <c r="Y52" s="21">
        <f>'Лист1_Базовые цены'!Y60*INDEX(KumIndPotrS,NscenInfl,Y$1)</f>
        <v>2678796.0591992647</v>
      </c>
      <c r="Z52" s="21">
        <f>'Лист1_Базовые цены'!Z60*INDEX(KumIndPotrS,NscenInfl,Z$1)</f>
        <v>3111475.1036189357</v>
      </c>
      <c r="AA52" s="21">
        <f>'Лист1_Базовые цены'!AA60*INDEX(KumIndPotrS,NscenInfl,AA$1)</f>
        <v>3327202.3463351787</v>
      </c>
      <c r="AB52" s="21">
        <f>'Лист1_Базовые цены'!AB60*INDEX(KumIndPotrS,NscenInfl,AB$1)</f>
        <v>3710820.5225115828</v>
      </c>
      <c r="AC52" s="21">
        <f>'Лист1_Базовые цены'!AC60*INDEX(KumIndPotrS,NscenInfl,AC$1)</f>
        <v>4023562.907454561</v>
      </c>
      <c r="AD52" s="21">
        <f>'Лист1_Базовые цены'!AD60*INDEX(KumIndPotrS,NscenInfl,AD$1)</f>
        <v>4416645.0616576308</v>
      </c>
      <c r="AE52" s="21">
        <f>'Лист1_Базовые цены'!AE60*INDEX(KumIndPotrS,NscenInfl,AE$1)</f>
        <v>4837618.8205196485</v>
      </c>
      <c r="AF52" s="21"/>
      <c r="AG52" s="92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6"/>
    </row>
    <row r="53" spans="1:49" x14ac:dyDescent="0.2">
      <c r="B53" s="9" t="s">
        <v>16</v>
      </c>
      <c r="F53" s="21">
        <f t="shared" ref="F53:AE53" si="9">INDEX(stavkapodna,1,F$1)*0.01*F52</f>
        <v>29784.512159999998</v>
      </c>
      <c r="G53" s="21">
        <f t="shared" si="9"/>
        <v>32616.220340796805</v>
      </c>
      <c r="H53" s="21">
        <f t="shared" si="9"/>
        <v>42080.799780084606</v>
      </c>
      <c r="I53" s="21">
        <f t="shared" si="9"/>
        <v>44341.410712471232</v>
      </c>
      <c r="J53" s="21">
        <f t="shared" si="9"/>
        <v>46290.992694911321</v>
      </c>
      <c r="K53" s="21">
        <f t="shared" si="9"/>
        <v>53775.206346747567</v>
      </c>
      <c r="L53" s="21">
        <f t="shared" si="9"/>
        <v>61603.827689297359</v>
      </c>
      <c r="M53" s="21">
        <f t="shared" si="9"/>
        <v>70100.849072568628</v>
      </c>
      <c r="N53" s="252">
        <f t="shared" si="9"/>
        <v>79397.744312076757</v>
      </c>
      <c r="O53" s="77">
        <f t="shared" si="9"/>
        <v>91463.190918629436</v>
      </c>
      <c r="P53" s="21">
        <f t="shared" si="9"/>
        <v>110558.9269557752</v>
      </c>
      <c r="Q53" s="21">
        <f t="shared" si="9"/>
        <v>129345.28100921148</v>
      </c>
      <c r="R53" s="21">
        <f t="shared" si="9"/>
        <v>151162.10104948212</v>
      </c>
      <c r="S53" s="21">
        <f t="shared" si="9"/>
        <v>170590.73349059053</v>
      </c>
      <c r="T53" s="21">
        <f t="shared" si="9"/>
        <v>210786.50091566087</v>
      </c>
      <c r="U53" s="21">
        <f t="shared" si="9"/>
        <v>228371.68748297286</v>
      </c>
      <c r="V53" s="21">
        <f t="shared" si="9"/>
        <v>263342.28559103434</v>
      </c>
      <c r="W53" s="21">
        <f t="shared" si="9"/>
        <v>285265.09151289507</v>
      </c>
      <c r="X53" s="21">
        <f t="shared" si="9"/>
        <v>316265.84331048589</v>
      </c>
      <c r="Y53" s="21">
        <f t="shared" si="9"/>
        <v>348243.48769590445</v>
      </c>
      <c r="Z53" s="21">
        <f t="shared" si="9"/>
        <v>404491.76347046165</v>
      </c>
      <c r="AA53" s="21">
        <f t="shared" si="9"/>
        <v>432536.30502357322</v>
      </c>
      <c r="AB53" s="21">
        <f t="shared" si="9"/>
        <v>482406.66792650579</v>
      </c>
      <c r="AC53" s="21">
        <f t="shared" si="9"/>
        <v>523063.17796909297</v>
      </c>
      <c r="AD53" s="21">
        <f t="shared" si="9"/>
        <v>574163.85801549198</v>
      </c>
      <c r="AE53" s="21">
        <f t="shared" si="9"/>
        <v>628890.44666755432</v>
      </c>
      <c r="AF53" s="21"/>
      <c r="AG53" s="92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6"/>
    </row>
    <row r="54" spans="1:49" ht="18" x14ac:dyDescent="0.25">
      <c r="A54" s="103"/>
      <c r="B54" s="9" t="s">
        <v>21</v>
      </c>
      <c r="F54" s="21">
        <f>INDEX(KumIndPotrS,NscenInfl,F$1)*'Лист1_Базовые цены'!F62</f>
        <v>83466.772908366533</v>
      </c>
      <c r="G54" s="21">
        <f>INDEX(KumIndPotrS,NscenInfl,G$1)*'Лист1_Базовые цены'!G62</f>
        <v>119367.71217831378</v>
      </c>
      <c r="H54" s="21">
        <f>INDEX(KumIndPotrS,NscenInfl,H$1)*'Лист1_Базовые цены'!H62</f>
        <v>134522.6201340952</v>
      </c>
      <c r="I54" s="21">
        <f>INDEX(KumIndPotrS,NscenInfl,I$1)*'Лист1_Базовые цены'!I62</f>
        <v>148217.49748512331</v>
      </c>
      <c r="J54" s="21">
        <f>INDEX(KumIndPotrS,NscenInfl,J$1)*'Лист1_Базовые цены'!J62</f>
        <v>224955.08860553778</v>
      </c>
      <c r="K54" s="21">
        <f>INDEX(KumIndPotrS,NscenInfl,K$1)*'Лист1_Базовые цены'!K62</f>
        <v>247507.4294194981</v>
      </c>
      <c r="L54" s="21">
        <f>INDEX(KumIndPotrS,NscenInfl,L$1)*'Лист1_Базовые цены'!L62</f>
        <v>269503.06631935394</v>
      </c>
      <c r="M54" s="21">
        <f>INDEX(KumIndPotrS,NscenInfl,M$1)*'Лист1_Базовые цены'!M62</f>
        <v>307825.68169225083</v>
      </c>
      <c r="N54" s="252">
        <f>INDEX(KumIndPotrS,NscenInfl,N$1)*'Лист1_Базовые цены'!N62</f>
        <v>348650.05333089462</v>
      </c>
      <c r="O54" s="77">
        <f>INDEX(KumIndPotrS,NscenInfl,O$1)*'Лист1_Базовые цены'!O62</f>
        <v>401631.64165286691</v>
      </c>
      <c r="P54" s="21">
        <f>INDEX(KumIndPotrS,NscenInfl,P$1)*'Лист1_Базовые цены'!P62</f>
        <v>485484.51991065504</v>
      </c>
      <c r="Q54" s="21">
        <f>INDEX(KumIndPotrS,NscenInfl,Q$1)*'Лист1_Базовые цены'!Q62</f>
        <v>567978.84515091707</v>
      </c>
      <c r="R54" s="21">
        <f>INDEX(KumIndPotrS,NscenInfl,R$1)*'Лист1_Базовые цены'!R62</f>
        <v>663780.50219363382</v>
      </c>
      <c r="S54" s="21">
        <f>INDEX(KumIndPotrS,NscenInfl,S$1)*'Лист1_Базовые цены'!S62</f>
        <v>749095.18959979049</v>
      </c>
      <c r="T54" s="21">
        <f>INDEX(KumIndPotrS,NscenInfl,T$1)*'Лист1_Базовые цены'!T62</f>
        <v>925602.17450030975</v>
      </c>
      <c r="U54" s="21">
        <f>INDEX(KumIndPotrS,NscenInfl,U$1)*'Лист1_Базовые цены'!U62</f>
        <v>1002821.9530676776</v>
      </c>
      <c r="V54" s="21">
        <f>INDEX(KumIndPotrS,NscenInfl,V$1)*'Лист1_Базовые цены'!V62</f>
        <v>1156384.2614308179</v>
      </c>
      <c r="W54" s="21">
        <f>INDEX(KumIndPotrS,NscenInfl,W$1)*'Лист1_Базовые цены'!W62</f>
        <v>1252651.3219127492</v>
      </c>
      <c r="X54" s="21">
        <f>INDEX(KumIndPotrS,NscenInfl,X$1)*'Лист1_Базовые цены'!X62</f>
        <v>1388781.3072312847</v>
      </c>
      <c r="Y54" s="21">
        <f>INDEX(KumIndPotrS,NscenInfl,Y$1)*'Лист1_Базовые цены'!Y62</f>
        <v>1529201.0070221359</v>
      </c>
      <c r="Z54" s="21">
        <f>INDEX(KumIndPotrS,NscenInfl,Z$1)*'Лист1_Базовые цены'!Z62</f>
        <v>1776197.4994097333</v>
      </c>
      <c r="AA54" s="21">
        <f>INDEX(KumIndPotrS,NscenInfl,AA$1)*'Лист1_Базовые цены'!AA62</f>
        <v>1899346.2235057352</v>
      </c>
      <c r="AB54" s="21">
        <f>INDEX(KumIndPotrS,NscenInfl,AB$1)*'Лист1_Базовые цены'!AB62</f>
        <v>2118336.1310451338</v>
      </c>
      <c r="AC54" s="21">
        <f>INDEX(KumIndPotrS,NscenInfl,AC$1)*'Лист1_Базовые цены'!AC62</f>
        <v>2296866.321259114</v>
      </c>
      <c r="AD54" s="21">
        <f>INDEX(KumIndPotrS,NscenInfl,AD$1)*'Лист1_Базовые цены'!AD62</f>
        <v>2522673.8894650023</v>
      </c>
      <c r="AE54" s="21">
        <f>INDEX(KumIndPotrS,NscenInfl,AE$1)*'Лист1_Базовые цены'!AE62</f>
        <v>2764674.1208471982</v>
      </c>
      <c r="AF54" s="21"/>
      <c r="AG54" s="21"/>
      <c r="AH54" s="21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6"/>
    </row>
    <row r="55" spans="1:49" ht="18" x14ac:dyDescent="0.25">
      <c r="A55" s="103"/>
      <c r="B55" s="9" t="s">
        <v>22</v>
      </c>
      <c r="F55" s="21">
        <f>INDEX(KumIndPotrS,NscenInfl,F$1)*'Лист1_Базовые цены'!F63</f>
        <v>83466.772908366533</v>
      </c>
      <c r="G55" s="21">
        <f>INDEX(KumIndPotrS,NscenInfl,G$1)*'Лист1_Базовые цены'!G63</f>
        <v>119367.71217831378</v>
      </c>
      <c r="H55" s="21">
        <f>INDEX(KumIndPotrS,NscenInfl,H$1)*'Лист1_Базовые цены'!H63</f>
        <v>134522.6201340952</v>
      </c>
      <c r="I55" s="21">
        <f>INDEX(KumIndPotrS,NscenInfl,I$1)*'Лист1_Базовые цены'!I63</f>
        <v>148217.49748512331</v>
      </c>
      <c r="J55" s="21">
        <f>INDEX(KumIndPotrS,NscenInfl,J$1)*'Лист1_Базовые цены'!J63</f>
        <v>224955.08860553778</v>
      </c>
      <c r="K55" s="21">
        <f>INDEX(KumIndPotrS,NscenInfl,K$1)*'Лист1_Базовые цены'!K63</f>
        <v>247507.4294194981</v>
      </c>
      <c r="L55" s="21">
        <f>INDEX(KumIndPotrS,NscenInfl,L$1)*'Лист1_Базовые цены'!L63</f>
        <v>269503.06631935394</v>
      </c>
      <c r="M55" s="21">
        <f>INDEX(KumIndPotrS,NscenInfl,M$1)*'Лист1_Базовые цены'!M63</f>
        <v>307825.68169225083</v>
      </c>
      <c r="N55" s="252">
        <f>INDEX(KumIndPotrS,NscenInfl,N$1)*'Лист1_Базовые цены'!N63</f>
        <v>348650.05333089462</v>
      </c>
      <c r="O55" s="77">
        <f>INDEX(KumIndPotrS,NscenInfl,O$1)*'Лист1_Базовые цены'!O63</f>
        <v>401631.64165286691</v>
      </c>
      <c r="P55" s="21">
        <f>INDEX(KumIndPotrS,NscenInfl,P$1)*'Лист1_Базовые цены'!P63</f>
        <v>485484.51991065504</v>
      </c>
      <c r="Q55" s="21">
        <f>INDEX(KumIndPotrS,NscenInfl,Q$1)*'Лист1_Базовые цены'!Q63</f>
        <v>567978.84515091707</v>
      </c>
      <c r="R55" s="21">
        <f>INDEX(KumIndPotrS,NscenInfl,R$1)*'Лист1_Базовые цены'!R63</f>
        <v>663780.50219363382</v>
      </c>
      <c r="S55" s="21">
        <f>INDEX(KumIndPotrS,NscenInfl,S$1)*'Лист1_Базовые цены'!S63</f>
        <v>749095.18959979049</v>
      </c>
      <c r="T55" s="21">
        <f>INDEX(KumIndPotrS,NscenInfl,T$1)*'Лист1_Базовые цены'!T63</f>
        <v>925602.17450030975</v>
      </c>
      <c r="U55" s="21">
        <f>INDEX(KumIndPotrS,NscenInfl,U$1)*'Лист1_Базовые цены'!U63</f>
        <v>1002821.9530676776</v>
      </c>
      <c r="V55" s="21">
        <f>INDEX(KumIndPotrS,NscenInfl,V$1)*'Лист1_Базовые цены'!V63</f>
        <v>1156384.2614308179</v>
      </c>
      <c r="W55" s="21">
        <f>INDEX(KumIndPotrS,NscenInfl,W$1)*'Лист1_Базовые цены'!W63</f>
        <v>1252651.3219127492</v>
      </c>
      <c r="X55" s="21">
        <f>INDEX(KumIndPotrS,NscenInfl,X$1)*'Лист1_Базовые цены'!X63</f>
        <v>1388781.3072312847</v>
      </c>
      <c r="Y55" s="21">
        <f>INDEX(KumIndPotrS,NscenInfl,Y$1)*'Лист1_Базовые цены'!Y63</f>
        <v>1529201.0070221359</v>
      </c>
      <c r="Z55" s="21">
        <f>INDEX(KumIndPotrS,NscenInfl,Z$1)*'Лист1_Базовые цены'!Z63</f>
        <v>1776197.4994097333</v>
      </c>
      <c r="AA55" s="21">
        <f>INDEX(KumIndPotrS,NscenInfl,AA$1)*'Лист1_Базовые цены'!AA63</f>
        <v>1899346.2235057352</v>
      </c>
      <c r="AB55" s="21">
        <f>INDEX(KumIndPotrS,NscenInfl,AB$1)*'Лист1_Базовые цены'!AB63</f>
        <v>2118336.1310451338</v>
      </c>
      <c r="AC55" s="21">
        <f>INDEX(KumIndPotrS,NscenInfl,AC$1)*'Лист1_Базовые цены'!AC63</f>
        <v>2296866.321259114</v>
      </c>
      <c r="AD55" s="21">
        <f>INDEX(KumIndPotrS,NscenInfl,AD$1)*'Лист1_Базовые цены'!AD63</f>
        <v>2522673.8894650023</v>
      </c>
      <c r="AE55" s="21">
        <f>INDEX(KumIndPotrS,NscenInfl,AE$1)*'Лист1_Базовые цены'!AE63</f>
        <v>2764674.1208471982</v>
      </c>
      <c r="AF55" s="21"/>
      <c r="AG55" s="21"/>
      <c r="AH55" s="21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6"/>
    </row>
    <row r="56" spans="1:49" x14ac:dyDescent="0.2">
      <c r="F56" s="21"/>
      <c r="G56" s="21"/>
      <c r="H56" s="21"/>
      <c r="I56" s="21"/>
      <c r="J56" s="21"/>
      <c r="K56" s="21"/>
      <c r="L56" s="21"/>
      <c r="M56" s="21"/>
      <c r="N56" s="252"/>
      <c r="O56" s="77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49" x14ac:dyDescent="0.2">
      <c r="F57" s="21"/>
      <c r="G57" s="21"/>
      <c r="H57" s="21"/>
      <c r="I57" s="21"/>
      <c r="J57" s="21"/>
      <c r="K57" s="21"/>
      <c r="L57" s="21"/>
      <c r="M57" s="21"/>
      <c r="N57" s="252"/>
      <c r="O57" s="77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49" ht="13.5" thickBot="1" x14ac:dyDescent="0.25">
      <c r="A58" s="11">
        <v>7</v>
      </c>
      <c r="B58" s="9"/>
      <c r="F58" s="21"/>
      <c r="G58" s="21"/>
      <c r="H58" s="21"/>
      <c r="I58" s="21"/>
      <c r="J58" s="21"/>
      <c r="K58" s="21"/>
      <c r="L58" s="21"/>
      <c r="M58" s="21"/>
      <c r="N58" s="252"/>
      <c r="O58" s="77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0"/>
      <c r="AA58" s="15"/>
      <c r="AB58" s="15"/>
      <c r="AC58" s="15"/>
      <c r="AD58" s="15"/>
      <c r="AE58" s="15"/>
      <c r="AF58" s="15"/>
      <c r="AG58" s="92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6"/>
    </row>
    <row r="59" spans="1:49" x14ac:dyDescent="0.2">
      <c r="A59" s="11" t="str">
        <f>VLOOKUP(A58,spotrnepr,2)</f>
        <v>физическая культура</v>
      </c>
      <c r="B59" s="9"/>
      <c r="F59" s="31">
        <v>2006</v>
      </c>
      <c r="G59" s="31">
        <v>2007</v>
      </c>
      <c r="H59" s="31">
        <v>2008</v>
      </c>
      <c r="I59" s="31">
        <v>2009</v>
      </c>
      <c r="J59" s="31">
        <v>2010</v>
      </c>
      <c r="K59" s="31">
        <v>2011</v>
      </c>
      <c r="L59" s="31">
        <v>2012</v>
      </c>
      <c r="M59" s="31">
        <v>2013</v>
      </c>
      <c r="N59" s="287">
        <v>2014</v>
      </c>
      <c r="O59" s="282">
        <v>2015</v>
      </c>
      <c r="P59" s="31">
        <v>2016</v>
      </c>
      <c r="Q59" s="31">
        <v>2017</v>
      </c>
      <c r="R59" s="31">
        <v>2018</v>
      </c>
      <c r="S59" s="31">
        <v>2019</v>
      </c>
      <c r="T59" s="31">
        <v>2020</v>
      </c>
      <c r="U59" s="31">
        <v>2021</v>
      </c>
      <c r="V59" s="31">
        <v>2022</v>
      </c>
      <c r="W59" s="31">
        <v>2023</v>
      </c>
      <c r="X59" s="31">
        <v>2024</v>
      </c>
      <c r="Y59" s="31">
        <v>2025</v>
      </c>
      <c r="Z59" s="31">
        <v>2026</v>
      </c>
      <c r="AA59" s="31">
        <v>2027</v>
      </c>
      <c r="AB59" s="31">
        <v>2028</v>
      </c>
      <c r="AC59" s="31">
        <v>2029</v>
      </c>
      <c r="AD59" s="31">
        <v>2030</v>
      </c>
      <c r="AE59" s="31">
        <v>2031</v>
      </c>
      <c r="AF59" s="383"/>
      <c r="AG59" s="92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6"/>
    </row>
    <row r="60" spans="1:49" x14ac:dyDescent="0.2">
      <c r="B60" s="9" t="s">
        <v>9</v>
      </c>
      <c r="F60" s="21">
        <f>'Лист1_Базовые цены'!F69</f>
        <v>125500</v>
      </c>
      <c r="G60" s="21">
        <f>'Лист1_Базовые цены'!G69</f>
        <v>128275</v>
      </c>
      <c r="H60" s="21">
        <f>'Лист1_Базовые цены'!H69</f>
        <v>128353.45</v>
      </c>
      <c r="I60" s="21">
        <f>'Лист1_Базовые цены'!I69</f>
        <v>128754.68275000001</v>
      </c>
      <c r="J60" s="21">
        <f>'Лист1_Базовые цены'!J69</f>
        <v>136019.1733845</v>
      </c>
      <c r="K60" s="21">
        <f>'Лист1_Базовые цены'!K69</f>
        <v>143766.135037731</v>
      </c>
      <c r="L60" s="21">
        <f>'Лист1_Базовые цены'!L69</f>
        <v>149783.47368735369</v>
      </c>
      <c r="M60" s="21">
        <f>'Лист1_Базовые цены'!M69</f>
        <v>155969.63895048015</v>
      </c>
      <c r="N60" s="252">
        <f>'Лист1_Базовые цены'!N69</f>
        <v>164223.94256097535</v>
      </c>
      <c r="O60" s="77">
        <f>'Лист1_Базовые цены'!O69</f>
        <v>165505.70313536559</v>
      </c>
      <c r="P60" s="21">
        <f>'Лист1_Базовые цены'!P69</f>
        <v>167151.64610401192</v>
      </c>
      <c r="Q60" s="21">
        <f>'Лист1_Базовые цены'!Q69</f>
        <v>168565.27436960279</v>
      </c>
      <c r="R60" s="21">
        <f>'Лист1_Базовые цены'!R69</f>
        <v>169871.45034223745</v>
      </c>
      <c r="S60" s="21">
        <f>'Лист1_Базовые цены'!S69</f>
        <v>186244.73583881508</v>
      </c>
      <c r="T60" s="21">
        <f>'Лист1_Базовые цены'!T69</f>
        <v>192359.28848042694</v>
      </c>
      <c r="U60" s="21">
        <f>'Лист1_Базовые цены'!U69</f>
        <v>206796.69559562267</v>
      </c>
      <c r="V60" s="21">
        <f>'Лист1_Базовые цены'!V69</f>
        <v>210433.72863966646</v>
      </c>
      <c r="W60" s="21">
        <f>'Лист1_Базовые цены'!W69</f>
        <v>214561.39135326978</v>
      </c>
      <c r="X60" s="21">
        <f>'Лист1_Базовые цены'!X69</f>
        <v>226988.77743973711</v>
      </c>
      <c r="Y60" s="21">
        <f>'Лист1_Базовые цены'!Y69</f>
        <v>225465.07142460189</v>
      </c>
      <c r="Z60" s="21">
        <f>'Лист1_Базовые цены'!Z69</f>
        <v>228391.42071035586</v>
      </c>
      <c r="AA60" s="21">
        <f>'Лист1_Базовые цены'!AA69</f>
        <v>237537.50650325231</v>
      </c>
      <c r="AB60" s="21">
        <f>'Лист1_Базовые цены'!AB69</f>
        <v>245162.13143821977</v>
      </c>
      <c r="AC60" s="21">
        <f>'Лист1_Базовые цены'!AC69</f>
        <v>250408.51012383759</v>
      </c>
      <c r="AD60" s="21">
        <f>'Лист1_Базовые цены'!AD69</f>
        <v>256855.42502259923</v>
      </c>
      <c r="AE60" s="21">
        <f>'Лист1_Базовые цены'!AE69</f>
        <v>262866.87077237322</v>
      </c>
      <c r="AF60" s="21"/>
      <c r="AG60" s="92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</row>
    <row r="61" spans="1:49" x14ac:dyDescent="0.2">
      <c r="B61" s="9" t="s">
        <v>14</v>
      </c>
      <c r="F61" s="21">
        <f>F60*INDEX([1]!explzaNS,$A$58,F$1)*INDEX(KumIndPPP,NscenInfl,F$1)</f>
        <v>228924.55</v>
      </c>
      <c r="G61" s="21">
        <f>G60*INDEX([1]!explzaNS,$A$58,G$1)*INDEX(KumIndPPP,NscenInfl,G$1)</f>
        <v>248631.22508</v>
      </c>
      <c r="H61" s="21">
        <f>H60*INDEX([1]!explzaNS,$A$58,H$1)*INDEX(KumIndPPP,NscenInfl,H$1)</f>
        <v>240946.60875437205</v>
      </c>
      <c r="I61" s="21">
        <f>I60*INDEX([1]!explzaNS,$A$58,I$1)*INDEX(KumIndPPP,NscenInfl,I$1)</f>
        <v>184048.82579989612</v>
      </c>
      <c r="J61" s="21">
        <f>J60*INDEX([1]!explzaNS,$A$58,J$1)*INDEX(KumIndPPP,NscenInfl,J$1)</f>
        <v>170424.81881318954</v>
      </c>
      <c r="K61" s="21">
        <f>K60*INDEX([1]!explzaNS,$A$58,K$1)*INDEX(KumIndPPP,NscenInfl,K$1)</f>
        <v>212194.73192509729</v>
      </c>
      <c r="L61" s="21">
        <f>L60*INDEX([1]!explzaNS,$A$58,L$1)*INDEX(KumIndPPP,NscenInfl,L$1)</f>
        <v>319401.35096192331</v>
      </c>
      <c r="M61" s="21">
        <f>M60*INDEX([1]!explzaNS,$A$58,M$1)*INDEX(KumIndPPP,NscenInfl,M$1)</f>
        <v>384613.33578931098</v>
      </c>
      <c r="N61" s="252">
        <f>N60*INDEX([1]!explzaNS,$A$58,N$1)*INDEX(KumIndPPP,NscenInfl,N$1)</f>
        <v>579018.12809965538</v>
      </c>
      <c r="O61" s="27">
        <f>O60*INDEX([1]!explzaNS,$A$58,O$1)*INDEX(KumIndPPP,NscenInfl,O$1)</f>
        <v>665232.56630128599</v>
      </c>
      <c r="P61" s="21">
        <f>P60*INDEX([1]!explzaNS,$A$58,P$1)*INDEX(KumIndPPP,NscenInfl,P$1)</f>
        <v>786062.46298185829</v>
      </c>
      <c r="Q61" s="21">
        <f>Q60*INDEX([1]!explzaNS,$A$58,Q$1)*INDEX(KumIndPPP,NscenInfl,Q$1)</f>
        <v>935398.17670023418</v>
      </c>
      <c r="R61" s="21">
        <f>R60*INDEX([1]!explzaNS,$A$58,R$1)*INDEX(KumIndPPP,NscenInfl,R$1)</f>
        <v>1084043.3318514989</v>
      </c>
      <c r="S61" s="21">
        <f>S60*INDEX([1]!explzaNS,$A$58,S$1)*INDEX(KumIndPPP,NscenInfl,S$1)</f>
        <v>1343039.2266391998</v>
      </c>
      <c r="T61" s="21">
        <f>T60*INDEX([1]!explzaNS,$A$58,T$1)*INDEX(KumIndPPP,NscenInfl,T$1)</f>
        <v>1539716.741255638</v>
      </c>
      <c r="U61" s="21">
        <f>U60*INDEX([1]!explzaNS,$A$58,U$1)*INDEX(KumIndPPP,NscenInfl,U$1)</f>
        <v>1820807.1491440234</v>
      </c>
      <c r="V61" s="21">
        <f>V60*INDEX([1]!explzaNS,$A$58,V$1)*INDEX(KumIndPPP,NscenInfl,V$1)</f>
        <v>2038113.617178482</v>
      </c>
      <c r="W61" s="21">
        <f>W60*INDEX([1]!explzaNS,$A$58,W$1)*INDEX(KumIndPPP,NscenInfl,W$1)</f>
        <v>2244338.5666639018</v>
      </c>
      <c r="X61" s="21">
        <f>X60*INDEX([1]!explzaNS,$A$58,X$1)*INDEX(KumIndPPP,NscenInfl,X$1)</f>
        <v>2588020.304922109</v>
      </c>
      <c r="Y61" s="21">
        <f>Y60*INDEX([1]!explzaNS,$A$58,Y$1)*INDEX(KumIndPPP,NscenInfl,Y$1)</f>
        <v>2827712.4905778556</v>
      </c>
      <c r="Z61" s="21">
        <f>Z60*INDEX([1]!explzaNS,$A$58,Z$1)*INDEX(KumIndPPP,NscenInfl,Z$1)</f>
        <v>3179499.3725332217</v>
      </c>
      <c r="AA61" s="21">
        <f>AA60*INDEX([1]!explzaNS,$A$58,AA$1)*INDEX(KumIndPPP,NscenInfl,AA$1)</f>
        <v>3571370.4944505743</v>
      </c>
      <c r="AB61" s="21">
        <f>AB60*INDEX([1]!explzaNS,$A$58,AB$1)*INDEX(KumIndPPP,NscenInfl,AB$1)</f>
        <v>3944026.9982900545</v>
      </c>
      <c r="AC61" s="21">
        <f>AC60*INDEX([1]!explzaNS,$A$58,AC$1)*INDEX(KumIndPPP,NscenInfl,AC$1)</f>
        <v>4310417.6531986259</v>
      </c>
      <c r="AD61" s="21">
        <f>AD60*INDEX([1]!explzaNS,$A$58,AD$1)*INDEX(KumIndPPP,NscenInfl,AD$1)</f>
        <v>4730889.3329343852</v>
      </c>
      <c r="AE61" s="21">
        <f>AE60*INDEX([1]!explzaNS,$A$58,AE$1)*INDEX(KumIndPPP,NscenInfl,AE$1)</f>
        <v>5180523.8688110495</v>
      </c>
      <c r="AF61" s="21"/>
      <c r="AG61" s="92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6"/>
    </row>
    <row r="62" spans="1:49" x14ac:dyDescent="0.2">
      <c r="B62" s="9" t="s">
        <v>15</v>
      </c>
      <c r="F62" s="21">
        <f>'Лист1_Базовые цены'!F71*INDEX(KumIndPotrS,NscenInfl,F$1)</f>
        <v>188331.53039999999</v>
      </c>
      <c r="G62" s="21">
        <f>'Лист1_Базовые цены'!G71*INDEX(KumIndPotrS,NscenInfl,G$1)</f>
        <v>237092.95404071725</v>
      </c>
      <c r="H62" s="21">
        <f>'Лист1_Базовые цены'!H71*INDEX(KumIndPotrS,NscenInfl,H$1)</f>
        <v>306239.87459491414</v>
      </c>
      <c r="I62" s="21">
        <f>'Лист1_Базовые цены'!I71*INDEX(KumIndPotrS,NscenInfl,I$1)</f>
        <v>320213.90182467608</v>
      </c>
      <c r="J62" s="21">
        <f>'Лист1_Базовые цены'!J71*INDEX(KumIndPotrS,NscenInfl,J$1)</f>
        <v>422937.57205575565</v>
      </c>
      <c r="K62" s="21">
        <f>'Лист1_Базовые цены'!K71*INDEX(KumIndPotrS,NscenInfl,K$1)</f>
        <v>462310.65059320448</v>
      </c>
      <c r="L62" s="21">
        <f>'Лист1_Базовые цены'!L71*INDEX(KumIndPotrS,NscenInfl,L$1)</f>
        <v>518711.50757054106</v>
      </c>
      <c r="M62" s="21">
        <f>'Лист1_Базовые цены'!M71*INDEX(KumIndPotrS,NscenInfl,M$1)</f>
        <v>617296.76131680701</v>
      </c>
      <c r="N62" s="252">
        <f>'Лист1_Базовые цены'!N71*INDEX(KumIndPotrS,NscenInfl,N$1)</f>
        <v>721461.87230315071</v>
      </c>
      <c r="O62" s="77">
        <f>'Лист1_Базовые цены'!O71*INDEX(KumIndPotrS,NscenInfl,O$1)</f>
        <v>836156.77768202929</v>
      </c>
      <c r="P62" s="21">
        <f>'Лист1_Базовые цены'!P71*INDEX(KumIndPotrS,NscenInfl,P$1)</f>
        <v>983810.22950519598</v>
      </c>
      <c r="Q62" s="21">
        <f>'Лист1_Базовые цены'!Q71*INDEX(KumIndPotrS,NscenInfl,Q$1)</f>
        <v>1160792.6502760076</v>
      </c>
      <c r="R62" s="21">
        <f>'Лист1_Базовые цены'!R71*INDEX(KumIndPotrS,NscenInfl,R$1)</f>
        <v>1333557.6158050664</v>
      </c>
      <c r="S62" s="21">
        <f>'Лист1_Базовые цены'!S71*INDEX(KumIndPotrS,NscenInfl,S$1)</f>
        <v>1622924.7161485292</v>
      </c>
      <c r="T62" s="21">
        <f>'Лист1_Базовые цены'!T71*INDEX(KumIndPotrS,NscenInfl,T$1)</f>
        <v>1827065.1251004054</v>
      </c>
      <c r="U62" s="21">
        <f>'Лист1_Базовые цены'!U71*INDEX(KumIndPotrS,NscenInfl,U$1)</f>
        <v>2101687.9706618222</v>
      </c>
      <c r="V62" s="21">
        <f>'Лист1_Базовые цены'!V71*INDEX(KumIndPotrS,NscenInfl,V$1)</f>
        <v>2266970.4509516084</v>
      </c>
      <c r="W62" s="21">
        <f>'Лист1_Базовые цены'!W71*INDEX(KumIndPotrS,NscenInfl,W$1)</f>
        <v>2519466.4734137668</v>
      </c>
      <c r="X62" s="21">
        <f>'Лист1_Базовые цены'!X71*INDEX(KumIndPotrS,NscenInfl,X$1)</f>
        <v>2931933.2434086115</v>
      </c>
      <c r="Y62" s="21">
        <f>'Лист1_Базовые цены'!Y71*INDEX(KumIndPotrS,NscenInfl,Y$1)</f>
        <v>3174354.7619262324</v>
      </c>
      <c r="Z62" s="21">
        <f>'Лист1_Базовые цены'!Z71*INDEX(KumIndPotrS,NscenInfl,Z$1)</f>
        <v>3483089.4458584166</v>
      </c>
      <c r="AA62" s="21">
        <f>'Лист1_Базовые цены'!AA71*INDEX(KumIndPotrS,NscenInfl,AA$1)</f>
        <v>3876152.1158559541</v>
      </c>
      <c r="AB62" s="21">
        <f>'Лист1_Базовые цены'!AB71*INDEX(KumIndPotrS,NscenInfl,AB$1)</f>
        <v>4240605.503528513</v>
      </c>
      <c r="AC62" s="21">
        <f>'Лист1_Базовые цены'!AC71*INDEX(KumIndPotrS,NscenInfl,AC$1)</f>
        <v>4591234.0618349547</v>
      </c>
      <c r="AD62" s="21">
        <f>'Лист1_Базовые цены'!AD71*INDEX(KumIndPotrS,NscenInfl,AD$1)</f>
        <v>5037214.9840262309</v>
      </c>
      <c r="AE62" s="21">
        <f>'Лист1_Базовые цены'!AE71*INDEX(KumIndPotrS,NscenInfl,AE$1)</f>
        <v>5513901.3675731393</v>
      </c>
      <c r="AF62" s="21"/>
      <c r="AG62" s="92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6"/>
    </row>
    <row r="63" spans="1:49" x14ac:dyDescent="0.2">
      <c r="B63" s="9" t="s">
        <v>16</v>
      </c>
      <c r="F63" s="21">
        <f t="shared" ref="F63:AE63" si="10">INDEX(stavkapodna,1,F$1)*0.01*F62</f>
        <v>24483.098952</v>
      </c>
      <c r="G63" s="21">
        <f t="shared" si="10"/>
        <v>30822.084025293243</v>
      </c>
      <c r="H63" s="21">
        <f t="shared" si="10"/>
        <v>39811.183697338842</v>
      </c>
      <c r="I63" s="21">
        <f t="shared" si="10"/>
        <v>41627.80723720789</v>
      </c>
      <c r="J63" s="21">
        <f t="shared" si="10"/>
        <v>54981.884367248233</v>
      </c>
      <c r="K63" s="21">
        <f t="shared" si="10"/>
        <v>60100.384577116587</v>
      </c>
      <c r="L63" s="21">
        <f t="shared" si="10"/>
        <v>67432.495984170338</v>
      </c>
      <c r="M63" s="21">
        <f t="shared" si="10"/>
        <v>80248.578971184921</v>
      </c>
      <c r="N63" s="252">
        <f t="shared" si="10"/>
        <v>93790.043399409595</v>
      </c>
      <c r="O63" s="77">
        <f t="shared" si="10"/>
        <v>108700.38109866381</v>
      </c>
      <c r="P63" s="21">
        <f t="shared" si="10"/>
        <v>127895.32983567548</v>
      </c>
      <c r="Q63" s="21">
        <f t="shared" si="10"/>
        <v>150903.044535881</v>
      </c>
      <c r="R63" s="21">
        <f t="shared" si="10"/>
        <v>173362.49005465864</v>
      </c>
      <c r="S63" s="21">
        <f t="shared" si="10"/>
        <v>210980.21309930881</v>
      </c>
      <c r="T63" s="21">
        <f t="shared" si="10"/>
        <v>237518.46626305272</v>
      </c>
      <c r="U63" s="21">
        <f t="shared" si="10"/>
        <v>273219.43618603691</v>
      </c>
      <c r="V63" s="21">
        <f t="shared" si="10"/>
        <v>294706.15862370911</v>
      </c>
      <c r="W63" s="21">
        <f t="shared" si="10"/>
        <v>327530.64154378971</v>
      </c>
      <c r="X63" s="21">
        <f t="shared" si="10"/>
        <v>381151.3216431195</v>
      </c>
      <c r="Y63" s="21">
        <f t="shared" si="10"/>
        <v>412666.11905041023</v>
      </c>
      <c r="Z63" s="21">
        <f t="shared" si="10"/>
        <v>452801.6279615942</v>
      </c>
      <c r="AA63" s="21">
        <f t="shared" si="10"/>
        <v>503899.77506127406</v>
      </c>
      <c r="AB63" s="21">
        <f t="shared" si="10"/>
        <v>551278.71545870672</v>
      </c>
      <c r="AC63" s="21">
        <f t="shared" si="10"/>
        <v>596860.42803854414</v>
      </c>
      <c r="AD63" s="21">
        <f t="shared" si="10"/>
        <v>654837.94792340999</v>
      </c>
      <c r="AE63" s="21">
        <f t="shared" si="10"/>
        <v>716807.17778450809</v>
      </c>
      <c r="AF63" s="21"/>
      <c r="AG63" s="92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6"/>
    </row>
    <row r="64" spans="1:49" ht="18" x14ac:dyDescent="0.25">
      <c r="A64" s="103"/>
      <c r="B64" s="9" t="s">
        <v>21</v>
      </c>
      <c r="F64" s="21">
        <f>INDEX(KumIndPotrS,NscenInfl,F$1)*'Лист1_Базовые цены'!F73</f>
        <v>14086.629482071712</v>
      </c>
      <c r="G64" s="21">
        <f>INDEX(KumIndPotrS,NscenInfl,G$1)*'Лист1_Базовые цены'!G73</f>
        <v>20057.980273500591</v>
      </c>
      <c r="H64" s="21">
        <f>INDEX(KumIndPotrS,NscenInfl,H$1)*'Лист1_Базовые цены'!H73</f>
        <v>23600.057921687629</v>
      </c>
      <c r="I64" s="21">
        <f>INDEX(KumIndPotrS,NscenInfl,I$1)*'Лист1_Базовые цены'!I73</f>
        <v>27793.45539251815</v>
      </c>
      <c r="J64" s="21">
        <f>INDEX(KumIndPotrS,NscenInfl,J$1)*'Лист1_Базовые цены'!J73</f>
        <v>30954.264794999704</v>
      </c>
      <c r="K64" s="21">
        <f>INDEX(KumIndPotrS,NscenInfl,K$1)*'Лист1_Базовые цены'!K73</f>
        <v>53607.306310818822</v>
      </c>
      <c r="L64" s="21">
        <f>INDEX(KumIndPotrS,NscenInfl,L$1)*'Лист1_Базовые цены'!L73</f>
        <v>57824.274677000918</v>
      </c>
      <c r="M64" s="21">
        <f>INDEX(KumIndPotrS,NscenInfl,M$1)*'Лист1_Базовые цены'!M73</f>
        <v>65932.642427118626</v>
      </c>
      <c r="N64" s="252">
        <f>INDEX(KumIndPotrS,NscenInfl,N$1)*'Лист1_Базовые цены'!N73</f>
        <v>77058.378776995611</v>
      </c>
      <c r="O64" s="77">
        <f>INDEX(KumIndPotrS,NscenInfl,O$1)*'Лист1_Базовые цены'!O73</f>
        <v>89308.788399146215</v>
      </c>
      <c r="P64" s="21">
        <f>INDEX(KumIndPotrS,NscenInfl,P$1)*'Лист1_Базовые цены'!P73</f>
        <v>105079.4563375616</v>
      </c>
      <c r="Q64" s="21">
        <f>INDEX(KumIndPotrS,NscenInfl,Q$1)*'Лист1_Базовые цены'!Q73</f>
        <v>123982.71226859199</v>
      </c>
      <c r="R64" s="21">
        <f>INDEX(KumIndPotrS,NscenInfl,R$1)*'Лист1_Базовые цены'!R73</f>
        <v>142435.50743936552</v>
      </c>
      <c r="S64" s="21">
        <f>INDEX(KumIndPotrS,NscenInfl,S$1)*'Лист1_Базовые цены'!S73</f>
        <v>173342.42086042292</v>
      </c>
      <c r="T64" s="21">
        <f>INDEX(KumIndPotrS,NscenInfl,T$1)*'Лист1_Базовые цены'!T73</f>
        <v>195146.38522861147</v>
      </c>
      <c r="U64" s="21">
        <f>INDEX(KumIndPotrS,NscenInfl,U$1)*'Лист1_Базовые цены'!U73</f>
        <v>224478.48449330547</v>
      </c>
      <c r="V64" s="21">
        <f>INDEX(KumIndPotrS,NscenInfl,V$1)*'Лист1_Базовые цены'!V73</f>
        <v>242132.08541155327</v>
      </c>
      <c r="W64" s="21">
        <f>INDEX(KumIndPotrS,NscenInfl,W$1)*'Лист1_Базовые цены'!W73</f>
        <v>269100.84826032398</v>
      </c>
      <c r="X64" s="21">
        <f>INDEX(KumIndPotrS,NscenInfl,X$1)*'Лист1_Базовые цены'!X73</f>
        <v>313155.87294752093</v>
      </c>
      <c r="Y64" s="21">
        <f>INDEX(KumIndPotrS,NscenInfl,Y$1)*'Лист1_Базовые цены'!Y73</f>
        <v>339048.59148854436</v>
      </c>
      <c r="Z64" s="21">
        <f>INDEX(KumIndPotrS,NscenInfl,Z$1)*'Лист1_Базовые цены'!Z73</f>
        <v>372024.13063948328</v>
      </c>
      <c r="AA64" s="21">
        <f>INDEX(KumIndPotrS,NscenInfl,AA$1)*'Лист1_Базовые цены'!AA73</f>
        <v>414006.62932798022</v>
      </c>
      <c r="AB64" s="21">
        <f>INDEX(KumIndPotrS,NscenInfl,AB$1)*'Лист1_Базовые цены'!AB73</f>
        <v>452933.40879059694</v>
      </c>
      <c r="AC64" s="21">
        <f>INDEX(KumIndPotrS,NscenInfl,AC$1)*'Лист1_Базовые цены'!AC73</f>
        <v>490383.57669726142</v>
      </c>
      <c r="AD64" s="21">
        <f>INDEX(KumIndPotrS,NscenInfl,AD$1)*'Лист1_Базовые цены'!AD73</f>
        <v>538320.00848367333</v>
      </c>
      <c r="AE64" s="21">
        <f>INDEX(KumIndPotrS,NscenInfl,AE$1)*'Лист1_Базовые цены'!AE73</f>
        <v>589593.35633053235</v>
      </c>
      <c r="AF64" s="21"/>
    </row>
    <row r="65" spans="1:33" ht="18" x14ac:dyDescent="0.25">
      <c r="A65" s="103"/>
      <c r="B65" s="9" t="s">
        <v>22</v>
      </c>
      <c r="F65" s="21">
        <f>INDEX(KumIndPotrS,NscenInfl,F$1)*'Лист1_Базовые цены'!F74</f>
        <v>14086.629482071712</v>
      </c>
      <c r="G65" s="21">
        <f>INDEX(KumIndPotrS,NscenInfl,G$1)*'Лист1_Базовые цены'!G74</f>
        <v>20057.980273500591</v>
      </c>
      <c r="H65" s="21">
        <f>INDEX(KumIndPotrS,NscenInfl,H$1)*'Лист1_Базовые цены'!H74</f>
        <v>23600.057921687629</v>
      </c>
      <c r="I65" s="21">
        <f>INDEX(KumIndPotrS,NscenInfl,I$1)*'Лист1_Базовые цены'!I74</f>
        <v>27793.45539251815</v>
      </c>
      <c r="J65" s="21">
        <f>INDEX(KumIndPotrS,NscenInfl,J$1)*'Лист1_Базовые цены'!J74</f>
        <v>30954.264794999704</v>
      </c>
      <c r="K65" s="21">
        <f>INDEX(KumIndPotrS,NscenInfl,K$1)*'Лист1_Базовые цены'!K74</f>
        <v>53607.306310818822</v>
      </c>
      <c r="L65" s="21">
        <f>INDEX(KumIndPotrS,NscenInfl,L$1)*'Лист1_Базовые цены'!L74</f>
        <v>57824.274677000918</v>
      </c>
      <c r="M65" s="21">
        <f>INDEX(KumIndPotrS,NscenInfl,M$1)*'Лист1_Базовые цены'!M74</f>
        <v>65932.642427118626</v>
      </c>
      <c r="N65" s="252">
        <f>INDEX(KumIndPotrS,NscenInfl,N$1)*'Лист1_Базовые цены'!N74</f>
        <v>77058.378776995611</v>
      </c>
      <c r="O65" s="77">
        <f>INDEX(KumIndPotrS,NscenInfl,O$1)*'Лист1_Базовые цены'!O74</f>
        <v>89308.788399146215</v>
      </c>
      <c r="P65" s="21">
        <f>INDEX(KumIndPotrS,NscenInfl,P$1)*'Лист1_Базовые цены'!P74</f>
        <v>105079.4563375616</v>
      </c>
      <c r="Q65" s="21">
        <f>INDEX(KumIndPotrS,NscenInfl,Q$1)*'Лист1_Базовые цены'!Q74</f>
        <v>123982.71226859199</v>
      </c>
      <c r="R65" s="21">
        <f>INDEX(KumIndPotrS,NscenInfl,R$1)*'Лист1_Базовые цены'!R74</f>
        <v>142435.50743936552</v>
      </c>
      <c r="S65" s="21">
        <f>INDEX(KumIndPotrS,NscenInfl,S$1)*'Лист1_Базовые цены'!S74</f>
        <v>173342.42086042292</v>
      </c>
      <c r="T65" s="21">
        <f>INDEX(KumIndPotrS,NscenInfl,T$1)*'Лист1_Базовые цены'!T74</f>
        <v>195146.38522861147</v>
      </c>
      <c r="U65" s="21">
        <f>INDEX(KumIndPotrS,NscenInfl,U$1)*'Лист1_Базовые цены'!U74</f>
        <v>224478.48449330547</v>
      </c>
      <c r="V65" s="21">
        <f>INDEX(KumIndPotrS,NscenInfl,V$1)*'Лист1_Базовые цены'!V74</f>
        <v>242132.08541155327</v>
      </c>
      <c r="W65" s="21">
        <f>INDEX(KumIndPotrS,NscenInfl,W$1)*'Лист1_Базовые цены'!W74</f>
        <v>269100.84826032398</v>
      </c>
      <c r="X65" s="21">
        <f>INDEX(KumIndPotrS,NscenInfl,X$1)*'Лист1_Базовые цены'!X74</f>
        <v>313155.87294752093</v>
      </c>
      <c r="Y65" s="21">
        <f>INDEX(KumIndPotrS,NscenInfl,Y$1)*'Лист1_Базовые цены'!Y74</f>
        <v>339048.59148854436</v>
      </c>
      <c r="Z65" s="21">
        <f>INDEX(KumIndPotrS,NscenInfl,Z$1)*'Лист1_Базовые цены'!Z74</f>
        <v>372024.13063948328</v>
      </c>
      <c r="AA65" s="21">
        <f>INDEX(KumIndPotrS,NscenInfl,AA$1)*'Лист1_Базовые цены'!AA74</f>
        <v>414006.62932798022</v>
      </c>
      <c r="AB65" s="21">
        <f>INDEX(KumIndPotrS,NscenInfl,AB$1)*'Лист1_Базовые цены'!AB74</f>
        <v>452933.40879059694</v>
      </c>
      <c r="AC65" s="21">
        <f>INDEX(KumIndPotrS,NscenInfl,AC$1)*'Лист1_Базовые цены'!AC74</f>
        <v>490383.57669726142</v>
      </c>
      <c r="AD65" s="21">
        <f>INDEX(KumIndPotrS,NscenInfl,AD$1)*'Лист1_Базовые цены'!AD74</f>
        <v>538320.00848367333</v>
      </c>
      <c r="AE65" s="21">
        <f>INDEX(KumIndPotrS,NscenInfl,AE$1)*'Лист1_Базовые цены'!AE74</f>
        <v>589593.35633053235</v>
      </c>
      <c r="AF65" s="21"/>
    </row>
    <row r="68" spans="1:33" ht="18.75" thickBot="1" x14ac:dyDescent="0.3">
      <c r="B68" s="112" t="s">
        <v>78</v>
      </c>
      <c r="F68">
        <v>1</v>
      </c>
      <c r="G68">
        <v>2</v>
      </c>
      <c r="H68">
        <v>3</v>
      </c>
      <c r="I68">
        <v>4</v>
      </c>
      <c r="J68">
        <v>5</v>
      </c>
      <c r="K68">
        <v>6</v>
      </c>
      <c r="L68">
        <v>7</v>
      </c>
      <c r="M68">
        <v>8</v>
      </c>
      <c r="N68" s="248">
        <v>9</v>
      </c>
      <c r="O68" s="3">
        <v>10</v>
      </c>
      <c r="P68">
        <v>11</v>
      </c>
      <c r="Q68">
        <v>12</v>
      </c>
      <c r="R68">
        <v>13</v>
      </c>
      <c r="S68">
        <v>14</v>
      </c>
      <c r="T68">
        <v>15</v>
      </c>
      <c r="U68">
        <v>16</v>
      </c>
      <c r="V68">
        <v>17</v>
      </c>
      <c r="W68">
        <v>18</v>
      </c>
      <c r="X68">
        <v>19</v>
      </c>
      <c r="Y68">
        <v>20</v>
      </c>
      <c r="Z68">
        <v>21</v>
      </c>
      <c r="AA68">
        <v>22</v>
      </c>
      <c r="AB68">
        <v>23</v>
      </c>
      <c r="AC68">
        <v>24</v>
      </c>
      <c r="AD68">
        <v>25</v>
      </c>
      <c r="AE68">
        <v>26</v>
      </c>
      <c r="AG68">
        <v>27</v>
      </c>
    </row>
    <row r="69" spans="1:33" x14ac:dyDescent="0.2">
      <c r="F69" s="31">
        <v>2006</v>
      </c>
      <c r="G69" s="31">
        <v>2007</v>
      </c>
      <c r="H69" s="31">
        <v>2008</v>
      </c>
      <c r="I69" s="31">
        <v>2009</v>
      </c>
      <c r="J69" s="31">
        <v>2010</v>
      </c>
      <c r="K69" s="31">
        <v>2011</v>
      </c>
      <c r="L69" s="31">
        <v>2012</v>
      </c>
      <c r="M69" s="31">
        <v>2013</v>
      </c>
      <c r="N69" s="287">
        <v>2014</v>
      </c>
      <c r="O69" s="282">
        <v>2015</v>
      </c>
      <c r="P69" s="31">
        <v>2016</v>
      </c>
      <c r="Q69" s="31">
        <v>2017</v>
      </c>
      <c r="R69" s="31">
        <v>2018</v>
      </c>
      <c r="S69" s="31">
        <v>2019</v>
      </c>
      <c r="T69" s="31">
        <v>2020</v>
      </c>
      <c r="U69" s="31">
        <v>2021</v>
      </c>
      <c r="V69" s="31">
        <v>2022</v>
      </c>
      <c r="W69" s="31">
        <v>2023</v>
      </c>
      <c r="X69" s="31">
        <v>2024</v>
      </c>
      <c r="Y69" s="31">
        <v>2025</v>
      </c>
      <c r="Z69" s="31">
        <v>2026</v>
      </c>
      <c r="AA69" s="31">
        <v>2027</v>
      </c>
      <c r="AB69" s="31">
        <v>2028</v>
      </c>
      <c r="AC69" s="31">
        <v>2029</v>
      </c>
      <c r="AD69" s="31">
        <v>2030</v>
      </c>
      <c r="AE69" s="31">
        <v>2031</v>
      </c>
      <c r="AF69" s="383"/>
    </row>
    <row r="70" spans="1:33" x14ac:dyDescent="0.2">
      <c r="C70">
        <v>1</v>
      </c>
      <c r="E70" t="s">
        <v>0</v>
      </c>
      <c r="F70">
        <f>INDEX(ditarifnas,'Лист2_прогнозные цены'!$C70,'Лист2_прогнозные цены'!F$68)</f>
        <v>1.1255303700579902</v>
      </c>
      <c r="G70">
        <f>INDEX(ditarifnas,'Лист2_прогнозные цены'!$C70,'Лист2_прогнозные цены'!G$68)*F70</f>
        <v>1.3521481033888705</v>
      </c>
      <c r="H70">
        <f>INDEX(ditarifnas,'Лист2_прогнозные цены'!$C70,'Лист2_прогнозные цены'!H$68)*G70</f>
        <v>1.5470650689214256</v>
      </c>
      <c r="I70">
        <f>INDEX(ditarifnas,'Лист2_прогнозные цены'!$C70,'Лист2_прогнозные цены'!I$68)*H70</f>
        <v>1.9076398430281392</v>
      </c>
      <c r="J70">
        <f>INDEX(ditarifnas,'Лист2_прогнозные цены'!$C70,'Лист2_прогнозные цены'!J$68)*I70</f>
        <v>2.1591062133564152</v>
      </c>
      <c r="K70">
        <f>INDEX(ditarifnas,'Лист2_прогнозные цены'!$C70,'Лист2_прогнозные цены'!K$68)*J70</f>
        <v>2.4510288799914686</v>
      </c>
      <c r="L70">
        <f>INDEX(ditarifnas,'Лист2_прогнозные цены'!$C70,'Лист2_прогнозные цены'!L$68)*K70</f>
        <v>2.7248501688373294</v>
      </c>
      <c r="M70">
        <f>INDEX(ditarifnas,'Лист2_прогнозные цены'!$C70,'Лист2_прогнозные цены'!M$68)*L70</f>
        <v>2.9837109348768758</v>
      </c>
      <c r="N70" s="248">
        <f>INDEX(ditarifnas,'Лист2_прогнозные цены'!$C70,'Лист2_прогнозные цены'!N$68)*M70</f>
        <v>3.3119191377133324</v>
      </c>
      <c r="O70" s="3">
        <f>INDEX(ditarifnas,'Лист2_прогнозные цены'!$C70,'Лист2_прогнозные цены'!O$68)*N70</f>
        <v>3.808707008370332</v>
      </c>
      <c r="P70">
        <f>INDEX(ditarifnas,'Лист2_прогнозные цены'!$C70,'Лист2_прогнозные цены'!P$68)*O70</f>
        <v>4.4371436647514368</v>
      </c>
      <c r="Q70">
        <f>INDEX(ditarifnas,'Лист2_прогнозные цены'!$C70,'Лист2_прогнозные цены'!Q$68)*P70</f>
        <v>5.1914580877591812</v>
      </c>
      <c r="R70">
        <f>INDEX(ditarifnas,'Лист2_прогнозные цены'!$C70,'Лист2_прогнозные цены'!R$68)*Q70</f>
        <v>5.9182622200454675</v>
      </c>
      <c r="S70">
        <f>INDEX(ditarifnas,'Лист2_прогнозные цены'!$C70,'Лист2_прогнозные цены'!S$68)*R70</f>
        <v>6.5692710642504695</v>
      </c>
      <c r="T70">
        <f>INDEX(ditarifnas,'Лист2_прогнозные цены'!$C70,'Лист2_прогнозные цены'!T$68)*S70</f>
        <v>7.1605054600330122</v>
      </c>
      <c r="U70">
        <f>INDEX(ditarifnas,'Лист2_прогнозные цены'!$C70,'Лист2_прогнозные цены'!U$68)*T70</f>
        <v>7.6617408422353233</v>
      </c>
      <c r="V70">
        <f>INDEX(ditarifnas,'Лист2_прогнозные цены'!$C70,'Лист2_прогнозные цены'!V$68)*U70</f>
        <v>8.1214452927694438</v>
      </c>
      <c r="W70">
        <f>INDEX(ditarifnas,'Лист2_прогнозные цены'!$C70,'Лист2_прогнозные цены'!W$68)*V70</f>
        <v>8.852375369118695</v>
      </c>
      <c r="X70">
        <f>INDEX(ditarifnas,'Лист2_прогнозные цены'!$C70,'Лист2_прогнозные цены'!X$68)*W70</f>
        <v>9.7376129060305647</v>
      </c>
      <c r="Y70">
        <f>INDEX(ditarifnas,'Лист2_прогнозные цены'!$C70,'Лист2_прогнозные цены'!Y$68)*X70</f>
        <v>10.613998067573316</v>
      </c>
      <c r="Z70">
        <f>INDEX(ditarifnas,'Лист2_прогнозные цены'!$C70,'Лист2_прогнозные цены'!Z$68)*Y70</f>
        <v>11.497082706795416</v>
      </c>
      <c r="AA70">
        <f>INDEX(ditarifnas,'Лист2_прогнозные цены'!$C70,'Лист2_прогнозные цены'!AA$68)*Z70</f>
        <v>12.301878496271096</v>
      </c>
      <c r="AB70">
        <f>INDEX(ditarifnas,'Лист2_прогнозные цены'!$C70,'Лист2_прогнозные цены'!AB$68)*AA70</f>
        <v>13.039991206047363</v>
      </c>
      <c r="AC70">
        <f>INDEX(ditarifnas,'Лист2_прогнозные цены'!$C70,'Лист2_прогнозные цены'!AC$68)*AB70</f>
        <v>13.822390678410205</v>
      </c>
      <c r="AD70">
        <f>INDEX(ditarifnas,'Лист2_прогнозные цены'!$C70,'Лист2_прогнозные цены'!AD$68)*AC70</f>
        <v>14.73466846318528</v>
      </c>
      <c r="AE70">
        <f>INDEX(ditarifnas,'Лист2_прогнозные цены'!$C70,'Лист2_прогнозные цены'!AE$68)*AD70</f>
        <v>15.707156581755509</v>
      </c>
    </row>
    <row r="71" spans="1:33" x14ac:dyDescent="0.2">
      <c r="C71">
        <v>2</v>
      </c>
      <c r="E71" t="s">
        <v>3</v>
      </c>
      <c r="F71">
        <f>INDEX(ditarifnas,'Лист2_прогнозные цены'!$C71,'Лист2_прогнозные цены'!F$68)</f>
        <v>1.036576029241066</v>
      </c>
      <c r="G71">
        <f>INDEX(ditarifnas,'Лист2_прогнозные цены'!$C71,'Лист2_прогнозные цены'!G$68)*F71</f>
        <v>0.98972975121586237</v>
      </c>
      <c r="H71">
        <f>INDEX(ditarifnas,'Лист2_прогнозные цены'!$C71,'Лист2_прогнозные цены'!H$68)*G71</f>
        <v>0.99126235927557504</v>
      </c>
      <c r="I71">
        <f>INDEX(ditarifnas,'Лист2_прогнозные цены'!$C71,'Лист2_прогнозные цены'!I$68)*H71</f>
        <v>1.1658888888888888</v>
      </c>
      <c r="J71">
        <f>INDEX(ditarifnas,'Лист2_прогнозные цены'!$C71,'Лист2_прогнозные цены'!J$68)*I71</f>
        <v>1.2786297368590362</v>
      </c>
      <c r="K71">
        <f>INDEX(ditarifnas,'Лист2_прогнозные цены'!$C71,'Лист2_прогнозные цены'!K$68)*J71</f>
        <v>1.333848688497882</v>
      </c>
      <c r="L71">
        <f>INDEX(ditarifnas,'Лист2_прогнозные цены'!$C71,'Лист2_прогнозные цены'!L$68)*K71</f>
        <v>1.4772855688669639</v>
      </c>
      <c r="M71">
        <f>INDEX(ditarifnas,'Лист2_прогнозные цены'!$C71,'Лист2_прогнозные цены'!M$68)*L71</f>
        <v>1.6176276979093254</v>
      </c>
      <c r="N71" s="248">
        <f>INDEX(ditarifnas,'Лист2_прогнозные цены'!$C71,'Лист2_прогнозные цены'!N$68)*M71</f>
        <v>1.7955667446793513</v>
      </c>
      <c r="O71" s="3">
        <f>INDEX(ditarifnas,'Лист2_прогнозные цены'!$C71,'Лист2_прогнозные цены'!O$68)*N71</f>
        <v>2.0649017563812539</v>
      </c>
      <c r="P71">
        <f>INDEX(ditarifnas,'Лист2_прогнозные цены'!$C71,'Лист2_прогнозные цены'!P$68)*O71</f>
        <v>2.4056105461841608</v>
      </c>
      <c r="Q71">
        <f>INDEX(ditarifnas,'Лист2_прогнозные цены'!$C71,'Лист2_прогнозные цены'!Q$68)*P71</f>
        <v>2.814564339035468</v>
      </c>
      <c r="R71">
        <f>INDEX(ditarifnas,'Лист2_прогнозные цены'!$C71,'Лист2_прогнозные цены'!R$68)*Q71</f>
        <v>3.2086033465004338</v>
      </c>
      <c r="S71">
        <f>INDEX(ditarifnas,'Лист2_прогнозные цены'!$C71,'Лист2_прогнозные цены'!S$68)*R71</f>
        <v>3.5615497146154818</v>
      </c>
      <c r="T71">
        <f>INDEX(ditarifnas,'Лист2_прогнозные цены'!$C71,'Лист2_прогнозные цены'!T$68)*S71</f>
        <v>3.8820891889308755</v>
      </c>
      <c r="U71">
        <f>INDEX(ditarifnas,'Лист2_прогнозные цены'!$C71,'Лист2_прогнозные цены'!U$68)*T71</f>
        <v>4.1538354321560371</v>
      </c>
      <c r="V71">
        <f>INDEX(ditarifnas,'Лист2_прогнозные цены'!$C71,'Лист2_прогнозные цены'!V$68)*U71</f>
        <v>4.4030655580853999</v>
      </c>
      <c r="W71">
        <f>INDEX(ditarifnas,'Лист2_прогнозные цены'!$C71,'Лист2_прогнозные цены'!W$68)*V71</f>
        <v>4.7993414583130862</v>
      </c>
      <c r="X71">
        <f>INDEX(ditarifnas,'Лист2_прогнозные цены'!$C71,'Лист2_прогнозные цены'!X$68)*W71</f>
        <v>5.2792756041443951</v>
      </c>
      <c r="Y71">
        <f>INDEX(ditarifnas,'Лист2_прогнозные цены'!$C71,'Лист2_прогнозные цены'!Y$68)*X71</f>
        <v>5.7544104085173915</v>
      </c>
      <c r="Z71">
        <f>INDEX(ditarifnas,'Лист2_прогнозные цены'!$C71,'Лист2_прогнозные цены'!Z$68)*Y71</f>
        <v>6.2331773545060383</v>
      </c>
      <c r="AA71">
        <f>INDEX(ditarifnas,'Лист2_прогнозные цены'!$C71,'Лист2_прогнозные цены'!AA$68)*Z71</f>
        <v>6.6694997693214617</v>
      </c>
      <c r="AB71">
        <f>INDEX(ditarifnas,'Лист2_прогнозные цены'!$C71,'Лист2_прогнозные цены'!AB$68)*AA71</f>
        <v>7.0696697554807502</v>
      </c>
      <c r="AC71">
        <f>INDEX(ditarifnas,'Лист2_прогнозные цены'!$C71,'Лист2_прогнозные цены'!AC$68)*AB71</f>
        <v>7.4938499408095955</v>
      </c>
      <c r="AD71">
        <f>INDEX(ditarifnas,'Лист2_прогнозные цены'!$C71,'Лист2_прогнозные цены'!AD$68)*AC71</f>
        <v>7.9974366568319999</v>
      </c>
      <c r="AE71">
        <f>INDEX(ditarifnas,'Лист2_прогнозные цены'!$C71,'Лист2_прогнозные цены'!AE$68)*AD71</f>
        <v>8.5348644001711094</v>
      </c>
    </row>
    <row r="72" spans="1:33" x14ac:dyDescent="0.2">
      <c r="C72">
        <v>3</v>
      </c>
      <c r="E72" t="s">
        <v>4</v>
      </c>
      <c r="F72">
        <f>INDEX(ditarifnas,'Лист2_прогнозные цены'!$C72,'Лист2_прогнозные цены'!F$68)</f>
        <v>1.3588026116783611</v>
      </c>
      <c r="G72">
        <f>INDEX(ditarifnas,'Лист2_прогнозные цены'!$C72,'Лист2_прогнозные цены'!G$68)*F72</f>
        <v>1.6761205922480633</v>
      </c>
      <c r="H72">
        <f>INDEX(ditarifnas,'Лист2_прогнозные цены'!$C72,'Лист2_прогнозные цены'!H$68)*G72</f>
        <v>2.0586562689951236</v>
      </c>
      <c r="I72">
        <f>INDEX(ditarifnas,'Лист2_прогнозные цены'!$C72,'Лист2_прогнозные цены'!I$68)*H72</f>
        <v>2.3468616585536393</v>
      </c>
      <c r="J72">
        <f>INDEX(ditarifnas,'Лист2_прогнозные цены'!$C72,'Лист2_прогнозные цены'!J$68)*I72</f>
        <v>2.3962204076757647</v>
      </c>
      <c r="K72">
        <f>INDEX(ditarifnas,'Лист2_прогнозные цены'!$C72,'Лист2_прогнозные цены'!K$68)*J72</f>
        <v>2.4993475569033765</v>
      </c>
      <c r="L72">
        <f>INDEX(ditarifnas,'Лист2_прогнозные цены'!$C72,'Лист2_прогнозные цены'!L$68)*K72</f>
        <v>2.9247178503744173</v>
      </c>
      <c r="M72">
        <f>INDEX(ditarifnas,'Лист2_прогнозные цены'!$C72,'Лист2_прогнозные цены'!M$68)*L72</f>
        <v>3.202566046159987</v>
      </c>
      <c r="N72" s="248">
        <f>INDEX(ditarifnas,'Лист2_прогнозные цены'!$C72,'Лист2_прогнозные цены'!N$68)*M72</f>
        <v>3.5548483112375857</v>
      </c>
      <c r="O72" s="3">
        <f>INDEX(ditarifnas,'Лист2_прогнозные цены'!$C72,'Лист2_прогнозные цены'!O$68)*N72</f>
        <v>4.0880755579232231</v>
      </c>
      <c r="P72">
        <f>INDEX(ditarifnas,'Лист2_прогнозные цены'!$C72,'Лист2_прогнозные цены'!P$68)*O72</f>
        <v>4.7626080249805547</v>
      </c>
      <c r="Q72">
        <f>INDEX(ditarifnas,'Лист2_прогнозные цены'!$C72,'Лист2_прогнозные цены'!Q$68)*P72</f>
        <v>5.5722513892272483</v>
      </c>
      <c r="R72">
        <f>INDEX(ditarifnas,'Лист2_прогнозные цены'!$C72,'Лист2_прогнозные цены'!R$68)*Q72</f>
        <v>6.3523665837190642</v>
      </c>
      <c r="S72">
        <f>INDEX(ditarifnas,'Лист2_прогнозные цены'!$C72,'Лист2_прогнозные цены'!S$68)*R72</f>
        <v>7.051126907928162</v>
      </c>
      <c r="T72">
        <f>INDEX(ditarifnas,'Лист2_прогнозные цены'!$C72,'Лист2_прогнозные цены'!T$68)*S72</f>
        <v>7.6857283296416972</v>
      </c>
      <c r="U72">
        <f>INDEX(ditarifnas,'Лист2_прогнозные цены'!$C72,'Лист2_прогнозные цены'!U$68)*T72</f>
        <v>8.2237293127166158</v>
      </c>
      <c r="V72">
        <f>INDEX(ditarifnas,'Лист2_прогнозные цены'!$C72,'Лист2_прогнозные цены'!V$68)*U72</f>
        <v>8.717153071479613</v>
      </c>
      <c r="W72">
        <f>INDEX(ditarifnas,'Лист2_прогнозные цены'!$C72,'Лист2_прогнозные цены'!W$68)*V72</f>
        <v>9.501696847912779</v>
      </c>
      <c r="X72">
        <f>INDEX(ditarifnas,'Лист2_прогнозные цены'!$C72,'Лист2_прогнозные цены'!X$68)*W72</f>
        <v>10.451866532704058</v>
      </c>
      <c r="Y72">
        <f>INDEX(ditarifnas,'Лист2_прогнозные цены'!$C72,'Лист2_прогнозные цены'!Y$68)*X72</f>
        <v>11.392534520647423</v>
      </c>
      <c r="Z72">
        <f>INDEX(ditarifnas,'Лист2_прогнозные цены'!$C72,'Лист2_прогнозные цены'!Z$68)*Y72</f>
        <v>12.340393392765288</v>
      </c>
      <c r="AA72">
        <f>INDEX(ditarifnas,'Лист2_прогнозные цены'!$C72,'Лист2_прогнозные цены'!AA$68)*Z72</f>
        <v>13.204220930258858</v>
      </c>
      <c r="AB72">
        <f>INDEX(ditarifnas,'Лист2_прогнозные цены'!$C72,'Лист2_прогнозные цены'!AB$68)*AA72</f>
        <v>13.996474186074391</v>
      </c>
      <c r="AC72">
        <f>INDEX(ditarifnas,'Лист2_прогнозные цены'!$C72,'Лист2_прогнозные цены'!AC$68)*AB72</f>
        <v>14.836262637238855</v>
      </c>
      <c r="AD72">
        <f>INDEX(ditarifnas,'Лист2_прогнозные цены'!$C72,'Лист2_прогнозные цены'!AD$68)*AC72</f>
        <v>15.84216124404365</v>
      </c>
      <c r="AE72">
        <f>INDEX(ditarifnas,'Лист2_прогнозные цены'!$C72,'Лист2_прогнозные цены'!AE$68)*AD72</f>
        <v>16.916259776389811</v>
      </c>
    </row>
    <row r="73" spans="1:33" x14ac:dyDescent="0.2">
      <c r="C73">
        <v>4</v>
      </c>
      <c r="E73" t="s">
        <v>5</v>
      </c>
      <c r="F73">
        <f>INDEX(ditarifnas,'Лист2_прогнозные цены'!$C73,'Лист2_прогнозные цены'!F$68)</f>
        <v>1.8978688661306582</v>
      </c>
      <c r="G73">
        <f>INDEX(ditarifnas,'Лист2_прогнозные цены'!$C73,'Лист2_прогнозные цены'!G$68)*F73</f>
        <v>2.9839508513345971</v>
      </c>
      <c r="H73">
        <f>INDEX(ditarifnas,'Лист2_прогнозные цены'!$C73,'Лист2_прогнозные цены'!H$68)*G73</f>
        <v>4.3641489926680377</v>
      </c>
      <c r="I73">
        <f>INDEX(ditarifnas,'Лист2_прогнозные цены'!$C73,'Лист2_прогнозные цены'!I$68)*H73</f>
        <v>5.6064670245385129</v>
      </c>
      <c r="J73">
        <f>INDEX(ditarifnas,'Лист2_прогнозные цены'!$C73,'Лист2_прогнозные цены'!J$68)*I73</f>
        <v>7.1462865240487083</v>
      </c>
      <c r="K73">
        <f>INDEX(ditarifnas,'Лист2_прогнозные цены'!$C73,'Лист2_прогнозные цены'!K$68)*J73</f>
        <v>8.563977346816154</v>
      </c>
      <c r="L73">
        <f>INDEX(ditarifnas,'Лист2_прогнозные цены'!$C73,'Лист2_прогнозные цены'!L$68)*K73</f>
        <v>10.327262592098389</v>
      </c>
      <c r="M73">
        <f>INDEX(ditarifnas,'Лист2_прогнозные цены'!$C73,'Лист2_прогнозные цены'!M$68)*L73</f>
        <v>11.308352538347735</v>
      </c>
      <c r="N73" s="248">
        <f>INDEX(ditarifnas,'Лист2_прогнозные цены'!$C73,'Лист2_прогнозные цены'!N$68)*M73</f>
        <v>12.552271317565987</v>
      </c>
      <c r="O73" s="3">
        <f>INDEX(ditarifnas,'Лист2_прогнозные цены'!$C73,'Лист2_прогнозные цены'!O$68)*N73</f>
        <v>14.435112015200884</v>
      </c>
      <c r="P73">
        <f>INDEX(ditarifnas,'Лист2_прогнозные цены'!$C73,'Лист2_прогнозные цены'!P$68)*O73</f>
        <v>16.81690549770903</v>
      </c>
      <c r="Q73">
        <f>INDEX(ditarifnas,'Лист2_прогнозные цены'!$C73,'Лист2_прогнозные цены'!Q$68)*P73</f>
        <v>19.675779432319565</v>
      </c>
      <c r="R73">
        <f>INDEX(ditarifnas,'Лист2_прогнозные цены'!$C73,'Лист2_прогнозные цены'!R$68)*Q73</f>
        <v>22.430388552844306</v>
      </c>
      <c r="S73">
        <f>INDEX(ditarifnas,'Лист2_прогнозные цены'!$C73,'Лист2_прогнозные цены'!S$68)*R73</f>
        <v>24.897731293657181</v>
      </c>
      <c r="T73">
        <f>INDEX(ditarifnas,'Лист2_прогнозные цены'!$C73,'Лист2_прогнозные цены'!T$68)*S73</f>
        <v>27.138527110086329</v>
      </c>
      <c r="U73">
        <f>INDEX(ditarifnas,'Лист2_прогнозные цены'!$C73,'Лист2_прогнозные цены'!U$68)*T73</f>
        <v>29.038224007792373</v>
      </c>
      <c r="V73">
        <f>INDEX(ditarifnas,'Лист2_прогнозные цены'!$C73,'Лист2_прогнозные цены'!V$68)*U73</f>
        <v>30.780517448259918</v>
      </c>
      <c r="W73">
        <f>INDEX(ditarifnas,'Лист2_прогнозные цены'!$C73,'Лист2_прогнозные цены'!W$68)*V73</f>
        <v>33.55076401860331</v>
      </c>
      <c r="X73">
        <f>INDEX(ditarifnas,'Лист2_прогнозные цены'!$C73,'Лист2_прогнозные цены'!X$68)*W73</f>
        <v>36.905840420463647</v>
      </c>
      <c r="Y73">
        <f>INDEX(ditarifnas,'Лист2_прогнозные цены'!$C73,'Лист2_прогнозные цены'!Y$68)*X73</f>
        <v>40.227366058305378</v>
      </c>
      <c r="Z73">
        <f>INDEX(ditarifnas,'Лист2_прогнозные цены'!$C73,'Лист2_прогнозные цены'!Z$68)*Y73</f>
        <v>43.574282914356381</v>
      </c>
      <c r="AA73">
        <f>INDEX(ditarifnas,'Лист2_прогнозные цены'!$C73,'Лист2_прогнозные цены'!AA$68)*Z73</f>
        <v>46.624482718361328</v>
      </c>
      <c r="AB73">
        <f>INDEX(ditarifnas,'Лист2_прогнозные цены'!$C73,'Лист2_прогнозные цены'!AB$68)*AA73</f>
        <v>49.421951681463007</v>
      </c>
      <c r="AC73">
        <f>INDEX(ditarifnas,'Лист2_прогнозные цены'!$C73,'Лист2_прогнозные цены'!AC$68)*AB73</f>
        <v>52.387268782350787</v>
      </c>
      <c r="AD73">
        <f>INDEX(ditarifnas,'Лист2_прогнозные цены'!$C73,'Лист2_прогнозные цены'!AD$68)*AC73</f>
        <v>55.970557967063584</v>
      </c>
      <c r="AE73">
        <f>INDEX(ditarifnas,'Лист2_прогнозные цены'!$C73,'Лист2_прогнозные цены'!AE$68)*AD73</f>
        <v>59.798944132010732</v>
      </c>
    </row>
    <row r="74" spans="1:33" x14ac:dyDescent="0.2">
      <c r="C74">
        <v>5</v>
      </c>
      <c r="E74" t="s">
        <v>6</v>
      </c>
      <c r="F74">
        <f>INDEX(ditarifnas,'Лист2_прогнозные цены'!$C74,'Лист2_прогнозные цены'!F$68)</f>
        <v>1.2184525848354637</v>
      </c>
      <c r="G74">
        <f>INDEX(ditarifnas,'Лист2_прогнозные цены'!$C74,'Лист2_прогнозные цены'!G$68)*F74</f>
        <v>1.2125788370004469</v>
      </c>
      <c r="H74">
        <f>INDEX(ditarifnas,'Лист2_прогнозные цены'!$C74,'Лист2_прогнозные цены'!H$68)*G74</f>
        <v>1.5340328550667524</v>
      </c>
      <c r="I74">
        <f>INDEX(ditarifnas,'Лист2_прогнозные цены'!$C74,'Лист2_прогнозные цены'!I$68)*H74</f>
        <v>1.9296214197089276</v>
      </c>
      <c r="J74">
        <f>INDEX(ditarifnas,'Лист2_прогнозные цены'!$C74,'Лист2_прогнозные цены'!J$68)*I74</f>
        <v>2.3699397665349609</v>
      </c>
      <c r="K74">
        <f>INDEX(ditarifnas,'Лист2_прогнозные цены'!$C74,'Лист2_прогнозные цены'!K$68)*J74</f>
        <v>2.5947005970992265</v>
      </c>
      <c r="L74">
        <f>INDEX(ditarifnas,'Лист2_прогнозные цены'!$C74,'Лист2_прогнозные цены'!L$68)*K74</f>
        <v>3.1239235253673727</v>
      </c>
      <c r="M74">
        <f>INDEX(ditarifnas,'Лист2_прогнозные цены'!$C74,'Лист2_прогнозные цены'!M$68)*L74</f>
        <v>3.420696260277273</v>
      </c>
      <c r="N74" s="248">
        <f>INDEX(ditarifnas,'Лист2_прогнозные цены'!$C74,'Лист2_прогнозные цены'!N$68)*M74</f>
        <v>3.7969728489077732</v>
      </c>
      <c r="O74" s="3">
        <f>INDEX(ditarifnas,'Лист2_прогнозные цены'!$C74,'Лист2_прогнозные цены'!O$68)*N74</f>
        <v>4.3665187762439386</v>
      </c>
      <c r="P74">
        <f>INDEX(ditarifnas,'Лист2_прогнозные цены'!$C74,'Лист2_прогнозные цены'!P$68)*O74</f>
        <v>5.0869943743241883</v>
      </c>
      <c r="Q74">
        <f>INDEX(ditarifnas,'Лист2_прогнозные цены'!$C74,'Лист2_прогнозные цены'!Q$68)*P74</f>
        <v>5.9517834179592999</v>
      </c>
      <c r="R74">
        <f>INDEX(ditarifnas,'Лист2_прогнозные цены'!$C74,'Лист2_прогнозные цены'!R$68)*Q74</f>
        <v>6.7850330964736028</v>
      </c>
      <c r="S74">
        <f>INDEX(ditarifnas,'Лист2_прогнозные цены'!$C74,'Лист2_прогнозные цены'!S$68)*R74</f>
        <v>7.5313867370856995</v>
      </c>
      <c r="T74">
        <f>INDEX(ditarifnas,'Лист2_прогнозные цены'!$C74,'Лист2_прогнозные цены'!T$68)*S74</f>
        <v>8.2092115434234127</v>
      </c>
      <c r="U74">
        <f>INDEX(ditarifnas,'Лист2_прогнозные цены'!$C74,'Лист2_прогнозные цены'!U$68)*T74</f>
        <v>8.7838563514630525</v>
      </c>
      <c r="V74">
        <f>INDEX(ditarifnas,'Лист2_прогнозные цены'!$C74,'Лист2_прогнозные цены'!V$68)*U74</f>
        <v>9.310887732550837</v>
      </c>
      <c r="W74">
        <f>INDEX(ditarifnas,'Лист2_прогнозные цены'!$C74,'Лист2_прогнозные цены'!W$68)*V74</f>
        <v>10.148867628480414</v>
      </c>
      <c r="X74">
        <f>INDEX(ditarifnas,'Лист2_прогнозные цены'!$C74,'Лист2_прогнозные цены'!X$68)*W74</f>
        <v>11.163754391328457</v>
      </c>
      <c r="Y74">
        <f>INDEX(ditarifnas,'Лист2_прогнозные цены'!$C74,'Лист2_прогнозные цены'!Y$68)*X74</f>
        <v>12.168492286548018</v>
      </c>
      <c r="Z74">
        <f>INDEX(ditarifnas,'Лист2_прогнозные цены'!$C74,'Лист2_прогнозные цены'!Z$68)*Y74</f>
        <v>13.180910844788812</v>
      </c>
      <c r="AA74">
        <f>INDEX(ditarifnas,'Лист2_прогнозные цены'!$C74,'Лист2_прогнозные цены'!AA$68)*Z74</f>
        <v>14.103574603924029</v>
      </c>
      <c r="AB74">
        <f>INDEX(ditarifnas,'Лист2_прогнозные цены'!$C74,'Лист2_прогнозные цены'!AB$68)*AA74</f>
        <v>14.949789080159471</v>
      </c>
      <c r="AC74">
        <f>INDEX(ditarifnas,'Лист2_прогнозные цены'!$C74,'Лист2_прогнозные цены'!AC$68)*AB74</f>
        <v>15.84677642496904</v>
      </c>
      <c r="AD74">
        <f>INDEX(ditarifnas,'Лист2_прогнозные цены'!$C74,'Лист2_прогнозные цены'!AD$68)*AC74</f>
        <v>16.940203998291903</v>
      </c>
      <c r="AE74">
        <f>INDEX(ditarifnas,'Лист2_прогнозные цены'!$C74,'Лист2_прогнозные цены'!AE$68)*AD74</f>
        <v>18.109078074174043</v>
      </c>
    </row>
    <row r="75" spans="1:33" x14ac:dyDescent="0.2">
      <c r="C75">
        <v>6</v>
      </c>
      <c r="E75" t="s">
        <v>1</v>
      </c>
      <c r="F75">
        <f>INDEX(ditarifnas,'Лист2_прогнозные цены'!$C75,'Лист2_прогнозные цены'!F$68)</f>
        <v>1.1624898733755784</v>
      </c>
      <c r="G75">
        <f>INDEX(ditarifnas,'Лист2_прогнозные цены'!$C75,'Лист2_прогнозные цены'!G$68)*F75</f>
        <v>1.6265376797410225</v>
      </c>
      <c r="H75">
        <f>INDEX(ditarifnas,'Лист2_прогнозные цены'!$C75,'Лист2_прогнозные цены'!H$68)*G75</f>
        <v>1.7884254508136637</v>
      </c>
      <c r="I75">
        <f>INDEX(ditarifnas,'Лист2_прогнозные цены'!$C75,'Лист2_прогнозные цены'!I$68)*H75</f>
        <v>1.9506623336428348</v>
      </c>
      <c r="J75">
        <f>INDEX(ditarifnas,'Лист2_прогнозные цены'!$C75,'Лист2_прогнозные цены'!J$68)*I75</f>
        <v>2.8904819846545249</v>
      </c>
      <c r="K75">
        <f>INDEX(ditarifnas,'Лист2_прогнозные цены'!$C75,'Лист2_прогнозные цены'!K$68)*J75</f>
        <v>3.0300440118124614</v>
      </c>
      <c r="L75">
        <f>INDEX(ditarifnas,'Лист2_прогнозные цены'!$C75,'Лист2_прогнозные цены'!L$68)*K75</f>
        <v>3.1680460163108508</v>
      </c>
      <c r="M75">
        <f>INDEX(ditarifnas,'Лист2_прогнозные цены'!$C75,'Лист2_прогнозные цены'!M$68)*L75</f>
        <v>3.4690103878603815</v>
      </c>
      <c r="N75" s="248">
        <f>INDEX(ditarifnas,'Лист2_прогнозные цены'!$C75,'Лист2_прогнозные цены'!N$68)*M75</f>
        <v>3.8506015305250236</v>
      </c>
      <c r="O75" s="3">
        <f>INDEX(ditarifnas,'Лист2_прогнозные цены'!$C75,'Лист2_прогнозные цены'!O$68)*N75</f>
        <v>4.4281917601037772</v>
      </c>
      <c r="P75">
        <f>INDEX(ditarifnas,'Лист2_прогнозные цены'!$C75,'Лист2_прогнозные цены'!P$68)*O75</f>
        <v>5.158843400520901</v>
      </c>
      <c r="Q75">
        <f>INDEX(ditarifnas,'Лист2_прогнозные цены'!$C75,'Лист2_прогнозные цены'!Q$68)*P75</f>
        <v>6.0358467786094536</v>
      </c>
      <c r="R75">
        <f>INDEX(ditarifnas,'Лист2_прогнозные цены'!$C75,'Лист2_прогнозные цены'!R$68)*Q75</f>
        <v>6.880865327614778</v>
      </c>
      <c r="S75">
        <f>INDEX(ditarifnas,'Лист2_прогнозные цены'!$C75,'Лист2_прогнозные цены'!S$68)*R75</f>
        <v>7.6377605136524043</v>
      </c>
      <c r="T75">
        <f>INDEX(ditarifnas,'Лист2_прогнозные цены'!$C75,'Лист2_прогнозные цены'!T$68)*S75</f>
        <v>8.3251589598811204</v>
      </c>
      <c r="U75">
        <f>INDEX(ditarifnas,'Лист2_прогнозные цены'!$C75,'Лист2_прогнозные цены'!U$68)*T75</f>
        <v>8.9079200870727995</v>
      </c>
      <c r="V75">
        <f>INDEX(ditarifnas,'Лист2_прогнозные цены'!$C75,'Лист2_прогнозные цены'!V$68)*U75</f>
        <v>9.4423952922971672</v>
      </c>
      <c r="W75">
        <f>INDEX(ditarifnas,'Лист2_прогнозные цены'!$C75,'Лист2_прогнозные цены'!W$68)*V75</f>
        <v>10.292210868603913</v>
      </c>
      <c r="X75">
        <f>INDEX(ditarifnas,'Лист2_прогнозные цены'!$C75,'Лист2_прогнозные цены'!X$68)*W75</f>
        <v>11.321431955464305</v>
      </c>
      <c r="Y75">
        <f>INDEX(ditarifnas,'Лист2_прогнозные цены'!$C75,'Лист2_прогнозные цены'!Y$68)*X75</f>
        <v>12.340360831456094</v>
      </c>
      <c r="Z75">
        <f>INDEX(ditarifnas,'Лист2_прогнозные цены'!$C75,'Лист2_прогнозные цены'!Z$68)*Y75</f>
        <v>13.36707885263324</v>
      </c>
      <c r="AA75">
        <f>INDEX(ditarifnas,'Лист2_прогнозные цены'!$C75,'Лист2_прогнозные цены'!AA$68)*Z75</f>
        <v>14.302774372317568</v>
      </c>
      <c r="AB75">
        <f>INDEX(ditarifnas,'Лист2_прогнозные цены'!$C75,'Лист2_прогнозные цены'!AB$68)*AA75</f>
        <v>15.160940834656623</v>
      </c>
      <c r="AC75">
        <f>INDEX(ditarifnas,'Лист2_прогнозные цены'!$C75,'Лист2_прогнозные цены'!AC$68)*AB75</f>
        <v>16.070597284736021</v>
      </c>
      <c r="AD75">
        <f>INDEX(ditarifnas,'Лист2_прогнозные цены'!$C75,'Лист2_прогнозные цены'!AD$68)*AC75</f>
        <v>17.189110855753647</v>
      </c>
      <c r="AE75">
        <f>INDEX(ditarifnas,'Лист2_прогнозные цены'!$C75,'Лист2_прогнозные цены'!AE$68)*AD75</f>
        <v>18.385472971314098</v>
      </c>
    </row>
    <row r="76" spans="1:33" x14ac:dyDescent="0.2">
      <c r="C76">
        <v>7</v>
      </c>
      <c r="E76" t="s">
        <v>2</v>
      </c>
      <c r="F76">
        <f>INDEX(ditarifnas,'Лист2_прогнозные цены'!$C76,'Лист2_прогнозные цены'!F$68)</f>
        <v>0.9517992893291698</v>
      </c>
      <c r="G76">
        <f>INDEX(ditarifnas,'Лист2_прогнозные цены'!$C76,'Лист2_прогнозные цены'!G$68)*F76</f>
        <v>1.3259501200041741</v>
      </c>
      <c r="H76">
        <f>INDEX(ditarifnas,'Лист2_прогнозные цены'!$C76,'Лист2_прогнозные цены'!H$68)*G76</f>
        <v>1.5591486849934946</v>
      </c>
      <c r="I76">
        <f>INDEX(ditarifnas,'Лист2_прогнозные цены'!$C76,'Лист2_прогнозные цены'!I$68)*H76</f>
        <v>1.8304653854141335</v>
      </c>
      <c r="J76">
        <f>INDEX(ditarifnas,'Лист2_прогнозные цены'!$C76,'Лист2_прогнозные цены'!J$68)*I76</f>
        <v>1.9297558786223046</v>
      </c>
      <c r="K76">
        <f>INDEX(ditarifnas,'Лист2_прогнозные цены'!$C76,'Лист2_прогнозные цены'!K$68)*J76</f>
        <v>3.1619092280339633</v>
      </c>
      <c r="L76">
        <f>INDEX(ditarifnas,'Лист2_прогнозные цены'!$C76,'Лист2_прогнозные цены'!L$68)*K76</f>
        <v>3.2736203067509844</v>
      </c>
      <c r="M76">
        <f>INDEX(ditarifnas,'Лист2_прогнозные цены'!$C76,'Лист2_прогнозные цены'!M$68)*L76</f>
        <v>3.5846142358923276</v>
      </c>
      <c r="N76" s="248">
        <f>INDEX(ditarifnas,'Лист2_прогнозные цены'!$C76,'Лист2_прогнозные цены'!N$68)*M76</f>
        <v>3.9789218018404839</v>
      </c>
      <c r="O76" s="3">
        <f>INDEX(ditarifnas,'Лист2_прогнозные цены'!$C76,'Лист2_прогнозные цены'!O$68)*N76</f>
        <v>4.5757600721165561</v>
      </c>
      <c r="P76">
        <f>INDEX(ditarifnas,'Лист2_прогнозные цены'!$C76,'Лист2_прогнозные цены'!P$68)*O76</f>
        <v>5.3307604840157881</v>
      </c>
      <c r="Q76">
        <f>INDEX(ditarifnas,'Лист2_прогнозные цены'!$C76,'Лист2_прогнозные цены'!Q$68)*P76</f>
        <v>6.2369897662984712</v>
      </c>
      <c r="R76">
        <f>INDEX(ditarifnas,'Лист2_прогнозные цены'!$C76,'Лист2_прогнозные цены'!R$68)*Q76</f>
        <v>7.1101683335802583</v>
      </c>
      <c r="S76">
        <f>INDEX(ditarifnas,'Лист2_прогнозные цены'!$C76,'Лист2_прогнозные цены'!S$68)*R76</f>
        <v>7.8922868502740871</v>
      </c>
      <c r="T76">
        <f>INDEX(ditarifnas,'Лист2_прогнозные цены'!$C76,'Лист2_прогнозные цены'!T$68)*S76</f>
        <v>8.6025926667987562</v>
      </c>
      <c r="U76">
        <f>INDEX(ditarifnas,'Лист2_прогнозные цены'!$C76,'Лист2_прогнозные цены'!U$68)*T76</f>
        <v>9.2047741534746699</v>
      </c>
      <c r="V76">
        <f>INDEX(ditarifnas,'Лист2_прогнозные цены'!$C76,'Лист2_прогнозные цены'!V$68)*U76</f>
        <v>9.7570606026831506</v>
      </c>
      <c r="W76">
        <f>INDEX(ditarifnas,'Лист2_прогнозные цены'!$C76,'Лист2_прогнозные цены'!W$68)*V76</f>
        <v>10.635196056924634</v>
      </c>
      <c r="X76">
        <f>INDEX(ditarifnas,'Лист2_прогнозные цены'!$C76,'Лист2_прогнозные цены'!X$68)*W76</f>
        <v>11.698715662617099</v>
      </c>
      <c r="Y76">
        <f>INDEX(ditarifnas,'Лист2_прогнозные цены'!$C76,'Лист2_прогнозные цены'!Y$68)*X76</f>
        <v>12.751600072252639</v>
      </c>
      <c r="Z76">
        <f>INDEX(ditarifnas,'Лист2_прогнозные цены'!$C76,'Лист2_прогнозные цены'!Z$68)*Y76</f>
        <v>13.812533198264058</v>
      </c>
      <c r="AA76">
        <f>INDEX(ditarifnas,'Лист2_прогнозные цены'!$C76,'Лист2_прогнозные цены'!AA$68)*Z76</f>
        <v>14.779410522142543</v>
      </c>
      <c r="AB76">
        <f>INDEX(ditarifnas,'Лист2_прогнозные цены'!$C76,'Лист2_прогнозные цены'!AB$68)*AA76</f>
        <v>15.666175153471096</v>
      </c>
      <c r="AC76">
        <f>INDEX(ditarifnas,'Лист2_прогнозные цены'!$C76,'Лист2_прогнозные цены'!AC$68)*AB76</f>
        <v>16.606145662679364</v>
      </c>
      <c r="AD76">
        <f>INDEX(ditarifnas,'Лист2_прогнозные цены'!$C76,'Лист2_прогнозные цены'!AD$68)*AC76</f>
        <v>17.771897088199456</v>
      </c>
      <c r="AE76">
        <f>INDEX(ditarifnas,'Лист2_прогнозные цены'!$C76,'Лист2_прогнозные цены'!AE$68)*AD76</f>
        <v>19.019484263791057</v>
      </c>
    </row>
    <row r="77" spans="1:33" x14ac:dyDescent="0.2">
      <c r="Z77"/>
    </row>
    <row r="79" spans="1:33" ht="18.75" thickBot="1" x14ac:dyDescent="0.3">
      <c r="B79" s="112" t="s">
        <v>79</v>
      </c>
      <c r="F79">
        <v>1</v>
      </c>
      <c r="G79">
        <v>2</v>
      </c>
      <c r="H79">
        <v>3</v>
      </c>
      <c r="I79">
        <v>4</v>
      </c>
      <c r="J79">
        <v>5</v>
      </c>
      <c r="K79">
        <v>6</v>
      </c>
      <c r="L79">
        <v>7</v>
      </c>
      <c r="M79">
        <v>8</v>
      </c>
      <c r="N79" s="248">
        <v>9</v>
      </c>
      <c r="O79" s="3">
        <v>10</v>
      </c>
      <c r="P79">
        <v>11</v>
      </c>
      <c r="Q79">
        <v>12</v>
      </c>
      <c r="R79">
        <v>13</v>
      </c>
      <c r="S79">
        <v>14</v>
      </c>
      <c r="T79">
        <v>15</v>
      </c>
      <c r="U79">
        <v>16</v>
      </c>
      <c r="V79">
        <v>17</v>
      </c>
      <c r="W79">
        <v>18</v>
      </c>
      <c r="X79">
        <v>19</v>
      </c>
      <c r="Y79">
        <v>20</v>
      </c>
      <c r="Z79">
        <v>21</v>
      </c>
      <c r="AA79">
        <v>22</v>
      </c>
      <c r="AB79">
        <v>23</v>
      </c>
      <c r="AC79">
        <v>24</v>
      </c>
      <c r="AD79">
        <v>25</v>
      </c>
      <c r="AE79">
        <v>26</v>
      </c>
    </row>
    <row r="80" spans="1:33" ht="13.5" thickBot="1" x14ac:dyDescent="0.25">
      <c r="F80" s="31">
        <v>2006</v>
      </c>
      <c r="G80" s="31">
        <v>2007</v>
      </c>
      <c r="H80" s="31">
        <v>2008</v>
      </c>
      <c r="I80" s="31">
        <v>2009</v>
      </c>
      <c r="J80" s="31">
        <v>2010</v>
      </c>
      <c r="K80" s="31">
        <v>2011</v>
      </c>
      <c r="L80" s="31">
        <v>2012</v>
      </c>
      <c r="M80" s="31">
        <v>2013</v>
      </c>
      <c r="N80" s="287">
        <v>2014</v>
      </c>
      <c r="O80" s="282">
        <v>2015</v>
      </c>
      <c r="P80" s="31">
        <v>2016</v>
      </c>
      <c r="Q80" s="31">
        <v>2017</v>
      </c>
      <c r="R80" s="31">
        <v>2018</v>
      </c>
      <c r="S80" s="31">
        <v>2019</v>
      </c>
      <c r="T80" s="31">
        <v>2020</v>
      </c>
      <c r="U80" s="31">
        <v>2021</v>
      </c>
      <c r="V80" s="31">
        <v>2022</v>
      </c>
      <c r="W80" s="31">
        <v>2023</v>
      </c>
      <c r="X80" s="31">
        <v>2024</v>
      </c>
      <c r="Y80" s="31">
        <v>2025</v>
      </c>
      <c r="Z80" s="31">
        <v>2026</v>
      </c>
      <c r="AA80" s="31">
        <v>2027</v>
      </c>
      <c r="AB80" s="31">
        <v>2028</v>
      </c>
      <c r="AC80" s="31">
        <v>2029</v>
      </c>
      <c r="AD80" s="31">
        <v>2030</v>
      </c>
      <c r="AE80" s="31">
        <v>2031</v>
      </c>
      <c r="AF80" s="383"/>
    </row>
    <row r="81" spans="1:48" ht="18.75" thickBot="1" x14ac:dyDescent="0.3">
      <c r="B81" s="113" t="s">
        <v>80</v>
      </c>
      <c r="C81">
        <v>1</v>
      </c>
      <c r="E81" t="s">
        <v>0</v>
      </c>
      <c r="F81" s="374">
        <f>F70/INDEX([1]!KumIndPotrS,NscenInfl,F$79)</f>
        <v>1.0325966697779725</v>
      </c>
      <c r="G81" s="374">
        <f>G70/INDEX([1]!KumIndPotrS,NscenInfl,G$79)</f>
        <v>1.1185778603658725</v>
      </c>
      <c r="H81" s="374">
        <f>H70/INDEX([1]!KumIndPotrS,NscenInfl,H$79)</f>
        <v>1.1366117614352298</v>
      </c>
      <c r="I81" s="374">
        <f>I70/INDEX([1]!KumIndPotrS,NscenInfl,I$79)</f>
        <v>1.2580988318369857</v>
      </c>
      <c r="J81" s="374">
        <f>J70/INDEX([1]!KumIndPotrS,NscenInfl,J$79)</f>
        <v>1.3063690533201939</v>
      </c>
      <c r="K81" s="374">
        <f>K70/INDEX([1]!KumIndPotrS,NscenInfl,K$79)</f>
        <v>1.3833928277991789</v>
      </c>
      <c r="L81" s="374">
        <f>L70/INDEX([1]!KumIndPotrS,NscenInfl,L$79)</f>
        <v>1.4119915097832993</v>
      </c>
      <c r="M81" s="374">
        <f>M70/INDEX([1]!KumIndPotrS,NscenInfl,M$79)</f>
        <v>1.4273732489039077</v>
      </c>
      <c r="N81" s="375">
        <f>N70/INDEX([1]!KumIndPotrS,NscenInfl,N$79)</f>
        <v>1.4273732489039077</v>
      </c>
      <c r="O81" s="376">
        <f>O70/INDEX([1]!KumIndPotrS,NscenInfl,O$79)</f>
        <v>1.4273732489039077</v>
      </c>
      <c r="P81" s="374">
        <f>P70/INDEX([1]!KumIndPotrS,NscenInfl,P$79)</f>
        <v>1.4273732489039077</v>
      </c>
      <c r="Q81" s="374">
        <f>Q70/INDEX([1]!KumIndPotrS,NscenInfl,Q$79)</f>
        <v>1.4273732489039077</v>
      </c>
      <c r="R81" s="374">
        <f>R70/INDEX([1]!KumIndPotrS,NscenInfl,R$79)</f>
        <v>1.4273732489039077</v>
      </c>
      <c r="S81" s="374">
        <f>S70/INDEX([1]!KumIndPotrS,NscenInfl,S$79)</f>
        <v>1.4273732489039077</v>
      </c>
      <c r="T81" s="374">
        <f>T70/INDEX([1]!KumIndPotrS,NscenInfl,T$79)</f>
        <v>1.4273732489039077</v>
      </c>
      <c r="U81" s="374">
        <f>U70/INDEX([1]!KumIndPotrS,NscenInfl,U$79)</f>
        <v>1.4273732489039077</v>
      </c>
      <c r="V81" s="374">
        <f>V70/INDEX([1]!KumIndPotrS,NscenInfl,V$79)</f>
        <v>1.4273732489039079</v>
      </c>
      <c r="W81" s="374">
        <f>W70/INDEX([1]!KumIndPotrS,NscenInfl,W$79)</f>
        <v>1.4273732489039082</v>
      </c>
      <c r="X81" s="374">
        <f>X70/INDEX([1]!KumIndPotrS,NscenInfl,X$79)</f>
        <v>1.4273732489039079</v>
      </c>
      <c r="Y81" s="374">
        <f>Y70/INDEX([1]!KumIndPotrS,NscenInfl,Y$79)</f>
        <v>1.4273732489039079</v>
      </c>
      <c r="Z81" s="374">
        <f>Z70/INDEX([1]!KumIndPotrS,NscenInfl,Z$79)</f>
        <v>1.4273732489039079</v>
      </c>
      <c r="AA81" s="374">
        <f>AA70/INDEX([1]!KumIndPotrS,NscenInfl,AA$79)</f>
        <v>1.4273732489039082</v>
      </c>
      <c r="AB81" s="374">
        <f>AB70/INDEX([1]!KumIndPotrS,NscenInfl,AB$79)</f>
        <v>1.4273732489039082</v>
      </c>
      <c r="AC81" s="374">
        <f>AC70/INDEX([1]!KumIndPotrS,NscenInfl,AC$79)</f>
        <v>1.4273732489039079</v>
      </c>
      <c r="AD81" s="374">
        <f>AD70/INDEX([1]!KumIndPotrS,NscenInfl,AD$79)</f>
        <v>1.435452720124119</v>
      </c>
      <c r="AE81" s="114">
        <f>AE70/INDEX([1]!KumIndPotrS,NscenInfl,AE$79)</f>
        <v>1.4435779242002931</v>
      </c>
      <c r="AF81" s="107"/>
    </row>
    <row r="82" spans="1:48" ht="13.5" thickBot="1" x14ac:dyDescent="0.25">
      <c r="C82">
        <v>2</v>
      </c>
      <c r="E82" t="s">
        <v>3</v>
      </c>
      <c r="F82" s="374">
        <f>F71/INDEX([1]!KumIndPotrS,NscenInfl,F$79)</f>
        <v>0.95098718278996874</v>
      </c>
      <c r="G82" s="374">
        <f>G71/INDEX([1]!KumIndPotrS,NscenInfl,G$79)</f>
        <v>0.81876370249738362</v>
      </c>
      <c r="H82" s="374">
        <f>H71/INDEX([1]!KumIndPotrS,NscenInfl,H$79)</f>
        <v>0.72826959825687609</v>
      </c>
      <c r="I82" s="374">
        <f>I71/INDEX([1]!KumIndPotrS,NscenInfl,I$79)</f>
        <v>0.76891005108934274</v>
      </c>
      <c r="J82" s="374">
        <f>J71/INDEX([1]!KumIndPotrS,NscenInfl,J$79)</f>
        <v>0.77363601130624526</v>
      </c>
      <c r="K82" s="374">
        <f>K71/INDEX([1]!KumIndPotrS,NscenInfl,K$79)</f>
        <v>0.75284168379269922</v>
      </c>
      <c r="L82" s="374">
        <f>L71/INDEX([1]!KumIndPotrS,NscenInfl,L$79)</f>
        <v>0.76551536837549738</v>
      </c>
      <c r="M82" s="374">
        <f>M71/INDEX([1]!KumIndPotrS,NscenInfl,M$79)</f>
        <v>0.77385462368091729</v>
      </c>
      <c r="N82" s="375">
        <f>N71/INDEX([1]!KumIndPotrS,NscenInfl,N$79)</f>
        <v>0.77385462368091729</v>
      </c>
      <c r="O82" s="376">
        <f>O71/INDEX([1]!KumIndPotrS,NscenInfl,O$79)</f>
        <v>0.77385462368091729</v>
      </c>
      <c r="P82" s="374">
        <f>P71/INDEX([1]!KumIndPotrS,NscenInfl,P$79)</f>
        <v>0.77385462368091729</v>
      </c>
      <c r="Q82" s="374">
        <f>Q71/INDEX([1]!KumIndPotrS,NscenInfl,Q$79)</f>
        <v>0.77385462368091729</v>
      </c>
      <c r="R82" s="374">
        <f>R71/INDEX([1]!KumIndPotrS,NscenInfl,R$79)</f>
        <v>0.77385462368091718</v>
      </c>
      <c r="S82" s="374">
        <f>S71/INDEX([1]!KumIndPotrS,NscenInfl,S$79)</f>
        <v>0.77385462368091729</v>
      </c>
      <c r="T82" s="374">
        <f>T71/INDEX([1]!KumIndPotrS,NscenInfl,T$79)</f>
        <v>0.77385462368091729</v>
      </c>
      <c r="U82" s="374">
        <f>U71/INDEX([1]!KumIndPotrS,NscenInfl,U$79)</f>
        <v>0.77385462368091729</v>
      </c>
      <c r="V82" s="374">
        <f>V71/INDEX([1]!KumIndPotrS,NscenInfl,V$79)</f>
        <v>0.7738546236809174</v>
      </c>
      <c r="W82" s="374">
        <f>W71/INDEX([1]!KumIndPotrS,NscenInfl,W$79)</f>
        <v>0.7738546236809174</v>
      </c>
      <c r="X82" s="374">
        <f>X71/INDEX([1]!KumIndPotrS,NscenInfl,X$79)</f>
        <v>0.77385462368091729</v>
      </c>
      <c r="Y82" s="374">
        <f>Y71/INDEX([1]!KumIndPotrS,NscenInfl,Y$79)</f>
        <v>0.7738546236809174</v>
      </c>
      <c r="Z82" s="374">
        <f>Z71/INDEX([1]!KumIndPotrS,NscenInfl,Z$79)</f>
        <v>0.7738546236809174</v>
      </c>
      <c r="AA82" s="374">
        <f>AA71/INDEX([1]!KumIndPotrS,NscenInfl,AA$79)</f>
        <v>0.77385462368091751</v>
      </c>
      <c r="AB82" s="374">
        <f>AB71/INDEX([1]!KumIndPotrS,NscenInfl,AB$79)</f>
        <v>0.77385462368091751</v>
      </c>
      <c r="AC82" s="374">
        <f>AC71/INDEX([1]!KumIndPotrS,NscenInfl,AC$79)</f>
        <v>0.77385462368091751</v>
      </c>
      <c r="AD82" s="374">
        <f>AD71/INDEX([1]!KumIndPotrS,NscenInfl,AD$79)</f>
        <v>0.77911099470969347</v>
      </c>
      <c r="AE82" s="114">
        <f>AE71/INDEX([1]!KumIndPotrS,NscenInfl,AE$79)</f>
        <v>0.78440306939074034</v>
      </c>
      <c r="AF82" s="107"/>
    </row>
    <row r="83" spans="1:48" ht="13.5" thickBot="1" x14ac:dyDescent="0.25">
      <c r="C83">
        <v>3</v>
      </c>
      <c r="E83" t="s">
        <v>4</v>
      </c>
      <c r="F83" s="374">
        <f>F72/INDEX([1]!KumIndPotrS,NscenInfl,F$79)</f>
        <v>1.2466079006223496</v>
      </c>
      <c r="G83" s="374">
        <f>G72/INDEX([1]!KumIndPotrS,NscenInfl,G$79)</f>
        <v>1.3865872984572125</v>
      </c>
      <c r="H83" s="374">
        <f>H72/INDEX([1]!KumIndPotrS,NscenInfl,H$79)</f>
        <v>1.5124722127709467</v>
      </c>
      <c r="I83" s="374">
        <f>I72/INDEX([1]!KumIndPotrS,NscenInfl,I$79)</f>
        <v>1.5477680034311339</v>
      </c>
      <c r="J83" s="374">
        <f>J72/INDEX([1]!KumIndPotrS,NscenInfl,J$79)</f>
        <v>1.4498351985452671</v>
      </c>
      <c r="K83" s="374">
        <f>K72/INDEX([1]!KumIndPotrS,NscenInfl,K$79)</f>
        <v>1.4106645224064296</v>
      </c>
      <c r="L83" s="374">
        <f>L72/INDEX([1]!KumIndPotrS,NscenInfl,L$79)</f>
        <v>1.5155610464271645</v>
      </c>
      <c r="M83" s="374">
        <f>M72/INDEX([1]!KumIndPotrS,NscenInfl,M$79)</f>
        <v>1.5320710356700011</v>
      </c>
      <c r="N83" s="375">
        <f>N72/INDEX([1]!KumIndPotrS,NscenInfl,N$79)</f>
        <v>1.5320710356700011</v>
      </c>
      <c r="O83" s="376">
        <f>O72/INDEX([1]!KumIndPotrS,NscenInfl,O$79)</f>
        <v>1.5320710356700009</v>
      </c>
      <c r="P83" s="374">
        <f>P72/INDEX([1]!KumIndPotrS,NscenInfl,P$79)</f>
        <v>1.5320710356700009</v>
      </c>
      <c r="Q83" s="374">
        <f>Q72/INDEX([1]!KumIndPotrS,NscenInfl,Q$79)</f>
        <v>1.5320710356700009</v>
      </c>
      <c r="R83" s="374">
        <f>R72/INDEX([1]!KumIndPotrS,NscenInfl,R$79)</f>
        <v>1.5320710356700009</v>
      </c>
      <c r="S83" s="374">
        <f>S72/INDEX([1]!KumIndPotrS,NscenInfl,S$79)</f>
        <v>1.5320710356700009</v>
      </c>
      <c r="T83" s="374">
        <f>T72/INDEX([1]!KumIndPotrS,NscenInfl,T$79)</f>
        <v>1.5320710356700009</v>
      </c>
      <c r="U83" s="374">
        <f>U72/INDEX([1]!KumIndPotrS,NscenInfl,U$79)</f>
        <v>1.5320710356700009</v>
      </c>
      <c r="V83" s="374">
        <f>V72/INDEX([1]!KumIndPotrS,NscenInfl,V$79)</f>
        <v>1.5320710356700009</v>
      </c>
      <c r="W83" s="374">
        <f>W72/INDEX([1]!KumIndPotrS,NscenInfl,W$79)</f>
        <v>1.5320710356700009</v>
      </c>
      <c r="X83" s="374">
        <f>X72/INDEX([1]!KumIndPotrS,NscenInfl,X$79)</f>
        <v>1.5320710356700009</v>
      </c>
      <c r="Y83" s="374">
        <f>Y72/INDEX([1]!KumIndPotrS,NscenInfl,Y$79)</f>
        <v>1.5320710356700007</v>
      </c>
      <c r="Z83" s="374">
        <f>Z72/INDEX([1]!KumIndPotrS,NscenInfl,Z$79)</f>
        <v>1.5320710356700007</v>
      </c>
      <c r="AA83" s="374">
        <f>AA72/INDEX([1]!KumIndPotrS,NscenInfl,AA$79)</f>
        <v>1.5320710356700007</v>
      </c>
      <c r="AB83" s="374">
        <f>AB72/INDEX([1]!KumIndPotrS,NscenInfl,AB$79)</f>
        <v>1.5320710356700007</v>
      </c>
      <c r="AC83" s="374">
        <f>AC72/INDEX([1]!KumIndPotrS,NscenInfl,AC$79)</f>
        <v>1.5320710356700007</v>
      </c>
      <c r="AD83" s="374">
        <f>AD72/INDEX([1]!KumIndPotrS,NscenInfl,AD$79)</f>
        <v>1.5433447659324782</v>
      </c>
      <c r="AE83" s="114">
        <f>AE72/INDEX([1]!KumIndPotrS,NscenInfl,AE$79)</f>
        <v>1.5547014538327359</v>
      </c>
      <c r="AF83" s="107"/>
    </row>
    <row r="84" spans="1:48" ht="13.5" thickBot="1" x14ac:dyDescent="0.25">
      <c r="C84">
        <v>4</v>
      </c>
      <c r="E84" t="s">
        <v>5</v>
      </c>
      <c r="F84" s="374">
        <f>F73/INDEX([1]!KumIndPotrS,NscenInfl,F$79)</f>
        <v>1.7411640973675762</v>
      </c>
      <c r="G84" s="374">
        <f>G73/INDEX([1]!KumIndPotrS,NscenInfl,G$79)</f>
        <v>2.468502784833511</v>
      </c>
      <c r="H84" s="374">
        <f>H73/INDEX([1]!KumIndPotrS,NscenInfl,H$79)</f>
        <v>3.2062924652422193</v>
      </c>
      <c r="I84" s="374">
        <f>I73/INDEX([1]!KumIndPotrS,NscenInfl,I$79)</f>
        <v>3.6974954366165647</v>
      </c>
      <c r="J84" s="374">
        <f>J73/INDEX([1]!KumIndPotrS,NscenInfl,J$79)</f>
        <v>4.3238667479279211</v>
      </c>
      <c r="K84" s="374">
        <f>K73/INDEX([1]!KumIndPotrS,NscenInfl,K$79)</f>
        <v>4.8336210706180447</v>
      </c>
      <c r="L84" s="374">
        <f>L73/INDEX([1]!KumIndPotrS,NscenInfl,L$79)</f>
        <v>5.3514895116481256</v>
      </c>
      <c r="M84" s="374">
        <f>M73/INDEX([1]!KumIndPotrS,NscenInfl,M$79)</f>
        <v>5.4097867570667448</v>
      </c>
      <c r="N84" s="375">
        <f>N73/INDEX([1]!KumIndPotrS,NscenInfl,N$79)</f>
        <v>5.4097867570667439</v>
      </c>
      <c r="O84" s="376">
        <f>O73/INDEX([1]!KumIndPotrS,NscenInfl,O$79)</f>
        <v>5.4097867570667439</v>
      </c>
      <c r="P84" s="374">
        <f>P73/INDEX([1]!KumIndPotrS,NscenInfl,P$79)</f>
        <v>5.4097867570667439</v>
      </c>
      <c r="Q84" s="374">
        <f>Q73/INDEX([1]!KumIndPotrS,NscenInfl,Q$79)</f>
        <v>5.4097867570667448</v>
      </c>
      <c r="R84" s="374">
        <f>R73/INDEX([1]!KumIndPotrS,NscenInfl,R$79)</f>
        <v>5.4097867570667439</v>
      </c>
      <c r="S84" s="374">
        <f>S73/INDEX([1]!KumIndPotrS,NscenInfl,S$79)</f>
        <v>5.4097867570667439</v>
      </c>
      <c r="T84" s="374">
        <f>T73/INDEX([1]!KumIndPotrS,NscenInfl,T$79)</f>
        <v>5.4097867570667439</v>
      </c>
      <c r="U84" s="374">
        <f>U73/INDEX([1]!KumIndPotrS,NscenInfl,U$79)</f>
        <v>5.4097867570667439</v>
      </c>
      <c r="V84" s="374">
        <f>V73/INDEX([1]!KumIndPotrS,NscenInfl,V$79)</f>
        <v>5.4097867570667439</v>
      </c>
      <c r="W84" s="374">
        <f>W73/INDEX([1]!KumIndPotrS,NscenInfl,W$79)</f>
        <v>5.4097867570667439</v>
      </c>
      <c r="X84" s="374">
        <f>X73/INDEX([1]!KumIndPotrS,NscenInfl,X$79)</f>
        <v>5.4097867570667439</v>
      </c>
      <c r="Y84" s="374">
        <f>Y73/INDEX([1]!KumIndPotrS,NscenInfl,Y$79)</f>
        <v>5.4097867570667439</v>
      </c>
      <c r="Z84" s="374">
        <f>Z73/INDEX([1]!KumIndPotrS,NscenInfl,Z$79)</f>
        <v>5.4097867570667439</v>
      </c>
      <c r="AA84" s="374">
        <f>AA73/INDEX([1]!KumIndPotrS,NscenInfl,AA$79)</f>
        <v>5.4097867570667439</v>
      </c>
      <c r="AB84" s="374">
        <f>AB73/INDEX([1]!KumIndPotrS,NscenInfl,AB$79)</f>
        <v>5.4097867570667431</v>
      </c>
      <c r="AC84" s="374">
        <f>AC73/INDEX([1]!KumIndPotrS,NscenInfl,AC$79)</f>
        <v>5.4097867570667431</v>
      </c>
      <c r="AD84" s="374">
        <f>AD73/INDEX([1]!KumIndPotrS,NscenInfl,AD$79)</f>
        <v>5.4526567653302909</v>
      </c>
      <c r="AE84" s="114">
        <f>AE73/INDEX([1]!KumIndPotrS,NscenInfl,AE$79)</f>
        <v>5.4958664981876248</v>
      </c>
      <c r="AF84" s="107"/>
    </row>
    <row r="85" spans="1:48" ht="13.5" thickBot="1" x14ac:dyDescent="0.25">
      <c r="C85">
        <v>5</v>
      </c>
      <c r="E85" t="s">
        <v>6</v>
      </c>
      <c r="F85" s="374">
        <f>F74/INDEX([1]!KumIndPotrS,NscenInfl,F$79)</f>
        <v>1.1178464081059298</v>
      </c>
      <c r="G85" s="374">
        <f>G74/INDEX([1]!KumIndPotrS,NscenInfl,G$79)</f>
        <v>1.0031178075962697</v>
      </c>
      <c r="H85" s="374">
        <f>H74/INDEX([1]!KumIndPotrS,NscenInfl,H$79)</f>
        <v>1.1270371366554928</v>
      </c>
      <c r="I85" s="374">
        <f>I74/INDEX([1]!KumIndPotrS,NscenInfl,I$79)</f>
        <v>1.2725958009819247</v>
      </c>
      <c r="J85" s="374">
        <f>J74/INDEX([1]!KumIndPotrS,NscenInfl,J$79)</f>
        <v>1.433934074239581</v>
      </c>
      <c r="K85" s="374">
        <f>K74/INDEX([1]!KumIndPotrS,NscenInfl,K$79)</f>
        <v>1.4644830281746053</v>
      </c>
      <c r="L85" s="374">
        <f>L74/INDEX([1]!KumIndPotrS,NscenInfl,L$79)</f>
        <v>1.618787537559601</v>
      </c>
      <c r="M85" s="374">
        <f>M74/INDEX([1]!KumIndPotrS,NscenInfl,M$79)</f>
        <v>1.6364220399074623</v>
      </c>
      <c r="N85" s="375">
        <f>N74/INDEX([1]!KumIndPotrS,NscenInfl,N$79)</f>
        <v>1.636422039907462</v>
      </c>
      <c r="O85" s="376">
        <f>O74/INDEX([1]!KumIndPotrS,NscenInfl,O$79)</f>
        <v>1.636422039907462</v>
      </c>
      <c r="P85" s="374">
        <f>P74/INDEX([1]!KumIndPotrS,NscenInfl,P$79)</f>
        <v>1.636422039907462</v>
      </c>
      <c r="Q85" s="374">
        <f>Q74/INDEX([1]!KumIndPotrS,NscenInfl,Q$79)</f>
        <v>1.6364220399074618</v>
      </c>
      <c r="R85" s="374">
        <f>R74/INDEX([1]!KumIndPotrS,NscenInfl,R$79)</f>
        <v>1.6364220399074618</v>
      </c>
      <c r="S85" s="374">
        <f>S74/INDEX([1]!KumIndPotrS,NscenInfl,S$79)</f>
        <v>1.6364220399074618</v>
      </c>
      <c r="T85" s="374">
        <f>T74/INDEX([1]!KumIndPotrS,NscenInfl,T$79)</f>
        <v>1.6364220399074618</v>
      </c>
      <c r="U85" s="374">
        <f>U74/INDEX([1]!KumIndPotrS,NscenInfl,U$79)</f>
        <v>1.6364220399074618</v>
      </c>
      <c r="V85" s="374">
        <f>V74/INDEX([1]!KumIndPotrS,NscenInfl,V$79)</f>
        <v>1.636422039907462</v>
      </c>
      <c r="W85" s="374">
        <f>W74/INDEX([1]!KumIndPotrS,NscenInfl,W$79)</f>
        <v>1.6364220399074623</v>
      </c>
      <c r="X85" s="374">
        <f>X74/INDEX([1]!KumIndPotrS,NscenInfl,X$79)</f>
        <v>1.6364220399074623</v>
      </c>
      <c r="Y85" s="374">
        <f>Y74/INDEX([1]!KumIndPotrS,NscenInfl,Y$79)</f>
        <v>1.636422039907462</v>
      </c>
      <c r="Z85" s="374">
        <f>Z74/INDEX([1]!KumIndPotrS,NscenInfl,Z$79)</f>
        <v>1.6364220399074623</v>
      </c>
      <c r="AA85" s="374">
        <f>AA74/INDEX([1]!KumIndPotrS,NscenInfl,AA$79)</f>
        <v>1.6364220399074623</v>
      </c>
      <c r="AB85" s="374">
        <f>AB74/INDEX([1]!KumIndPotrS,NscenInfl,AB$79)</f>
        <v>1.636422039907462</v>
      </c>
      <c r="AC85" s="374">
        <f>AC74/INDEX([1]!KumIndPotrS,NscenInfl,AC$79)</f>
        <v>1.636422039907462</v>
      </c>
      <c r="AD85" s="374">
        <f>AD74/INDEX([1]!KumIndPotrS,NscenInfl,AD$79)</f>
        <v>1.6503161893029026</v>
      </c>
      <c r="AE85" s="114">
        <f>AE74/INDEX([1]!KumIndPotrS,NscenInfl,AE$79)</f>
        <v>1.6643283078913231</v>
      </c>
      <c r="AF85" s="107"/>
    </row>
    <row r="86" spans="1:48" ht="13.5" thickBot="1" x14ac:dyDescent="0.25">
      <c r="A86" s="14"/>
      <c r="C86">
        <v>6</v>
      </c>
      <c r="E86" t="s">
        <v>1</v>
      </c>
      <c r="F86" s="374">
        <f>F75/INDEX([1]!KumIndPotrS,NscenInfl,F$79)</f>
        <v>1.066504470986769</v>
      </c>
      <c r="G86" s="374">
        <f>G75/INDEX([1]!KumIndPotrS,NscenInfl,G$79)</f>
        <v>1.3455693448441213</v>
      </c>
      <c r="H86" s="374">
        <f>H75/INDEX([1]!KumIndPotrS,NscenInfl,H$79)</f>
        <v>1.3139365904383657</v>
      </c>
      <c r="I86" s="374">
        <f>I75/INDEX([1]!KumIndPotrS,NscenInfl,I$79)</f>
        <v>1.2864723979390373</v>
      </c>
      <c r="J86" s="374">
        <f>J75/INDEX([1]!KumIndPotrS,NscenInfl,J$79)</f>
        <v>1.7488885866630022</v>
      </c>
      <c r="K86" s="374">
        <f>K75/INDEX([1]!KumIndPotrS,NscenInfl,K$79)</f>
        <v>1.7101965578927818</v>
      </c>
      <c r="L86" s="374">
        <f>L75/INDEX([1]!KumIndPotrS,NscenInfl,L$79)</f>
        <v>1.6416513938241326</v>
      </c>
      <c r="M86" s="374">
        <f>M75/INDEX([1]!KumIndPotrS,NscenInfl,M$79)</f>
        <v>1.6595349669843291</v>
      </c>
      <c r="N86" s="375">
        <f>N75/INDEX([1]!KumIndPotrS,NscenInfl,N$79)</f>
        <v>1.6595349669843289</v>
      </c>
      <c r="O86" s="376">
        <f>O75/INDEX([1]!KumIndPotrS,NscenInfl,O$79)</f>
        <v>1.6595349669843291</v>
      </c>
      <c r="P86" s="374">
        <f>P75/INDEX([1]!KumIndPotrS,NscenInfl,P$79)</f>
        <v>1.6595349669843293</v>
      </c>
      <c r="Q86" s="374">
        <f>Q75/INDEX([1]!KumIndPotrS,NscenInfl,Q$79)</f>
        <v>1.6595349669843291</v>
      </c>
      <c r="R86" s="374">
        <f>R75/INDEX([1]!KumIndPotrS,NscenInfl,R$79)</f>
        <v>1.6595349669843291</v>
      </c>
      <c r="S86" s="374">
        <f>S75/INDEX([1]!KumIndPotrS,NscenInfl,S$79)</f>
        <v>1.6595349669843291</v>
      </c>
      <c r="T86" s="374">
        <f>T75/INDEX([1]!KumIndPotrS,NscenInfl,T$79)</f>
        <v>1.6595349669843289</v>
      </c>
      <c r="U86" s="374">
        <f>U75/INDEX([1]!KumIndPotrS,NscenInfl,U$79)</f>
        <v>1.6595349669843291</v>
      </c>
      <c r="V86" s="374">
        <f>V75/INDEX([1]!KumIndPotrS,NscenInfl,V$79)</f>
        <v>1.6595349669843289</v>
      </c>
      <c r="W86" s="374">
        <f>W75/INDEX([1]!KumIndPotrS,NscenInfl,W$79)</f>
        <v>1.6595349669843291</v>
      </c>
      <c r="X86" s="374">
        <f>X75/INDEX([1]!KumIndPotrS,NscenInfl,X$79)</f>
        <v>1.6595349669843289</v>
      </c>
      <c r="Y86" s="374">
        <f>Y75/INDEX([1]!KumIndPotrS,NscenInfl,Y$79)</f>
        <v>1.6595349669843289</v>
      </c>
      <c r="Z86" s="374">
        <f>Z75/INDEX([1]!KumIndPotrS,NscenInfl,Z$79)</f>
        <v>1.6595349669843291</v>
      </c>
      <c r="AA86" s="374">
        <f>AA75/INDEX([1]!KumIndPotrS,NscenInfl,AA$79)</f>
        <v>1.6595349669843291</v>
      </c>
      <c r="AB86" s="374">
        <f>AB75/INDEX([1]!KumIndPotrS,NscenInfl,AB$79)</f>
        <v>1.6595349669843291</v>
      </c>
      <c r="AC86" s="374">
        <f>AC75/INDEX([1]!KumIndPotrS,NscenInfl,AC$79)</f>
        <v>1.6595349669843291</v>
      </c>
      <c r="AD86" s="374">
        <f>AD75/INDEX([1]!KumIndPotrS,NscenInfl,AD$79)</f>
        <v>1.6745647176287153</v>
      </c>
      <c r="AE86" s="114">
        <f>AE75/INDEX([1]!KumIndPotrS,NscenInfl,AE$79)</f>
        <v>1.6897305867695032</v>
      </c>
      <c r="AF86" s="107"/>
    </row>
    <row r="87" spans="1:48" x14ac:dyDescent="0.2">
      <c r="B87" s="9"/>
      <c r="C87">
        <v>7</v>
      </c>
      <c r="E87" t="s">
        <v>2</v>
      </c>
      <c r="F87" s="374">
        <f>F76/INDEX([1]!KumIndPotrS,NscenInfl,F$79)</f>
        <v>0.87321035718272455</v>
      </c>
      <c r="G87" s="374">
        <f>G76/INDEX([1]!KumIndPotrS,NscenInfl,G$79)</f>
        <v>1.0969053201116585</v>
      </c>
      <c r="H87" s="374">
        <f>H76/INDEX([1]!KumIndPotrS,NscenInfl,H$79)</f>
        <v>1.1454894618138936</v>
      </c>
      <c r="I87" s="374">
        <f>I76/INDEX([1]!KumIndPotrS,NscenInfl,I$79)</f>
        <v>1.207201858109644</v>
      </c>
      <c r="J87" s="374">
        <f>J76/INDEX([1]!KumIndPotrS,NscenInfl,J$79)</f>
        <v>1.167600437949714</v>
      </c>
      <c r="K87" s="374">
        <f>K76/INDEX([1]!KumIndPotrS,NscenInfl,K$79)</f>
        <v>1.7846230144091362</v>
      </c>
      <c r="L87" s="374">
        <f>L76/INDEX([1]!KumIndPotrS,NscenInfl,L$79)</f>
        <v>1.6963589896610338</v>
      </c>
      <c r="M87" s="374">
        <f>M76/INDEX([1]!KumIndPotrS,NscenInfl,M$79)</f>
        <v>1.7148385281377696</v>
      </c>
      <c r="N87" s="375">
        <f>N76/INDEX([1]!KumIndPotrS,NscenInfl,N$79)</f>
        <v>1.7148385281377696</v>
      </c>
      <c r="O87" s="376">
        <f>O76/INDEX([1]!KumIndPotrS,NscenInfl,O$79)</f>
        <v>1.7148385281377694</v>
      </c>
      <c r="P87" s="374">
        <f>P76/INDEX([1]!KumIndPotrS,NscenInfl,P$79)</f>
        <v>1.7148385281377696</v>
      </c>
      <c r="Q87" s="374">
        <f>Q76/INDEX([1]!KumIndPotrS,NscenInfl,Q$79)</f>
        <v>1.7148385281377694</v>
      </c>
      <c r="R87" s="374">
        <f>R76/INDEX([1]!KumIndPotrS,NscenInfl,R$79)</f>
        <v>1.7148385281377694</v>
      </c>
      <c r="S87" s="374">
        <f>S76/INDEX([1]!KumIndPotrS,NscenInfl,S$79)</f>
        <v>1.7148385281377694</v>
      </c>
      <c r="T87" s="374">
        <f>T76/INDEX([1]!KumIndPotrS,NscenInfl,T$79)</f>
        <v>1.7148385281377694</v>
      </c>
      <c r="U87" s="374">
        <f>U76/INDEX([1]!KumIndPotrS,NscenInfl,U$79)</f>
        <v>1.7148385281377696</v>
      </c>
      <c r="V87" s="374">
        <f>V76/INDEX([1]!KumIndPotrS,NscenInfl,V$79)</f>
        <v>1.7148385281377696</v>
      </c>
      <c r="W87" s="374">
        <f>W76/INDEX([1]!KumIndPotrS,NscenInfl,W$79)</f>
        <v>1.7148385281377696</v>
      </c>
      <c r="X87" s="374">
        <f>X76/INDEX([1]!KumIndPotrS,NscenInfl,X$79)</f>
        <v>1.7148385281377696</v>
      </c>
      <c r="Y87" s="374">
        <f>Y76/INDEX([1]!KumIndPotrS,NscenInfl,Y$79)</f>
        <v>1.7148385281377696</v>
      </c>
      <c r="Z87" s="374">
        <f>Z76/INDEX([1]!KumIndPotrS,NscenInfl,Z$79)</f>
        <v>1.7148385281377696</v>
      </c>
      <c r="AA87" s="374">
        <f>AA76/INDEX([1]!KumIndPotrS,NscenInfl,AA$79)</f>
        <v>1.7148385281377698</v>
      </c>
      <c r="AB87" s="374">
        <f>AB76/INDEX([1]!KumIndPotrS,NscenInfl,AB$79)</f>
        <v>1.7148385281377696</v>
      </c>
      <c r="AC87" s="374">
        <f>AC76/INDEX([1]!KumIndPotrS,NscenInfl,AC$79)</f>
        <v>1.7148385281377696</v>
      </c>
      <c r="AD87" s="374">
        <f>AD76/INDEX([1]!KumIndPotrS,NscenInfl,AD$79)</f>
        <v>1.731339804540605</v>
      </c>
      <c r="AE87" s="114">
        <f>AE76/INDEX([1]!KumIndPotrS,NscenInfl,AE$79)</f>
        <v>1.7479998668107124</v>
      </c>
      <c r="AF87" s="107"/>
      <c r="AG87" s="92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</row>
    <row r="88" spans="1:48" x14ac:dyDescent="0.2">
      <c r="B88" s="9"/>
      <c r="F88" s="107"/>
      <c r="G88" s="107"/>
      <c r="H88" s="107"/>
      <c r="I88" s="107"/>
      <c r="J88" s="107"/>
      <c r="K88" s="107"/>
      <c r="L88" s="107"/>
      <c r="M88" s="107"/>
      <c r="N88" s="255"/>
      <c r="O88" s="109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92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</row>
    <row r="89" spans="1:48" x14ac:dyDescent="0.2">
      <c r="B89" s="9"/>
      <c r="F89" s="107"/>
      <c r="G89" s="107"/>
      <c r="H89" s="107"/>
      <c r="I89" s="107"/>
      <c r="J89" s="107"/>
      <c r="K89" s="107"/>
      <c r="L89" s="107"/>
      <c r="M89" s="107"/>
      <c r="N89" s="255"/>
      <c r="O89" s="109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92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</row>
    <row r="90" spans="1:48" x14ac:dyDescent="0.2">
      <c r="B90" s="9"/>
      <c r="F90" s="107"/>
      <c r="G90" s="107"/>
      <c r="H90" s="107"/>
      <c r="I90" s="107"/>
      <c r="J90" s="107"/>
      <c r="K90" s="107"/>
      <c r="L90" s="107"/>
      <c r="M90" s="107"/>
      <c r="N90" s="255"/>
      <c r="O90" s="109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92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</row>
    <row r="91" spans="1:48" ht="20.25" thickBot="1" x14ac:dyDescent="0.4">
      <c r="A91" s="122" t="s">
        <v>86</v>
      </c>
      <c r="B91" s="112" t="s">
        <v>82</v>
      </c>
      <c r="F91">
        <v>1</v>
      </c>
      <c r="G91">
        <v>2</v>
      </c>
      <c r="H91">
        <v>3</v>
      </c>
      <c r="I91">
        <v>4</v>
      </c>
      <c r="J91">
        <v>5</v>
      </c>
      <c r="K91">
        <v>6</v>
      </c>
      <c r="L91">
        <v>7</v>
      </c>
      <c r="M91">
        <v>8</v>
      </c>
      <c r="N91" s="248">
        <v>9</v>
      </c>
      <c r="O91" s="3">
        <v>10</v>
      </c>
      <c r="P91">
        <v>11</v>
      </c>
      <c r="Q91">
        <v>12</v>
      </c>
      <c r="R91">
        <v>13</v>
      </c>
      <c r="S91">
        <v>14</v>
      </c>
      <c r="T91">
        <v>15</v>
      </c>
      <c r="U91">
        <v>16</v>
      </c>
      <c r="V91">
        <v>17</v>
      </c>
      <c r="W91">
        <v>18</v>
      </c>
      <c r="X91">
        <v>19</v>
      </c>
      <c r="Y91">
        <v>20</v>
      </c>
      <c r="Z91">
        <v>21</v>
      </c>
      <c r="AA91">
        <v>22</v>
      </c>
      <c r="AB91">
        <v>23</v>
      </c>
      <c r="AC91">
        <v>24</v>
      </c>
      <c r="AD91">
        <v>25</v>
      </c>
      <c r="AE91">
        <v>26</v>
      </c>
      <c r="AG91">
        <v>27</v>
      </c>
    </row>
    <row r="92" spans="1:48" x14ac:dyDescent="0.2">
      <c r="F92" s="31">
        <v>2006</v>
      </c>
      <c r="G92" s="31">
        <v>2007</v>
      </c>
      <c r="H92" s="31">
        <v>2008</v>
      </c>
      <c r="I92" s="31">
        <v>2009</v>
      </c>
      <c r="J92" s="31">
        <v>2010</v>
      </c>
      <c r="K92" s="31">
        <v>2011</v>
      </c>
      <c r="L92" s="31">
        <v>2012</v>
      </c>
      <c r="M92" s="31">
        <v>2013</v>
      </c>
      <c r="N92" s="287">
        <v>2014</v>
      </c>
      <c r="O92" s="282">
        <v>2015</v>
      </c>
      <c r="P92" s="31">
        <v>2016</v>
      </c>
      <c r="Q92" s="31">
        <v>2017</v>
      </c>
      <c r="R92" s="31">
        <v>2018</v>
      </c>
      <c r="S92" s="31">
        <v>2019</v>
      </c>
      <c r="T92" s="31">
        <v>2020</v>
      </c>
      <c r="U92" s="31">
        <v>2021</v>
      </c>
      <c r="V92" s="31">
        <v>2022</v>
      </c>
      <c r="W92" s="31">
        <v>2023</v>
      </c>
      <c r="X92" s="31">
        <v>2024</v>
      </c>
      <c r="Y92" s="31">
        <v>2025</v>
      </c>
      <c r="Z92" s="31">
        <v>2026</v>
      </c>
      <c r="AA92" s="31">
        <v>2027</v>
      </c>
      <c r="AB92" s="31">
        <v>2028</v>
      </c>
      <c r="AC92" s="31">
        <v>2029</v>
      </c>
      <c r="AD92" s="31">
        <v>2030</v>
      </c>
      <c r="AE92" s="31">
        <v>2031</v>
      </c>
      <c r="AF92" s="383"/>
    </row>
    <row r="93" spans="1:48" x14ac:dyDescent="0.2">
      <c r="C93">
        <v>1</v>
      </c>
      <c r="E93" t="s">
        <v>0</v>
      </c>
      <c r="F93" s="18"/>
      <c r="G93" s="18"/>
      <c r="H93" s="18"/>
      <c r="I93" s="18"/>
      <c r="J93" s="18"/>
      <c r="K93" s="18"/>
      <c r="L93" s="18"/>
      <c r="M93" s="18"/>
      <c r="N93" s="288"/>
      <c r="O93" s="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48" x14ac:dyDescent="0.2">
      <c r="C94">
        <v>2</v>
      </c>
      <c r="E94" t="s">
        <v>3</v>
      </c>
      <c r="F94" s="18">
        <f>INDEX(DiZPGOSNS,'Лист2_прогнозные цены'!$C94,'Лист2_прогнозные цены'!F$91)</f>
        <v>1.1052023121387282</v>
      </c>
      <c r="G94" s="126">
        <f>INDEX(DiZPGOSNS,'Лист2_прогнозные цены'!$C94,'Лист2_прогнозные цены'!G$91)*F94</f>
        <v>1.27514450867052</v>
      </c>
      <c r="H94" s="126">
        <f>INDEX(DiZPGOSNS,'Лист2_прогнозные цены'!$C94,'Лист2_прогнозные цены'!H$91)*G94</f>
        <v>1.5805086705202309</v>
      </c>
      <c r="I94" s="127">
        <f>INDEX(DiZPGOSNS,'Лист2_прогнозные цены'!$C94,'Лист2_прогнозные цены'!I$91)*H94</f>
        <v>1.7351445086705202</v>
      </c>
      <c r="J94" s="128">
        <f>INDEX(DiZPGOSNS,'Лист2_прогнозные цены'!$C94,'Лист2_прогнозные цены'!J$91)*I94</f>
        <v>1.8267514450867053</v>
      </c>
      <c r="K94" s="128">
        <f>INDEX(DiZPGOSNS,'Лист2_прогнозные цены'!$C94,'Лист2_прогнозные цены'!K$91)*J94</f>
        <v>1.8497109826589597</v>
      </c>
      <c r="L94" s="128">
        <f>INDEX(DiZPGOSNS,'Лист2_прогнозные цены'!$C94,'Лист2_прогнозные цены'!L$91)*K94</f>
        <v>2.5433526011560694</v>
      </c>
      <c r="M94" s="128">
        <f>INDEX(DiZPGOSNS,'Лист2_прогнозные цены'!$C94,'Лист2_прогнозные цены'!M$91)*L94</f>
        <v>3.9306358381502888</v>
      </c>
      <c r="N94" s="289">
        <f>INDEX(DiZPGOSNS,'Лист2_прогнозные цены'!$C94,'Лист2_прогнозные цены'!N$91)*M94</f>
        <v>4.3630057803468212</v>
      </c>
      <c r="O94" s="3">
        <f>INDEX(DiZPGOSNS,'Лист2_прогнозные цены'!$C94,'Лист2_прогнозные цены'!O$91)*N94</f>
        <v>5.017456647398844</v>
      </c>
      <c r="P94" s="3">
        <f>INDEX(DiZPGOSNS,'Лист2_прогнозные цены'!$C94,'Лист2_прогнозные цены'!P$91)*O94</f>
        <v>5.8453369942196538</v>
      </c>
      <c r="Q94" s="3">
        <f>INDEX(DiZPGOSNS,'Лист2_прогнозные цены'!$C94,'Лист2_прогнозные цены'!Q$91)*P94</f>
        <v>6.8390442832369942</v>
      </c>
      <c r="R94" s="3">
        <f>INDEX(DiZPGOSNS,'Лист2_прогнозные цены'!$C94,'Лист2_прогнозные цены'!R$91)*Q94</f>
        <v>7.7965104828901746</v>
      </c>
      <c r="S94" s="3">
        <f>INDEX(DiZPGOSNS,'Лист2_прогнозные цены'!$C94,'Лист2_прогнозные цены'!S$91)*R94</f>
        <v>8.654126636008094</v>
      </c>
      <c r="T94" s="3">
        <f>INDEX(DiZPGOSNS,'Лист2_прогнозные цены'!$C94,'Лист2_прогнозные цены'!T$91)*S94</f>
        <v>9.4329980332488237</v>
      </c>
      <c r="U94" s="3">
        <f>INDEX(DiZPGOSNS,'Лист2_прогнозные цены'!$C94,'Лист2_прогнозные цены'!U$91)*T94</f>
        <v>10.093307895576242</v>
      </c>
      <c r="V94" s="3">
        <f>INDEX(DiZPGOSNS,'Лист2_прогнозные цены'!$C94,'Лист2_прогнозные цены'!V$91)*U94</f>
        <v>10.698906369310818</v>
      </c>
      <c r="W94" s="3">
        <f>INDEX(DiZPGOSNS,'Лист2_прогнозные цены'!$C94,'Лист2_прогнозные цены'!W$91)*V94</f>
        <v>11.661807942548792</v>
      </c>
      <c r="X94" s="3">
        <f>INDEX(DiZPGOSNS,'Лист2_прогнозные цены'!$C94,'Лист2_прогнозные цены'!X$91)*W94</f>
        <v>12.827988736803672</v>
      </c>
      <c r="Y94" s="3">
        <f>INDEX(DiZPGOSNS,'Лист2_прогнозные цены'!$C94,'Лист2_прогнозные цены'!Y$91)*X94</f>
        <v>13.982507723116003</v>
      </c>
      <c r="Z94" s="3">
        <f>INDEX(DiZPGOSNS,'Лист2_прогнозные цены'!$C94,'Лист2_прогнозные цены'!Z$91)*Y94</f>
        <v>15.145852365679254</v>
      </c>
      <c r="AA94" s="3">
        <f>INDEX(DiZPGOSNS,'Лист2_прогнозные цены'!$C94,'Лист2_прогнозные цены'!AA$91)*Z94</f>
        <v>16.206062031276801</v>
      </c>
      <c r="AB94" s="3">
        <f>INDEX(DiZPGOSNS,'Лист2_прогнозные цены'!$C94,'Лист2_прогнозные цены'!AB$91)*AA94</f>
        <v>17.178425753153409</v>
      </c>
      <c r="AC94" s="3">
        <f>INDEX(DiZPGOSNS,'Лист2_прогнозные цены'!$C94,'Лист2_прогнозные цены'!AC$91)*AB94</f>
        <v>18.209131298342616</v>
      </c>
      <c r="AD94" s="3">
        <f>INDEX(DiZPGOSNS,'Лист2_прогнозные цены'!$C94,'Лист2_прогнозные цены'!AD$91)*AC94</f>
        <v>19.41093396403323</v>
      </c>
      <c r="AE94" s="3">
        <f>INDEX(DiZPGOSNS,'Лист2_прогнозные цены'!$C94,'Лист2_прогнозные цены'!AE$91)*AD94</f>
        <v>20.692055605659423</v>
      </c>
      <c r="AF94" s="3"/>
    </row>
    <row r="95" spans="1:48" x14ac:dyDescent="0.2">
      <c r="C95">
        <v>3</v>
      </c>
      <c r="E95" t="s">
        <v>4</v>
      </c>
      <c r="F95" s="18">
        <f>INDEX(DiZPGOSNS,'Лист2_прогнозные цены'!$C95,'Лист2_прогнозные цены'!F$91)</f>
        <v>1.0386538461538461</v>
      </c>
      <c r="G95" s="126">
        <f>INDEX(DiZPGOSNS,'Лист2_прогнозные цены'!$C95,'Лист2_прогнозные цены'!G$91)*F95</f>
        <v>1.0642435897435898</v>
      </c>
      <c r="H95" s="126">
        <f>INDEX(DiZPGOSNS,'Лист2_прогнозные цены'!$C95,'Лист2_прогнозные цены'!H$91)*G95</f>
        <v>1.3066282051282052</v>
      </c>
      <c r="I95" s="127">
        <f>INDEX(DiZPGOSNS,'Лист2_прогнозные цены'!$C95,'Лист2_прогнозные цены'!I$91)*H95</f>
        <v>1.363576923076923</v>
      </c>
      <c r="J95" s="128">
        <f>INDEX(DiZPGOSNS,'Лист2_прогнозные цены'!$C95,'Лист2_прогнозные цены'!J$91)*I95</f>
        <v>1.3813846153846154</v>
      </c>
      <c r="K95" s="128">
        <f>INDEX(DiZPGOSNS,'Лист2_прогнозные цены'!$C95,'Лист2_прогнозные цены'!K$91)*J95</f>
        <v>1.5384615384615388</v>
      </c>
      <c r="L95" s="128">
        <f>INDEX(DiZPGOSNS,'Лист2_прогнозные цены'!$C95,'Лист2_прогнозные цены'!L$91)*K95</f>
        <v>1.666666666666667</v>
      </c>
      <c r="M95" s="128">
        <f>INDEX(DiZPGOSNS,'Лист2_прогнозные цены'!$C95,'Лист2_прогнозные цены'!M$91)*L95</f>
        <v>1.7948717948717952</v>
      </c>
      <c r="N95" s="289">
        <f>INDEX(DiZPGOSNS,'Лист2_прогнозные цены'!$C95,'Лист2_прогнозные цены'!N$91)*M95</f>
        <v>1.9923076923076928</v>
      </c>
      <c r="O95" s="3">
        <f>INDEX(DiZPGOSNS,'Лист2_прогнозные цены'!$C95,'Лист2_прогнозные цены'!O$91)*N95</f>
        <v>2.2911538461538465</v>
      </c>
      <c r="P95" s="3">
        <f>INDEX(DiZPGOSNS,'Лист2_прогнозные цены'!$C95,'Лист2_прогнозные цены'!P$91)*O95</f>
        <v>2.6691942307692313</v>
      </c>
      <c r="Q95" s="3">
        <f>INDEX(DiZPGOSNS,'Лист2_прогнозные цены'!$C95,'Лист2_прогнозные цены'!Q$91)*P95</f>
        <v>3.1229572500000007</v>
      </c>
      <c r="R95" s="3">
        <f>INDEX(DiZPGOSNS,'Лист2_прогнозные цены'!$C95,'Лист2_прогнозные цены'!R$91)*Q95</f>
        <v>3.560171265000001</v>
      </c>
      <c r="S95" s="3">
        <f>INDEX(DiZPGOSNS,'Лист2_прогнозные цены'!$C95,'Лист2_прогнозные цены'!S$91)*R95</f>
        <v>3.9517901041500014</v>
      </c>
      <c r="T95" s="3">
        <f>INDEX(DiZPGOSNS,'Лист2_прогнозные цены'!$C95,'Лист2_прогнозные цены'!T$91)*S95</f>
        <v>4.3074512135235015</v>
      </c>
      <c r="U95" s="3">
        <f>INDEX(DiZPGOSNS,'Лист2_прогнозные цены'!$C95,'Лист2_прогнозные цены'!U$91)*T95</f>
        <v>4.6089727984701465</v>
      </c>
      <c r="V95" s="3">
        <f>INDEX(DiZPGOSNS,'Лист2_прогнозные цены'!$C95,'Лист2_прогнозные цены'!V$91)*U95</f>
        <v>4.8855111663783557</v>
      </c>
      <c r="W95" s="3">
        <f>INDEX(DiZPGOSNS,'Лист2_прогнозные цены'!$C95,'Лист2_прогнозные цены'!W$91)*V95</f>
        <v>5.3252071713524085</v>
      </c>
      <c r="X95" s="3">
        <f>INDEX(DiZPGOSNS,'Лист2_прогнозные цены'!$C95,'Лист2_прогнозные цены'!X$91)*W95</f>
        <v>5.8577278884876502</v>
      </c>
      <c r="Y95" s="3">
        <f>INDEX(DiZPGOSNS,'Лист2_прогнозные цены'!$C95,'Лист2_прогнозные цены'!Y$91)*X95</f>
        <v>6.384923398451539</v>
      </c>
      <c r="Z95" s="3">
        <f>INDEX(DiZPGOSNS,'Лист2_прогнозные цены'!$C95,'Лист2_прогнозные цены'!Z$91)*Y95</f>
        <v>6.9161490252027065</v>
      </c>
      <c r="AA95" s="3">
        <f>INDEX(DiZPGOSNS,'Лист2_прогнозные цены'!$C95,'Лист2_прогнозные цены'!AA$91)*Z95</f>
        <v>7.4002794569668966</v>
      </c>
      <c r="AB95" s="3">
        <f>INDEX(DiZPGOSNS,'Лист2_прогнозные цены'!$C95,'Лист2_прогнозные цены'!AB$91)*AA95</f>
        <v>7.8442962243849106</v>
      </c>
      <c r="AC95" s="3">
        <f>INDEX(DiZPGOSNS,'Лист2_прогнозные цены'!$C95,'Лист2_прогнозные цены'!AC$91)*AB95</f>
        <v>8.314953997848006</v>
      </c>
      <c r="AD95" s="3">
        <f>INDEX(DiZPGOSNS,'Лист2_прогнозные цены'!$C95,'Лист2_прогнозные цены'!AD$91)*AC95</f>
        <v>8.8737189065033917</v>
      </c>
      <c r="AE95" s="3">
        <f>INDEX(DiZPGOSNS,'Лист2_прогнозные цены'!$C95,'Лист2_прогнозные цены'!AE$91)*AD95</f>
        <v>9.4700328170204191</v>
      </c>
      <c r="AF95" s="3"/>
    </row>
    <row r="96" spans="1:48" x14ac:dyDescent="0.2">
      <c r="C96">
        <v>4</v>
      </c>
      <c r="E96" t="s">
        <v>5</v>
      </c>
      <c r="F96" s="18">
        <f>INDEX(DiZPGOSNS,'Лист2_прогнозные цены'!$C96,'Лист2_прогнозные цены'!F$91)</f>
        <v>1.2826696578799777</v>
      </c>
      <c r="G96" s="126">
        <f>INDEX(DiZPGOSNS,'Лист2_прогнозные цены'!$C96,'Лист2_прогнозные цены'!G$91)*F96</f>
        <v>1.5563656758272575</v>
      </c>
      <c r="H96" s="126">
        <f>INDEX(DiZPGOSNS,'Лист2_прогнозные цены'!$C96,'Лист2_прогнозные цены'!H$91)*G96</f>
        <v>1.9753394857152571</v>
      </c>
      <c r="I96" s="126">
        <f>INDEX(DiZPGOSNS,'Лист2_прогнозные цены'!$C96,'Лист2_прогнозные цены'!I$91)*H96</f>
        <v>2.1455327248933531</v>
      </c>
      <c r="J96" s="126">
        <f>INDEX(DiZPGOSNS,'Лист2_прогнозные цены'!$C96,'Лист2_прогнозные цены'!J$91)*I96</f>
        <v>2.2525025918183514</v>
      </c>
      <c r="K96" s="126">
        <f>INDEX(DiZPGOSNS,'Лист2_прогнозные цены'!$C96,'Лист2_прогнозные цены'!K$91)*J96</f>
        <v>2.3793742245789353</v>
      </c>
      <c r="L96" s="126">
        <f>INDEX(DiZPGOSNS,'Лист2_прогнозные цены'!$C96,'Лист2_прогнозные цены'!L$91)*K96</f>
        <v>2.7192848280902115</v>
      </c>
      <c r="M96" s="126">
        <f>INDEX(DiZPGOSNS,'Лист2_прогнозные цены'!$C96,'Лист2_прогнозные цены'!M$91)*L96</f>
        <v>3.2291507333571263</v>
      </c>
      <c r="N96" s="288">
        <f>INDEX(DiZPGOSNS,'Лист2_прогнозные цены'!$C96,'Лист2_прогнозные цены'!N$91)*M96</f>
        <v>3.5843573140264104</v>
      </c>
      <c r="O96" s="3">
        <f>INDEX(DiZPGOSNS,'Лист2_прогнозные цены'!$C96,'Лист2_прогнозные цены'!O$91)*N96</f>
        <v>4.1220109111303715</v>
      </c>
      <c r="P96" s="3">
        <f>INDEX(DiZPGOSNS,'Лист2_прогнозные цены'!$C96,'Лист2_прогнозные цены'!P$91)*O96</f>
        <v>4.8021427114668827</v>
      </c>
      <c r="Q96" s="3">
        <f>INDEX(DiZPGOSNS,'Лист2_прогнозные цены'!$C96,'Лист2_прогнозные цены'!Q$91)*P96</f>
        <v>5.6185069724162524</v>
      </c>
      <c r="R96" s="3">
        <f>INDEX(DiZPGOSNS,'Лист2_прогнозные цены'!$C96,'Лист2_прогнозные цены'!R$91)*Q96</f>
        <v>6.4050979485545287</v>
      </c>
      <c r="S96" s="3">
        <f>INDEX(DiZPGOSNS,'Лист2_прогнозные цены'!$C96,'Лист2_прогнозные цены'!S$91)*R96</f>
        <v>7.1096587228955279</v>
      </c>
      <c r="T96" s="3">
        <f>INDEX(DiZPGOSNS,'Лист2_прогнозные цены'!$C96,'Лист2_прогнозные цены'!T$91)*S96</f>
        <v>7.7495280079561262</v>
      </c>
      <c r="U96" s="3">
        <f>INDEX(DiZPGOSNS,'Лист2_прогнозные цены'!$C96,'Лист2_прогнозные цены'!U$91)*T96</f>
        <v>8.2919949685130554</v>
      </c>
      <c r="V96" s="3">
        <f>INDEX(DiZPGOSNS,'Лист2_прогнозные цены'!$C96,'Лист2_прогнозные цены'!V$91)*U96</f>
        <v>8.7895146666238393</v>
      </c>
      <c r="W96" s="3">
        <f>INDEX(DiZPGOSNS,'Лист2_прогнозные цены'!$C96,'Лист2_прогнозные цены'!W$91)*V96</f>
        <v>9.5805709866199855</v>
      </c>
      <c r="X96" s="3">
        <f>INDEX(DiZPGOSNS,'Лист2_прогнозные цены'!$C96,'Лист2_прогнозные цены'!X$91)*W96</f>
        <v>10.538628085281985</v>
      </c>
      <c r="Y96" s="3">
        <f>INDEX(DiZPGOSNS,'Лист2_прогнозные цены'!$C96,'Лист2_прогнозные цены'!Y$91)*X96</f>
        <v>11.487104612957365</v>
      </c>
      <c r="Z96" s="3">
        <f>INDEX(DiZPGOSNS,'Лист2_прогнозные цены'!$C96,'Лист2_прогнозные цены'!Z$91)*Y96</f>
        <v>12.442831716755418</v>
      </c>
      <c r="AA96" s="3">
        <f>INDEX(DiZPGOSNS,'Лист2_прогнозные цены'!$C96,'Лист2_прогнозные цены'!AA$91)*Z96</f>
        <v>13.313829936928297</v>
      </c>
      <c r="AB96" s="3">
        <f>INDEX(DiZPGOSNS,'Лист2_прогнозные цены'!$C96,'Лист2_прогнозные цены'!AB$91)*AA96</f>
        <v>14.112659733143996</v>
      </c>
      <c r="AC96" s="3">
        <f>INDEX(DiZPGOSNS,'Лист2_прогнозные цены'!$C96,'Лист2_прогнозные цены'!AC$91)*AB96</f>
        <v>14.959419317132637</v>
      </c>
      <c r="AD96" s="3">
        <f>INDEX(DiZPGOSNS,'Лист2_прогнозные цены'!$C96,'Лист2_прогнозные цены'!AD$91)*AC96</f>
        <v>15.973667946834231</v>
      </c>
      <c r="AE96" s="3">
        <f>INDEX(DiZPGOSNS,'Лист2_прогнозные цены'!$C96,'Лист2_прогнозные цены'!AE$91)*AD96</f>
        <v>17.056682633629592</v>
      </c>
      <c r="AF96" s="3"/>
    </row>
    <row r="97" spans="1:48" x14ac:dyDescent="0.2">
      <c r="C97">
        <v>5</v>
      </c>
      <c r="E97" t="s">
        <v>6</v>
      </c>
      <c r="F97" s="18">
        <f>INDEX(DiZPGOSNS,'Лист2_прогнозные цены'!$C97,'Лист2_прогнозные цены'!F$91)</f>
        <v>1.2826696578799777</v>
      </c>
      <c r="G97" s="126">
        <f>INDEX(DiZPGOSNS,'Лист2_прогнозные цены'!$C97,'Лист2_прогнозные цены'!G$91)*F97</f>
        <v>1.5563656758272575</v>
      </c>
      <c r="H97" s="126">
        <f>INDEX(DiZPGOSNS,'Лист2_прогнозные цены'!$C97,'Лист2_прогнозные цены'!H$91)*G97</f>
        <v>1.9753394857152571</v>
      </c>
      <c r="I97" s="126">
        <f>INDEX(DiZPGOSNS,'Лист2_прогнозные цены'!$C97,'Лист2_прогнозные цены'!I$91)*H97</f>
        <v>2.1455327248933531</v>
      </c>
      <c r="J97" s="126">
        <f>INDEX(DiZPGOSNS,'Лист2_прогнозные цены'!$C97,'Лист2_прогнозные цены'!J$91)*I97</f>
        <v>2.2525025918183514</v>
      </c>
      <c r="K97" s="126">
        <f>INDEX(DiZPGOSNS,'Лист2_прогнозные цены'!$C97,'Лист2_прогнозные цены'!K$91)*J97</f>
        <v>2.5493295263345739</v>
      </c>
      <c r="L97" s="126">
        <f>INDEX(DiZPGOSNS,'Лист2_прогнозные цены'!$C97,'Лист2_прогнозные цены'!L$91)*K97</f>
        <v>3.0591954316014887</v>
      </c>
      <c r="M97" s="126">
        <f>INDEX(DiZPGOSNS,'Лист2_прогнозные цены'!$C97,'Лист2_прогнозные цены'!M$91)*L97</f>
        <v>3.9089719403796797</v>
      </c>
      <c r="N97" s="288">
        <f>INDEX(DiZPGOSNS,'Лист2_прогнозные цены'!$C97,'Лист2_прогнозные цены'!N$91)*M97</f>
        <v>4.3389588538214445</v>
      </c>
      <c r="O97" s="3">
        <f>INDEX(DiZPGOSNS,'Лист2_прогнозные цены'!$C97,'Лист2_прогнозные цены'!O$91)*N97</f>
        <v>4.9898026818946608</v>
      </c>
      <c r="P97" s="3">
        <f>INDEX(DiZPGOSNS,'Лист2_прогнозные цены'!$C97,'Лист2_прогнозные цены'!P$91)*O97</f>
        <v>5.8131201244072797</v>
      </c>
      <c r="Q97" s="3">
        <f>INDEX(DiZPGOSNS,'Лист2_прогнозные цены'!$C97,'Лист2_прогнозные цены'!Q$91)*P97</f>
        <v>6.8013505455565166</v>
      </c>
      <c r="R97" s="3">
        <f>INDEX(DiZPGOSNS,'Лист2_прогнозные цены'!$C97,'Лист2_прогнозные цены'!R$91)*Q97</f>
        <v>7.7535396219344301</v>
      </c>
      <c r="S97" s="3">
        <f>INDEX(DiZPGOSNS,'Лист2_прогнозные цены'!$C97,'Лист2_прогнозные цены'!S$91)*R97</f>
        <v>8.6064289803472178</v>
      </c>
      <c r="T97" s="3">
        <f>INDEX(DiZPGOSNS,'Лист2_прогнозные цены'!$C97,'Лист2_прогнозные цены'!T$91)*S97</f>
        <v>9.3810075885784681</v>
      </c>
      <c r="U97" s="3">
        <f>INDEX(DiZPGOSNS,'Лист2_прогнозные цены'!$C97,'Лист2_прогнозные цены'!U$91)*T97</f>
        <v>10.037678119778962</v>
      </c>
      <c r="V97" s="3">
        <f>INDEX(DiZPGOSNS,'Лист2_прогнозные цены'!$C97,'Лист2_прогнозные цены'!V$91)*U97</f>
        <v>10.6399388069657</v>
      </c>
      <c r="W97" s="3">
        <f>INDEX(DiZPGOSNS,'Лист2_прогнозные цены'!$C97,'Лист2_прогнозные цены'!W$91)*V97</f>
        <v>11.597533299592614</v>
      </c>
      <c r="X97" s="3">
        <f>INDEX(DiZPGOSNS,'Лист2_прогнозные цены'!$C97,'Лист2_прогнозные цены'!X$91)*W97</f>
        <v>12.757286629551876</v>
      </c>
      <c r="Y97" s="3">
        <f>INDEX(DiZPGOSNS,'Лист2_прогнозные цены'!$C97,'Лист2_прогнозные цены'!Y$91)*X97</f>
        <v>13.905442426211547</v>
      </c>
      <c r="Z97" s="3">
        <f>INDEX(DiZPGOSNS,'Лист2_прогнозные цены'!$C97,'Лист2_прогнозные цены'!Z$91)*Y97</f>
        <v>15.062375236072347</v>
      </c>
      <c r="AA97" s="3">
        <f>INDEX(DiZPGOSNS,'Лист2_прогнозные цены'!$C97,'Лист2_прогнозные цены'!AA$91)*Z97</f>
        <v>16.116741502597414</v>
      </c>
      <c r="AB97" s="3">
        <f>INDEX(DiZPGOSNS,'Лист2_прогнозные цены'!$C97,'Лист2_прогнозные цены'!AB$91)*AA97</f>
        <v>17.083745992753258</v>
      </c>
      <c r="AC97" s="3">
        <f>INDEX(DiZPGOSNS,'Лист2_прогнозные цены'!$C97,'Лист2_прогнозные цены'!AC$91)*AB97</f>
        <v>18.108770752318453</v>
      </c>
      <c r="AD97" s="3">
        <f>INDEX(DiZPGOSNS,'Лист2_прогнозные цены'!$C97,'Лист2_прогнозные цены'!AD$91)*AC97</f>
        <v>19.347410671777034</v>
      </c>
      <c r="AE97" s="3">
        <f>INDEX(DiZPGOSNS,'Лист2_прогнозные цены'!$C97,'Лист2_прогнозные цены'!AE$91)*AD97</f>
        <v>20.670773561726584</v>
      </c>
      <c r="AF97" s="3"/>
    </row>
    <row r="98" spans="1:48" x14ac:dyDescent="0.2">
      <c r="C98">
        <v>6</v>
      </c>
      <c r="E98" t="s">
        <v>1</v>
      </c>
      <c r="F98" s="18">
        <f>INDEX(DiZPGOSNS,'Лист2_прогнозные цены'!$C98,'Лист2_прогнозные цены'!F$91)</f>
        <v>1.067764729805297</v>
      </c>
      <c r="G98" s="126">
        <f>INDEX(DiZPGOSNS,'Лист2_прогнозные цены'!$C98,'Лист2_прогнозные цены'!G$91)*F98</f>
        <v>1.1439852235948009</v>
      </c>
      <c r="H98" s="126">
        <f>INDEX(DiZPGOSNS,'Лист2_прогнозные цены'!$C98,'Лист2_прогнозные цены'!H$91)*G98</f>
        <v>1.4400216901360714</v>
      </c>
      <c r="I98" s="126">
        <f>INDEX(DiZPGOSNS,'Лист2_прогнозные цены'!$C98,'Лист2_прогнозные цены'!I$91)*H98</f>
        <v>1.5021097046413499</v>
      </c>
      <c r="J98" s="126">
        <f>INDEX(DiZPGOSNS,'Лист2_прогнозные цены'!$C98,'Лист2_прогнозные цены'!J$91)*I98</f>
        <v>1.5310185891244297</v>
      </c>
      <c r="K98" s="126">
        <f>INDEX(DiZPGOSNS,'Лист2_прогнозные цены'!$C98,'Лист2_прогнозные цены'!K$91)*J98</f>
        <v>1.6945418806025787</v>
      </c>
      <c r="L98" s="126">
        <f>INDEX(DiZPGOSNS,'Лист2_прогнозные цены'!$C98,'Лист2_прогнозные цены'!L$91)*K98</f>
        <v>1.8639960686628367</v>
      </c>
      <c r="M98" s="126">
        <f>INDEX(DiZPGOSNS,'Лист2_прогнозные цены'!$C98,'Лист2_прогнозные цены'!M$91)*L98</f>
        <v>2.0334502567230945</v>
      </c>
      <c r="N98" s="288">
        <f>INDEX(DiZPGOSNS,'Лист2_прогнозные цены'!$C98,'Лист2_прогнозные цены'!N$91)*M98</f>
        <v>2.2571297849626353</v>
      </c>
      <c r="O98" s="3">
        <f>INDEX(DiZPGOSNS,'Лист2_прогнозные цены'!$C98,'Лист2_прогнозные цены'!O$91)*N98</f>
        <v>2.5956992527070302</v>
      </c>
      <c r="P98" s="3">
        <f>INDEX(DiZPGOSNS,'Лист2_прогнозные цены'!$C98,'Лист2_прогнозные цены'!P$91)*O98</f>
        <v>3.0239896294036903</v>
      </c>
      <c r="Q98" s="3">
        <f>INDEX(DiZPGOSNS,'Лист2_прогнозные цены'!$C98,'Лист2_прогнозные цены'!Q$91)*P98</f>
        <v>3.5380678664023173</v>
      </c>
      <c r="R98" s="3">
        <f>INDEX(DiZPGOSNS,'Лист2_прогнозные цены'!$C98,'Лист2_прогнозные цены'!R$91)*Q98</f>
        <v>4.0333973676986421</v>
      </c>
      <c r="S98" s="3">
        <f>INDEX(DiZPGOSNS,'Лист2_прогнозные цены'!$C98,'Лист2_прогнозные цены'!S$91)*R98</f>
        <v>4.4770710781454932</v>
      </c>
      <c r="T98" s="3">
        <f>INDEX(DiZPGOSNS,'Лист2_прогнозные цены'!$C98,'Лист2_прогнозные цены'!T$91)*S98</f>
        <v>4.880007475178588</v>
      </c>
      <c r="U98" s="3">
        <f>INDEX(DiZPGOSNS,'Лист2_прогнозные цены'!$C98,'Лист2_прогнозные цены'!U$91)*T98</f>
        <v>5.2216079984410895</v>
      </c>
      <c r="V98" s="3">
        <f>INDEX(DiZPGOSNS,'Лист2_прогнозные цены'!$C98,'Лист2_прогнозные цены'!V$91)*U98</f>
        <v>5.5349044783475554</v>
      </c>
      <c r="W98" s="3">
        <f>INDEX(DiZPGOSNS,'Лист2_прогнозные цены'!$C98,'Лист2_прогнозные цены'!W$91)*V98</f>
        <v>6.0330458813988361</v>
      </c>
      <c r="X98" s="3">
        <f>INDEX(DiZPGOSNS,'Лист2_прогнозные цены'!$C98,'Лист2_прогнозные цены'!X$91)*W98</f>
        <v>6.6363504695387201</v>
      </c>
      <c r="Y98" s="3">
        <f>INDEX(DiZPGOSNS,'Лист2_прогнозные цены'!$C98,'Лист2_прогнозные цены'!Y$91)*X98</f>
        <v>7.2336220117972054</v>
      </c>
      <c r="Z98" s="3">
        <f>INDEX(DiZPGOSNS,'Лист2_прогнозные цены'!$C98,'Лист2_прогнозные цены'!Z$91)*Y98</f>
        <v>7.8354593631787326</v>
      </c>
      <c r="AA98" s="3">
        <f>INDEX(DiZPGOSNS,'Лист2_прогнозные цены'!$C98,'Лист2_прогнозные цены'!AA$91)*Z98</f>
        <v>8.3839415186012438</v>
      </c>
      <c r="AB98" s="3">
        <f>INDEX(DiZPGOSNS,'Лист2_прогнозные цены'!$C98,'Лист2_прогнозные цены'!AB$91)*AA98</f>
        <v>8.8869780097173194</v>
      </c>
      <c r="AC98" s="3">
        <f>INDEX(DiZPGOSNS,'Лист2_прогнозные цены'!$C98,'Лист2_прогнозные цены'!AC$91)*AB98</f>
        <v>9.4201966903003598</v>
      </c>
      <c r="AD98" s="3">
        <f>INDEX(DiZPGOSNS,'Лист2_прогнозные цены'!$C98,'Лист2_прогнозные цены'!AD$91)*AC98</f>
        <v>10.070190261931085</v>
      </c>
      <c r="AE98" s="3">
        <f>INDEX(DiZPGOSNS,'Лист2_прогнозные цены'!$C98,'Лист2_прогнозные цены'!AE$91)*AD98</f>
        <v>10.76503339000433</v>
      </c>
      <c r="AF98" s="3"/>
    </row>
    <row r="99" spans="1:48" x14ac:dyDescent="0.2">
      <c r="C99">
        <v>7</v>
      </c>
      <c r="E99" t="s">
        <v>2</v>
      </c>
      <c r="F99" s="18">
        <f>INDEX(DiZPGOSNS,'Лист2_прогнозные цены'!$C99,'Лист2_прогнозные цены'!F$91)</f>
        <v>1.202116276304839</v>
      </c>
      <c r="G99" s="126">
        <f>INDEX(DiZPGOSNS,'Лист2_прогнозные цены'!$C99,'Лист2_прогнозные цены'!G$91)*F99</f>
        <v>1.4806206158601833</v>
      </c>
      <c r="H99" s="126">
        <f>INDEX(DiZPGOSNS,'Лист2_прогнозные цены'!$C99,'Лист2_прогнозные цены'!H$91)*G99</f>
        <v>1.9112669916379346</v>
      </c>
      <c r="I99" s="126">
        <f>INDEX(DiZPGOSNS,'Лист2_прогнозные цены'!$C99,'Лист2_прогнозные цены'!I$91)*H99</f>
        <v>1.9922522094083146</v>
      </c>
      <c r="J99" s="126">
        <f>INDEX(DiZPGOSNS,'Лист2_прогнозные цены'!$C99,'Лист2_прогнозные цены'!J$91)*I99</f>
        <v>2.4908255062814568</v>
      </c>
      <c r="K99" s="126">
        <f>INDEX(DiZPGOSNS,'Лист2_прогнозные цены'!$C99,'Лист2_прогнозные цены'!K$91)*J99</f>
        <v>2.5759917568263777</v>
      </c>
      <c r="L99" s="126">
        <f>INDEX(DiZPGOSNS,'Лист2_прогнозные цены'!$C99,'Лист2_прогнозные цены'!L$91)*K99</f>
        <v>2.7741449688899449</v>
      </c>
      <c r="M99" s="126">
        <f>INDEX(DiZPGOSNS,'Лист2_прогнозные цены'!$C99,'Лист2_прогнозные цены'!M$91)*L99</f>
        <v>3.1704513930170797</v>
      </c>
      <c r="N99" s="288">
        <f>INDEX(DiZPGOSNS,'Лист2_прогнозные цены'!$C99,'Лист2_прогнозные цены'!N$91)*M99</f>
        <v>3.5192010462489587</v>
      </c>
      <c r="O99" s="3">
        <f>INDEX(DiZPGOSNS,'Лист2_прогнозные цены'!$C99,'Лист2_прогнозные цены'!O$91)*N99</f>
        <v>4.0470812031863019</v>
      </c>
      <c r="P99" s="3">
        <f>INDEX(DiZPGOSNS,'Лист2_прогнозные цены'!$C99,'Лист2_прогнозные цены'!P$91)*O99</f>
        <v>4.714849601712042</v>
      </c>
      <c r="Q99" s="3">
        <f>INDEX(DiZPGOSNS,'Лист2_прогнозные цены'!$C99,'Лист2_прогнозные цены'!Q$91)*P99</f>
        <v>5.5163740340030891</v>
      </c>
      <c r="R99" s="3">
        <f>INDEX(DiZPGOSNS,'Лист2_прогнозные цены'!$C99,'Лист2_прогнозные цены'!R$91)*Q99</f>
        <v>6.2886663987635218</v>
      </c>
      <c r="S99" s="3">
        <f>INDEX(DiZPGOSNS,'Лист2_прогнозные цены'!$C99,'Лист2_прогнозные цены'!S$91)*R99</f>
        <v>6.9804197026275094</v>
      </c>
      <c r="T99" s="3">
        <f>INDEX(DiZPGOSNS,'Лист2_прогнозные цены'!$C99,'Лист2_прогнозные цены'!T$91)*S99</f>
        <v>7.6086574758639856</v>
      </c>
      <c r="U99" s="3">
        <f>INDEX(DiZPGOSNS,'Лист2_прогнозные цены'!$C99,'Лист2_прогнозные цены'!U$91)*T99</f>
        <v>8.1412634991744657</v>
      </c>
      <c r="V99" s="3">
        <f>INDEX(DiZPGOSNS,'Лист2_прогнозные цены'!$C99,'Лист2_прогнозные цены'!V$91)*U99</f>
        <v>8.6297393091249344</v>
      </c>
      <c r="W99" s="3">
        <f>INDEX(DiZPGOSNS,'Лист2_прогнозные цены'!$C99,'Лист2_прогнозные цены'!W$91)*V99</f>
        <v>9.4064158469461798</v>
      </c>
      <c r="X99" s="3">
        <f>INDEX(DiZPGOSNS,'Лист2_прогнозные цены'!$C99,'Лист2_прогнозные цены'!X$91)*W99</f>
        <v>10.347057431640799</v>
      </c>
      <c r="Y99" s="3">
        <f>INDEX(DiZPGOSNS,'Лист2_прогнозные цены'!$C99,'Лист2_прогнозные цены'!Y$91)*X99</f>
        <v>11.278292600488472</v>
      </c>
      <c r="Z99" s="3">
        <f>INDEX(DiZPGOSNS,'Лист2_прогнозные цены'!$C99,'Лист2_прогнозные цены'!Z$91)*Y99</f>
        <v>12.216646544849112</v>
      </c>
      <c r="AA99" s="3">
        <f>INDEX(DiZPGOSNS,'Лист2_прогнозные цены'!$C99,'Лист2_прогнозные цены'!AA$91)*Z99</f>
        <v>13.071811802988551</v>
      </c>
      <c r="AB99" s="3">
        <f>INDEX(DiZPGOSNS,'Лист2_прогнозные цены'!$C99,'Лист2_прогнозные цены'!AB$91)*AA99</f>
        <v>13.856120511167864</v>
      </c>
      <c r="AC99" s="3">
        <f>INDEX(DiZPGOSNS,'Лист2_прогнозные цены'!$C99,'Лист2_прогнозные цены'!AC$91)*AB99</f>
        <v>14.687487741837938</v>
      </c>
      <c r="AD99" s="3">
        <f>INDEX(DiZPGOSNS,'Лист2_прогнозные цены'!$C99,'Лист2_прогнозные цены'!AD$91)*AC99</f>
        <v>15.709736888669857</v>
      </c>
      <c r="AE99" s="3">
        <f>INDEX(DiZPGOSNS,'Лист2_прогнозные цены'!$C99,'Лист2_прогнозные цены'!AE$91)*AD99</f>
        <v>16.803134576121277</v>
      </c>
      <c r="AF99" s="3"/>
    </row>
    <row r="100" spans="1:48" x14ac:dyDescent="0.2">
      <c r="A100" s="14"/>
    </row>
    <row r="101" spans="1:48" ht="18.75" thickBot="1" x14ac:dyDescent="0.3">
      <c r="B101" s="112" t="s">
        <v>83</v>
      </c>
      <c r="F101" s="15">
        <v>1</v>
      </c>
      <c r="G101" s="15">
        <v>2</v>
      </c>
      <c r="H101" s="15">
        <v>3</v>
      </c>
      <c r="I101" s="15">
        <v>4</v>
      </c>
      <c r="J101" s="15">
        <v>5</v>
      </c>
      <c r="K101" s="15">
        <v>6</v>
      </c>
      <c r="L101" s="15">
        <v>7</v>
      </c>
      <c r="M101" s="15">
        <v>8</v>
      </c>
      <c r="N101" s="290">
        <v>9</v>
      </c>
      <c r="O101" s="20">
        <v>10</v>
      </c>
      <c r="P101" s="15">
        <v>11</v>
      </c>
      <c r="Q101" s="15">
        <v>12</v>
      </c>
      <c r="R101" s="15">
        <v>13</v>
      </c>
      <c r="S101" s="15">
        <v>14</v>
      </c>
      <c r="T101" s="15">
        <v>15</v>
      </c>
      <c r="U101" s="15">
        <v>16</v>
      </c>
      <c r="V101" s="15">
        <v>17</v>
      </c>
      <c r="W101" s="15">
        <v>18</v>
      </c>
      <c r="X101" s="15">
        <v>19</v>
      </c>
      <c r="Y101" s="15">
        <v>20</v>
      </c>
      <c r="Z101" s="15">
        <v>21</v>
      </c>
      <c r="AA101" s="15">
        <v>22</v>
      </c>
      <c r="AB101" s="15">
        <v>23</v>
      </c>
      <c r="AC101" s="15">
        <v>24</v>
      </c>
      <c r="AD101" s="15">
        <v>25</v>
      </c>
      <c r="AE101" s="15">
        <v>26</v>
      </c>
      <c r="AF101" s="15"/>
      <c r="AG101" s="92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</row>
    <row r="102" spans="1:48" ht="13.5" thickBot="1" x14ac:dyDescent="0.25">
      <c r="F102" s="31">
        <v>2006</v>
      </c>
      <c r="G102" s="31">
        <v>2007</v>
      </c>
      <c r="H102" s="31">
        <v>2008</v>
      </c>
      <c r="I102" s="31">
        <v>2009</v>
      </c>
      <c r="J102" s="31">
        <v>2010</v>
      </c>
      <c r="K102" s="31">
        <v>2011</v>
      </c>
      <c r="L102" s="31">
        <v>2012</v>
      </c>
      <c r="M102" s="31">
        <v>2013</v>
      </c>
      <c r="N102" s="287">
        <v>2014</v>
      </c>
      <c r="O102" s="282">
        <v>2015</v>
      </c>
      <c r="P102" s="31">
        <v>2016</v>
      </c>
      <c r="Q102" s="31">
        <v>2017</v>
      </c>
      <c r="R102" s="31">
        <v>2018</v>
      </c>
      <c r="S102" s="31">
        <v>2019</v>
      </c>
      <c r="T102" s="31">
        <v>2020</v>
      </c>
      <c r="U102" s="31">
        <v>2021</v>
      </c>
      <c r="V102" s="31">
        <v>2022</v>
      </c>
      <c r="W102" s="31">
        <v>2023</v>
      </c>
      <c r="X102" s="31">
        <v>2024</v>
      </c>
      <c r="Y102" s="31">
        <v>2025</v>
      </c>
      <c r="Z102" s="31">
        <v>2026</v>
      </c>
      <c r="AA102" s="31">
        <v>2027</v>
      </c>
      <c r="AB102" s="31">
        <v>2028</v>
      </c>
      <c r="AC102" s="31">
        <v>2029</v>
      </c>
      <c r="AD102" s="31">
        <v>2030</v>
      </c>
      <c r="AE102" s="31">
        <v>2031</v>
      </c>
      <c r="AF102" s="383"/>
    </row>
    <row r="103" spans="1:48" ht="18.75" thickBot="1" x14ac:dyDescent="0.3">
      <c r="B103" s="113" t="s">
        <v>81</v>
      </c>
      <c r="C103">
        <v>1</v>
      </c>
      <c r="E103" t="s">
        <v>0</v>
      </c>
      <c r="F103" s="114"/>
      <c r="G103" s="114"/>
      <c r="H103" s="114"/>
      <c r="I103" s="114"/>
      <c r="J103" s="114"/>
      <c r="K103" s="114"/>
      <c r="L103" s="114"/>
      <c r="M103" s="114"/>
      <c r="N103" s="291"/>
      <c r="O103" s="283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07"/>
    </row>
    <row r="104" spans="1:48" ht="13.5" thickBot="1" x14ac:dyDescent="0.25">
      <c r="C104">
        <v>2</v>
      </c>
      <c r="E104" t="s">
        <v>3</v>
      </c>
      <c r="F104" s="124">
        <f>F94/INDEX([1]!KumIndPotrS,NscenInfl,F$101)</f>
        <v>1.0139470753566313</v>
      </c>
      <c r="G104" s="124">
        <f>G94/INDEX([1]!KumIndPotrS,NscenInfl,G$101)</f>
        <v>1.0548758768297084</v>
      </c>
      <c r="H104" s="124">
        <f>H94/INDEX([1]!KumIndPotrS,NscenInfl,H$101)</f>
        <v>1.16118240922864</v>
      </c>
      <c r="I104" s="124">
        <f>I94/INDEX([1]!KumIndPotrS,NscenInfl,I$101)</f>
        <v>1.1443372224609911</v>
      </c>
      <c r="J104" s="124">
        <f>J94/INDEX([1]!KumIndPotrS,NscenInfl,J$101)</f>
        <v>1.1052775177092586</v>
      </c>
      <c r="K104" s="124">
        <f>K94/INDEX([1]!KumIndPotrS,NscenInfl,K$101)</f>
        <v>1.0440011245076326</v>
      </c>
      <c r="L104" s="124">
        <f>L94/INDEX([1]!KumIndPotrS,NscenInfl,L$101)</f>
        <v>1.3179411918821105</v>
      </c>
      <c r="M104" s="124">
        <f>M94/INDEX([1]!KumIndPotrS,NscenInfl,M$101)</f>
        <v>1.8803713124409054</v>
      </c>
      <c r="N104" s="292">
        <f>N94/INDEX([1]!KumIndPotrS,NscenInfl,N$101)</f>
        <v>1.8803713124409056</v>
      </c>
      <c r="O104" s="283">
        <f>O94/INDEX([1]!KumIndPotrS,NscenInfl,O$101)</f>
        <v>1.8803713124409056</v>
      </c>
      <c r="P104" s="114">
        <f>P94/INDEX([1]!KumIndPotrS,NscenInfl,P$101)</f>
        <v>1.8803713124409058</v>
      </c>
      <c r="Q104" s="114">
        <f>Q94/INDEX([1]!KumIndPotrS,NscenInfl,Q$101)</f>
        <v>1.8803713124409056</v>
      </c>
      <c r="R104" s="114">
        <f>R94/INDEX([1]!KumIndPotrS,NscenInfl,R$101)</f>
        <v>1.8803713124409056</v>
      </c>
      <c r="S104" s="114">
        <f>S94/INDEX([1]!KumIndPotrS,NscenInfl,S$101)</f>
        <v>1.8803713124409054</v>
      </c>
      <c r="T104" s="114">
        <f>T94/INDEX([1]!KumIndPotrS,NscenInfl,T$101)</f>
        <v>1.8803713124409056</v>
      </c>
      <c r="U104" s="114">
        <f>U94/INDEX([1]!KumIndPotrS,NscenInfl,U$101)</f>
        <v>1.8803713124409056</v>
      </c>
      <c r="V104" s="114">
        <f>V94/INDEX([1]!KumIndPotrS,NscenInfl,V$101)</f>
        <v>1.8803713124409058</v>
      </c>
      <c r="W104" s="114">
        <f>W94/INDEX([1]!KumIndPotrS,NscenInfl,W$101)</f>
        <v>1.8803713124409058</v>
      </c>
      <c r="X104" s="114">
        <f>X94/INDEX([1]!KumIndPotrS,NscenInfl,X$101)</f>
        <v>1.8803713124409056</v>
      </c>
      <c r="Y104" s="114">
        <f>Y94/INDEX([1]!KumIndPotrS,NscenInfl,Y$101)</f>
        <v>1.8803713124409056</v>
      </c>
      <c r="Z104" s="114">
        <f>Z94/INDEX([1]!KumIndPotrS,NscenInfl,Z$101)</f>
        <v>1.8803713124409058</v>
      </c>
      <c r="AA104" s="114">
        <f>AA94/INDEX([1]!KumIndPotrS,NscenInfl,AA$101)</f>
        <v>1.8803713124409056</v>
      </c>
      <c r="AB104" s="114">
        <f>AB94/INDEX([1]!KumIndPotrS,NscenInfl,AB$101)</f>
        <v>1.8803713124409054</v>
      </c>
      <c r="AC104" s="114">
        <f>AC94/INDEX([1]!KumIndPotrS,NscenInfl,AC$101)</f>
        <v>1.8803713124409056</v>
      </c>
      <c r="AD104" s="114">
        <f>AD94/INDEX([1]!KumIndPotrS,NscenInfl,AD$101)</f>
        <v>1.8910149236434015</v>
      </c>
      <c r="AE104" s="114">
        <f>AE94/INDEX([1]!KumIndPotrS,NscenInfl,AE$101)</f>
        <v>1.90171878170176</v>
      </c>
      <c r="AF104" s="107"/>
    </row>
    <row r="105" spans="1:48" ht="13.5" thickBot="1" x14ac:dyDescent="0.25">
      <c r="C105">
        <v>3</v>
      </c>
      <c r="E105" t="s">
        <v>4</v>
      </c>
      <c r="F105" s="124">
        <f>F95/INDEX([1]!KumIndPotrS,NscenInfl,F$101)</f>
        <v>0.95289343683839089</v>
      </c>
      <c r="G105" s="124">
        <f>G95/INDEX([1]!KumIndPotrS,NscenInfl,G$101)</f>
        <v>0.88040601065807667</v>
      </c>
      <c r="H105" s="124">
        <f>H95/INDEX([1]!KumIndPotrS,NscenInfl,H$101)</f>
        <v>0.95996543106432897</v>
      </c>
      <c r="I105" s="124">
        <f>I95/INDEX([1]!KumIndPotrS,NscenInfl,I$101)</f>
        <v>0.8992863827585944</v>
      </c>
      <c r="J105" s="124">
        <f>J95/INDEX([1]!KumIndPotrS,NscenInfl,J$101)</f>
        <v>0.83580793807533993</v>
      </c>
      <c r="K105" s="124">
        <f>K95/INDEX([1]!KumIndPotrS,NscenInfl,K$101)</f>
        <v>0.86832785836452131</v>
      </c>
      <c r="L105" s="124">
        <f>L95/INDEX([1]!KumIndPotrS,NscenInfl,L$101)</f>
        <v>0.86365085680153464</v>
      </c>
      <c r="M105" s="124">
        <f>M95/INDEX([1]!KumIndPotrS,NscenInfl,M$101)</f>
        <v>0.85864617623149964</v>
      </c>
      <c r="N105" s="292">
        <f>N95/INDEX([1]!KumIndPotrS,NscenInfl,N$101)</f>
        <v>0.85864617623149964</v>
      </c>
      <c r="O105" s="283">
        <f>O95/INDEX([1]!KumIndPotrS,NscenInfl,O$101)</f>
        <v>0.85864617623149964</v>
      </c>
      <c r="P105" s="114">
        <f>P95/INDEX([1]!KumIndPotrS,NscenInfl,P$101)</f>
        <v>0.85864617623149964</v>
      </c>
      <c r="Q105" s="114">
        <f>Q95/INDEX([1]!KumIndPotrS,NscenInfl,Q$101)</f>
        <v>0.85864617623149975</v>
      </c>
      <c r="R105" s="114">
        <f>R95/INDEX([1]!KumIndPotrS,NscenInfl,R$101)</f>
        <v>0.85864617623149952</v>
      </c>
      <c r="S105" s="114">
        <f>S95/INDEX([1]!KumIndPotrS,NscenInfl,S$101)</f>
        <v>0.85864617623149964</v>
      </c>
      <c r="T105" s="114">
        <f>T95/INDEX([1]!KumIndPotrS,NscenInfl,T$101)</f>
        <v>0.85864617623149952</v>
      </c>
      <c r="U105" s="114">
        <f>U95/INDEX([1]!KumIndPotrS,NscenInfl,U$101)</f>
        <v>0.85864617623149952</v>
      </c>
      <c r="V105" s="114">
        <f>V95/INDEX([1]!KumIndPotrS,NscenInfl,V$101)</f>
        <v>0.85864617623149952</v>
      </c>
      <c r="W105" s="114">
        <f>W95/INDEX([1]!KumIndPotrS,NscenInfl,W$101)</f>
        <v>0.85864617623149964</v>
      </c>
      <c r="X105" s="114">
        <f>X95/INDEX([1]!KumIndPotrS,NscenInfl,X$101)</f>
        <v>0.85864617623149964</v>
      </c>
      <c r="Y105" s="114">
        <f>Y95/INDEX([1]!KumIndPotrS,NscenInfl,Y$101)</f>
        <v>0.85864617623149964</v>
      </c>
      <c r="Z105" s="114">
        <f>Z95/INDEX([1]!KumIndPotrS,NscenInfl,Z$101)</f>
        <v>0.85864617623149964</v>
      </c>
      <c r="AA105" s="114">
        <f>AA95/INDEX([1]!KumIndPotrS,NscenInfl,AA$101)</f>
        <v>0.85864617623149975</v>
      </c>
      <c r="AB105" s="114">
        <f>AB95/INDEX([1]!KumIndPotrS,NscenInfl,AB$101)</f>
        <v>0.85864617623149964</v>
      </c>
      <c r="AC105" s="114">
        <f>AC95/INDEX([1]!KumIndPotrS,NscenInfl,AC$101)</f>
        <v>0.85864617623149964</v>
      </c>
      <c r="AD105" s="114">
        <f>AD95/INDEX([1]!KumIndPotrS,NscenInfl,AD$101)</f>
        <v>0.86447848988137399</v>
      </c>
      <c r="AE105" s="114">
        <f>AE95/INDEX([1]!KumIndPotrS,NscenInfl,AE$101)</f>
        <v>0.87035041924660583</v>
      </c>
      <c r="AF105" s="107"/>
    </row>
    <row r="106" spans="1:48" ht="13.5" thickBot="1" x14ac:dyDescent="0.25">
      <c r="C106">
        <v>4</v>
      </c>
      <c r="E106" t="s">
        <v>5</v>
      </c>
      <c r="F106" s="124">
        <f>F96/INDEX([1]!KumIndPotrS,NscenInfl,F$101)</f>
        <v>1.176761154018328</v>
      </c>
      <c r="G106" s="124">
        <f>G96/INDEX([1]!KumIndPotrS,NscenInfl,G$101)</f>
        <v>1.2875188622093277</v>
      </c>
      <c r="H106" s="124">
        <f>H96/INDEX([1]!KumIndPotrS,NscenInfl,H$101)</f>
        <v>1.4512602846476725</v>
      </c>
      <c r="I106" s="124">
        <f>I96/INDEX([1]!KumIndPotrS,NscenInfl,I$101)</f>
        <v>1.414990478795811</v>
      </c>
      <c r="J106" s="124">
        <f>J96/INDEX([1]!KumIndPotrS,NscenInfl,J$101)</f>
        <v>1.3628786116550684</v>
      </c>
      <c r="K106" s="124">
        <f>K96/INDEX([1]!KumIndPotrS,NscenInfl,K$101)</f>
        <v>1.3429500010396407</v>
      </c>
      <c r="L106" s="124">
        <f>L96/INDEX([1]!KumIndPotrS,NscenInfl,L$101)</f>
        <v>1.4091076030005147</v>
      </c>
      <c r="M106" s="124">
        <f>M96/INDEX([1]!KumIndPotrS,NscenInfl,M$101)</f>
        <v>1.5447888465316759</v>
      </c>
      <c r="N106" s="292">
        <f>N96/INDEX([1]!KumIndPotrS,NscenInfl,N$101)</f>
        <v>1.5447888465316759</v>
      </c>
      <c r="O106" s="283">
        <f>O96/INDEX([1]!KumIndPotrS,NscenInfl,O$101)</f>
        <v>1.5447888465316757</v>
      </c>
      <c r="P106" s="114">
        <f>P96/INDEX([1]!KumIndPotrS,NscenInfl,P$101)</f>
        <v>1.5447888465316757</v>
      </c>
      <c r="Q106" s="114">
        <f>Q96/INDEX([1]!KumIndPotrS,NscenInfl,Q$101)</f>
        <v>1.5447888465316757</v>
      </c>
      <c r="R106" s="114">
        <f>R96/INDEX([1]!KumIndPotrS,NscenInfl,R$101)</f>
        <v>1.5447888465316757</v>
      </c>
      <c r="S106" s="114">
        <f>S96/INDEX([1]!KumIndPotrS,NscenInfl,S$101)</f>
        <v>1.5447888465316759</v>
      </c>
      <c r="T106" s="114">
        <f>T96/INDEX([1]!KumIndPotrS,NscenInfl,T$101)</f>
        <v>1.5447888465316759</v>
      </c>
      <c r="U106" s="114">
        <f>U96/INDEX([1]!KumIndPotrS,NscenInfl,U$101)</f>
        <v>1.5447888465316759</v>
      </c>
      <c r="V106" s="114">
        <f>V96/INDEX([1]!KumIndPotrS,NscenInfl,V$101)</f>
        <v>1.5447888465316759</v>
      </c>
      <c r="W106" s="114">
        <f>W96/INDEX([1]!KumIndPotrS,NscenInfl,W$101)</f>
        <v>1.5447888465316759</v>
      </c>
      <c r="X106" s="114">
        <f>X96/INDEX([1]!KumIndPotrS,NscenInfl,X$101)</f>
        <v>1.5447888465316759</v>
      </c>
      <c r="Y106" s="114">
        <f>Y96/INDEX([1]!KumIndPotrS,NscenInfl,Y$101)</f>
        <v>1.5447888465316761</v>
      </c>
      <c r="Z106" s="114">
        <f>Z96/INDEX([1]!KumIndPotrS,NscenInfl,Z$101)</f>
        <v>1.5447888465316761</v>
      </c>
      <c r="AA106" s="114">
        <f>AA96/INDEX([1]!KumIndPotrS,NscenInfl,AA$101)</f>
        <v>1.5447888465316761</v>
      </c>
      <c r="AB106" s="114">
        <f>AB96/INDEX([1]!KumIndPotrS,NscenInfl,AB$101)</f>
        <v>1.5447888465316761</v>
      </c>
      <c r="AC106" s="114">
        <f>AC96/INDEX([1]!KumIndPotrS,NscenInfl,AC$101)</f>
        <v>1.5447888465316761</v>
      </c>
      <c r="AD106" s="114">
        <f>AD96/INDEX([1]!KumIndPotrS,NscenInfl,AD$101)</f>
        <v>1.5561561606854</v>
      </c>
      <c r="AE106" s="114">
        <f>AE96/INDEX([1]!KumIndPotrS,NscenInfl,AE$101)</f>
        <v>1.5676071211130846</v>
      </c>
      <c r="AF106" s="107"/>
    </row>
    <row r="107" spans="1:48" ht="13.5" thickBot="1" x14ac:dyDescent="0.25">
      <c r="C107">
        <v>5</v>
      </c>
      <c r="E107" t="s">
        <v>6</v>
      </c>
      <c r="F107" s="124">
        <f>F97/INDEX([1]!KumIndPotrS,NscenInfl,F$101)</f>
        <v>1.176761154018328</v>
      </c>
      <c r="G107" s="124">
        <f>G97/INDEX([1]!KumIndPotrS,NscenInfl,G$101)</f>
        <v>1.2875188622093277</v>
      </c>
      <c r="H107" s="124">
        <f>H97/INDEX([1]!KumIndPotrS,NscenInfl,H$101)</f>
        <v>1.4512602846476725</v>
      </c>
      <c r="I107" s="124">
        <f>I97/INDEX([1]!KumIndPotrS,NscenInfl,I$101)</f>
        <v>1.414990478795811</v>
      </c>
      <c r="J107" s="124">
        <f>J97/INDEX([1]!KumIndPotrS,NscenInfl,J$101)</f>
        <v>1.3628786116550684</v>
      </c>
      <c r="K107" s="124">
        <f>K97/INDEX([1]!KumIndPotrS,NscenInfl,K$101)</f>
        <v>1.4388750011139009</v>
      </c>
      <c r="L107" s="124">
        <f>L97/INDEX([1]!KumIndPotrS,NscenInfl,L$101)</f>
        <v>1.5852460533755794</v>
      </c>
      <c r="M107" s="124">
        <f>M97/INDEX([1]!KumIndPotrS,NscenInfl,M$101)</f>
        <v>1.8700075510646605</v>
      </c>
      <c r="N107" s="292">
        <f>N97/INDEX([1]!KumIndPotrS,NscenInfl,N$101)</f>
        <v>1.8700075510646605</v>
      </c>
      <c r="O107" s="283">
        <f>O97/INDEX([1]!KumIndPotrS,NscenInfl,O$101)</f>
        <v>1.8700075510646603</v>
      </c>
      <c r="P107" s="114">
        <f>P97/INDEX([1]!KumIndPotrS,NscenInfl,P$101)</f>
        <v>1.8700075510646603</v>
      </c>
      <c r="Q107" s="114">
        <f>Q97/INDEX([1]!KumIndPotrS,NscenInfl,Q$101)</f>
        <v>1.8700075510646603</v>
      </c>
      <c r="R107" s="114">
        <f>R97/INDEX([1]!KumIndPotrS,NscenInfl,R$101)</f>
        <v>1.8700075510646601</v>
      </c>
      <c r="S107" s="114">
        <f>S97/INDEX([1]!KumIndPotrS,NscenInfl,S$101)</f>
        <v>1.8700075510646603</v>
      </c>
      <c r="T107" s="114">
        <f>T97/INDEX([1]!KumIndPotrS,NscenInfl,T$101)</f>
        <v>1.8700075510646601</v>
      </c>
      <c r="U107" s="114">
        <f>U97/INDEX([1]!KumIndPotrS,NscenInfl,U$101)</f>
        <v>1.8700075510646603</v>
      </c>
      <c r="V107" s="114">
        <f>V97/INDEX([1]!KumIndPotrS,NscenInfl,V$101)</f>
        <v>1.8700075510646603</v>
      </c>
      <c r="W107" s="114">
        <f>W97/INDEX([1]!KumIndPotrS,NscenInfl,W$101)</f>
        <v>1.8700075510646605</v>
      </c>
      <c r="X107" s="114">
        <f>X97/INDEX([1]!KumIndPotrS,NscenInfl,X$101)</f>
        <v>1.8700075510646603</v>
      </c>
      <c r="Y107" s="114">
        <f>Y97/INDEX([1]!KumIndPotrS,NscenInfl,Y$101)</f>
        <v>1.8700075510646603</v>
      </c>
      <c r="Z107" s="114">
        <f>Z97/INDEX([1]!KumIndPotrS,NscenInfl,Z$101)</f>
        <v>1.8700075510646605</v>
      </c>
      <c r="AA107" s="114">
        <f>AA97/INDEX([1]!KumIndPotrS,NscenInfl,AA$101)</f>
        <v>1.8700075510646608</v>
      </c>
      <c r="AB107" s="114">
        <f>AB97/INDEX([1]!KumIndPotrS,NscenInfl,AB$101)</f>
        <v>1.8700075510646605</v>
      </c>
      <c r="AC107" s="114">
        <f>AC97/INDEX([1]!KumIndPotrS,NscenInfl,AC$101)</f>
        <v>1.8700075510646603</v>
      </c>
      <c r="AD107" s="114">
        <f>AD97/INDEX([1]!KumIndPotrS,NscenInfl,AD$101)</f>
        <v>1.8848264788278142</v>
      </c>
      <c r="AE107" s="114">
        <f>AE97/INDEX([1]!KumIndPotrS,NscenInfl,AE$101)</f>
        <v>1.8997628396034307</v>
      </c>
      <c r="AF107" s="107"/>
    </row>
    <row r="108" spans="1:48" ht="13.5" thickBot="1" x14ac:dyDescent="0.25">
      <c r="C108">
        <v>6</v>
      </c>
      <c r="E108" t="s">
        <v>1</v>
      </c>
      <c r="F108" s="124">
        <f>F98/INDEX([1]!KumIndPotrS,NscenInfl,F$101)</f>
        <v>0.979600669546144</v>
      </c>
      <c r="G108" s="124">
        <f>G98/INDEX([1]!KumIndPotrS,NscenInfl,G$101)</f>
        <v>0.94637306408352084</v>
      </c>
      <c r="H108" s="124">
        <f>H98/INDEX([1]!KumIndPotrS,NscenInfl,H$101)</f>
        <v>1.0579681634668374</v>
      </c>
      <c r="I108" s="124">
        <f>I98/INDEX([1]!KumIndPotrS,NscenInfl,I$101)</f>
        <v>0.99064950420644249</v>
      </c>
      <c r="J108" s="124">
        <f>J98/INDEX([1]!KumIndPotrS,NscenInfl,J$101)</f>
        <v>0.92634410133112666</v>
      </c>
      <c r="K108" s="124">
        <f>K98/INDEX([1]!KumIndPotrS,NscenInfl,K$101)</f>
        <v>0.95642164936020646</v>
      </c>
      <c r="L108" s="124">
        <f>L98/INDEX([1]!KumIndPotrS,NscenInfl,L$101)</f>
        <v>0.96590508106521045</v>
      </c>
      <c r="M108" s="124">
        <f>M98/INDEX([1]!KumIndPotrS,NscenInfl,M$101)</f>
        <v>0.97277938874567993</v>
      </c>
      <c r="N108" s="292">
        <f>N98/INDEX([1]!KumIndPotrS,NscenInfl,N$101)</f>
        <v>0.97277938874568004</v>
      </c>
      <c r="O108" s="283">
        <f>O98/INDEX([1]!KumIndPotrS,NscenInfl,O$101)</f>
        <v>0.97277938874567993</v>
      </c>
      <c r="P108" s="114">
        <f>P98/INDEX([1]!KumIndPotrS,NscenInfl,P$101)</f>
        <v>0.97277938874568004</v>
      </c>
      <c r="Q108" s="114">
        <f>Q98/INDEX([1]!KumIndPotrS,NscenInfl,Q$101)</f>
        <v>0.97277938874567993</v>
      </c>
      <c r="R108" s="114">
        <f>R98/INDEX([1]!KumIndPotrS,NscenInfl,R$101)</f>
        <v>0.97277938874567982</v>
      </c>
      <c r="S108" s="114">
        <f>S98/INDEX([1]!KumIndPotrS,NscenInfl,S$101)</f>
        <v>0.97277938874567993</v>
      </c>
      <c r="T108" s="114">
        <f>T98/INDEX([1]!KumIndPotrS,NscenInfl,T$101)</f>
        <v>0.97277938874567993</v>
      </c>
      <c r="U108" s="114">
        <f>U98/INDEX([1]!KumIndPotrS,NscenInfl,U$101)</f>
        <v>0.97277938874567993</v>
      </c>
      <c r="V108" s="114">
        <f>V98/INDEX([1]!KumIndPotrS,NscenInfl,V$101)</f>
        <v>0.97277938874568004</v>
      </c>
      <c r="W108" s="114">
        <f>W98/INDEX([1]!KumIndPotrS,NscenInfl,W$101)</f>
        <v>0.97277938874568004</v>
      </c>
      <c r="X108" s="114">
        <f>X98/INDEX([1]!KumIndPotrS,NscenInfl,X$101)</f>
        <v>0.97277938874568004</v>
      </c>
      <c r="Y108" s="114">
        <f>Y98/INDEX([1]!KumIndPotrS,NscenInfl,Y$101)</f>
        <v>0.97277938874568004</v>
      </c>
      <c r="Z108" s="114">
        <f>Z98/INDEX([1]!KumIndPotrS,NscenInfl,Z$101)</f>
        <v>0.97277938874568004</v>
      </c>
      <c r="AA108" s="114">
        <f>AA98/INDEX([1]!KumIndPotrS,NscenInfl,AA$101)</f>
        <v>0.97277938874568004</v>
      </c>
      <c r="AB108" s="114">
        <f>AB98/INDEX([1]!KumIndPotrS,NscenInfl,AB$101)</f>
        <v>0.97277938874568004</v>
      </c>
      <c r="AC108" s="114">
        <f>AC98/INDEX([1]!KumIndPotrS,NscenInfl,AC$101)</f>
        <v>0.97277938874568015</v>
      </c>
      <c r="AD108" s="114">
        <f>AD98/INDEX([1]!KumIndPotrS,NscenInfl,AD$101)</f>
        <v>0.98103883638597367</v>
      </c>
      <c r="AE108" s="114">
        <f>AE98/INDEX([1]!KumIndPotrS,NscenInfl,AE$101)</f>
        <v>0.98936841141189225</v>
      </c>
      <c r="AF108" s="107"/>
    </row>
    <row r="109" spans="1:48" x14ac:dyDescent="0.2">
      <c r="C109">
        <v>7</v>
      </c>
      <c r="E109" t="s">
        <v>2</v>
      </c>
      <c r="F109" s="124">
        <f>F99/INDEX([1]!KumIndPotrS,NscenInfl,F$101)</f>
        <v>1.1028589690870081</v>
      </c>
      <c r="G109" s="124">
        <f>G99/INDEX([1]!KumIndPotrS,NscenInfl,G$101)</f>
        <v>1.2248580139642982</v>
      </c>
      <c r="H109" s="124">
        <f>H99/INDEX([1]!KumIndPotrS,NscenInfl,H$101)</f>
        <v>1.4041869250225689</v>
      </c>
      <c r="I109" s="124">
        <f>I99/INDEX([1]!KumIndPotrS,NscenInfl,I$101)</f>
        <v>1.3139011467712789</v>
      </c>
      <c r="J109" s="124">
        <f>J99/INDEX([1]!KumIndPotrS,NscenInfl,J$101)</f>
        <v>1.5070760940325982</v>
      </c>
      <c r="K109" s="124">
        <f>K99/INDEX([1]!KumIndPotrS,NscenInfl,K$101)</f>
        <v>1.4539235134903108</v>
      </c>
      <c r="L109" s="124">
        <f>L99/INDEX([1]!KumIndPotrS,NscenInfl,L$101)</f>
        <v>1.4375356075640802</v>
      </c>
      <c r="M109" s="124">
        <f>M99/INDEX([1]!KumIndPotrS,NscenInfl,M$101)</f>
        <v>1.516707752230513</v>
      </c>
      <c r="N109" s="292">
        <f>N99/INDEX([1]!KumIndPotrS,NscenInfl,N$101)</f>
        <v>1.516707752230513</v>
      </c>
      <c r="O109" s="283">
        <f>O99/INDEX([1]!KumIndPotrS,NscenInfl,O$101)</f>
        <v>1.5167077522305128</v>
      </c>
      <c r="P109" s="114">
        <f>P99/INDEX([1]!KumIndPotrS,NscenInfl,P$101)</f>
        <v>1.516707752230513</v>
      </c>
      <c r="Q109" s="114">
        <f>Q99/INDEX([1]!KumIndPotrS,NscenInfl,Q$101)</f>
        <v>1.516707752230513</v>
      </c>
      <c r="R109" s="114">
        <f>R99/INDEX([1]!KumIndPotrS,NscenInfl,R$101)</f>
        <v>1.5167077522305128</v>
      </c>
      <c r="S109" s="114">
        <f>S99/INDEX([1]!KumIndPotrS,NscenInfl,S$101)</f>
        <v>1.5167077522305128</v>
      </c>
      <c r="T109" s="114">
        <f>T99/INDEX([1]!KumIndPotrS,NscenInfl,T$101)</f>
        <v>1.5167077522305126</v>
      </c>
      <c r="U109" s="114">
        <f>U99/INDEX([1]!KumIndPotrS,NscenInfl,U$101)</f>
        <v>1.5167077522305128</v>
      </c>
      <c r="V109" s="114">
        <f>V99/INDEX([1]!KumIndPotrS,NscenInfl,V$101)</f>
        <v>1.516707752230513</v>
      </c>
      <c r="W109" s="114">
        <f>W99/INDEX([1]!KumIndPotrS,NscenInfl,W$101)</f>
        <v>1.516707752230513</v>
      </c>
      <c r="X109" s="114">
        <f>X99/INDEX([1]!KumIndPotrS,NscenInfl,X$101)</f>
        <v>1.516707752230513</v>
      </c>
      <c r="Y109" s="114">
        <f>Y99/INDEX([1]!KumIndPotrS,NscenInfl,Y$101)</f>
        <v>1.516707752230513</v>
      </c>
      <c r="Z109" s="114">
        <f>Z99/INDEX([1]!KumIndPotrS,NscenInfl,Z$101)</f>
        <v>1.5167077522305132</v>
      </c>
      <c r="AA109" s="114">
        <f>AA99/INDEX([1]!KumIndPotrS,NscenInfl,AA$101)</f>
        <v>1.5167077522305132</v>
      </c>
      <c r="AB109" s="114">
        <f>AB99/INDEX([1]!KumIndPotrS,NscenInfl,AB$101)</f>
        <v>1.5167077522305132</v>
      </c>
      <c r="AC109" s="114">
        <f>AC99/INDEX([1]!KumIndPotrS,NscenInfl,AC$101)</f>
        <v>1.5167077522305132</v>
      </c>
      <c r="AD109" s="114">
        <f>AD99/INDEX([1]!KumIndPotrS,NscenInfl,AD$101)</f>
        <v>1.5304439733827895</v>
      </c>
      <c r="AE109" s="114">
        <f>AE99/INDEX([1]!KumIndPotrS,NscenInfl,AE$101)</f>
        <v>1.544304598047388</v>
      </c>
      <c r="AF109" s="107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>
    <tabColor theme="3" tint="0.39997558519241921"/>
  </sheetPr>
  <dimension ref="A2:BE117"/>
  <sheetViews>
    <sheetView zoomScale="90" zoomScaleNormal="90" workbookViewId="0">
      <pane xSplit="5" topLeftCell="M1" activePane="topRight" state="frozen"/>
      <selection activeCell="A52" sqref="A52"/>
      <selection pane="topRight" activeCell="S66" sqref="S66"/>
    </sheetView>
  </sheetViews>
  <sheetFormatPr defaultRowHeight="12.75" x14ac:dyDescent="0.2"/>
  <cols>
    <col min="2" max="2" width="15" customWidth="1"/>
    <col min="5" max="5" width="10.85546875" customWidth="1"/>
    <col min="6" max="6" width="16.5703125" bestFit="1" customWidth="1"/>
    <col min="7" max="8" width="16.5703125" customWidth="1"/>
    <col min="9" max="12" width="16.5703125" bestFit="1" customWidth="1"/>
    <col min="13" max="13" width="16.5703125" customWidth="1"/>
    <col min="14" max="14" width="16.5703125" bestFit="1" customWidth="1"/>
    <col min="15" max="15" width="16.5703125" style="428" bestFit="1" customWidth="1"/>
    <col min="16" max="16" width="16.5703125" customWidth="1"/>
    <col min="17" max="17" width="16.5703125" bestFit="1" customWidth="1"/>
    <col min="18" max="18" width="16.5703125" style="431" customWidth="1"/>
    <col min="19" max="19" width="14.7109375" customWidth="1"/>
    <col min="20" max="20" width="17.28515625" customWidth="1"/>
    <col min="21" max="21" width="15.28515625" customWidth="1"/>
    <col min="22" max="23" width="12.85546875" bestFit="1" customWidth="1"/>
    <col min="24" max="24" width="16.140625" customWidth="1"/>
    <col min="25" max="32" width="14.5703125" bestFit="1" customWidth="1"/>
  </cols>
  <sheetData>
    <row r="2" spans="2:32" x14ac:dyDescent="0.2">
      <c r="B2" t="s">
        <v>233</v>
      </c>
    </row>
    <row r="3" spans="2:32" x14ac:dyDescent="0.2">
      <c r="F3" s="429">
        <v>1</v>
      </c>
      <c r="G3" s="429">
        <v>2</v>
      </c>
      <c r="H3" s="429">
        <v>3</v>
      </c>
      <c r="I3" s="429">
        <v>4</v>
      </c>
      <c r="J3" s="429">
        <v>5</v>
      </c>
      <c r="K3" s="429">
        <v>6</v>
      </c>
      <c r="L3" s="429">
        <v>7</v>
      </c>
      <c r="M3" s="429">
        <v>8</v>
      </c>
      <c r="N3" s="429">
        <v>9</v>
      </c>
      <c r="O3" s="432">
        <v>10</v>
      </c>
      <c r="P3" s="429">
        <v>11</v>
      </c>
      <c r="Q3" s="429">
        <v>12</v>
      </c>
      <c r="R3" s="430">
        <v>13</v>
      </c>
      <c r="S3" s="429">
        <v>14</v>
      </c>
      <c r="T3" s="429">
        <v>15</v>
      </c>
      <c r="U3" s="429">
        <v>16</v>
      </c>
      <c r="V3" s="429">
        <v>17</v>
      </c>
      <c r="W3" s="429">
        <v>18</v>
      </c>
      <c r="X3" s="429">
        <v>19</v>
      </c>
      <c r="Y3" s="429">
        <v>20</v>
      </c>
      <c r="Z3" s="429">
        <v>21</v>
      </c>
      <c r="AA3" s="429">
        <v>22</v>
      </c>
      <c r="AB3" s="429">
        <v>23</v>
      </c>
      <c r="AC3" s="429">
        <v>24</v>
      </c>
      <c r="AD3" s="429">
        <v>25</v>
      </c>
      <c r="AE3" s="429">
        <v>26</v>
      </c>
      <c r="AF3" s="429">
        <v>27</v>
      </c>
    </row>
    <row r="4" spans="2:32" x14ac:dyDescent="0.2">
      <c r="F4">
        <v>2005</v>
      </c>
      <c r="G4">
        <v>2006</v>
      </c>
      <c r="H4">
        <v>2007</v>
      </c>
      <c r="I4">
        <v>2008</v>
      </c>
      <c r="J4" s="3">
        <v>2009</v>
      </c>
      <c r="K4">
        <v>2010</v>
      </c>
      <c r="L4">
        <v>2011</v>
      </c>
      <c r="M4">
        <v>2012</v>
      </c>
      <c r="N4">
        <v>2013</v>
      </c>
      <c r="O4" s="428">
        <v>2014</v>
      </c>
      <c r="P4">
        <v>2015</v>
      </c>
      <c r="Q4">
        <v>2016</v>
      </c>
      <c r="R4" s="431">
        <v>2017</v>
      </c>
      <c r="S4">
        <v>2018</v>
      </c>
      <c r="T4">
        <v>2019</v>
      </c>
      <c r="U4">
        <v>2020</v>
      </c>
      <c r="V4">
        <v>2021</v>
      </c>
      <c r="W4">
        <v>2022</v>
      </c>
      <c r="X4">
        <v>2023</v>
      </c>
      <c r="Y4">
        <v>2024</v>
      </c>
      <c r="Z4">
        <v>2025</v>
      </c>
      <c r="AA4">
        <v>2026</v>
      </c>
      <c r="AB4">
        <v>2027</v>
      </c>
      <c r="AC4">
        <v>2028</v>
      </c>
      <c r="AD4">
        <v>2029</v>
      </c>
      <c r="AE4">
        <v>2030</v>
      </c>
      <c r="AF4">
        <v>2031</v>
      </c>
    </row>
    <row r="5" spans="2:32" x14ac:dyDescent="0.2">
      <c r="D5" t="s">
        <v>242</v>
      </c>
      <c r="F5">
        <v>1</v>
      </c>
      <c r="G5">
        <f>INDEX([1]!KumIndPotrS,NscenInfl,рынок!F3)</f>
        <v>1.0900000000000001</v>
      </c>
      <c r="H5">
        <f>INDEX([1]!KumIndPotrS,NscenInfl,рынок!G3)</f>
        <v>1.2088100000000002</v>
      </c>
      <c r="I5">
        <f>INDEX([1]!KumIndPotrS,NscenInfl,рынок!H3)</f>
        <v>1.36112006</v>
      </c>
      <c r="J5">
        <f>INDEX([1]!KumIndPotrS,NscenInfl,рынок!I3)</f>
        <v>1.51628774684</v>
      </c>
      <c r="K5">
        <f>INDEX([1]!KumIndPotrS,NscenInfl,рынок!J3)</f>
        <v>1.6527536440556001</v>
      </c>
      <c r="L5">
        <f>INDEX([1]!KumIndPotrS,NscenInfl,рынок!K3)</f>
        <v>1.7717519064276035</v>
      </c>
      <c r="M5">
        <f>INDEX([1]!KumIndPotrS,NscenInfl,рынок!L3)</f>
        <v>1.9297921764809456</v>
      </c>
      <c r="N5">
        <f>INDEX([1]!KumIndPotrS,NscenInfl,рынок!M3)</f>
        <v>2.0903508855641602</v>
      </c>
      <c r="O5">
        <f>INDEX([1]!KumIndPotrS,NscenInfl,рынок!N3)</f>
        <v>2.320289482976218</v>
      </c>
      <c r="P5">
        <f>INDEX([1]!KumIndPotrS,NscenInfl,рынок!O3)</f>
        <v>2.6683329054226506</v>
      </c>
      <c r="Q5">
        <f>INDEX([1]!KumIndPotrS,NscenInfl,рынок!P3)</f>
        <v>3.1086078348173878</v>
      </c>
      <c r="R5">
        <f>INDEX([1]!KumIndPotrS,NscenInfl,рынок!Q3)</f>
        <v>3.6370711667363436</v>
      </c>
      <c r="S5">
        <f>INDEX([1]!KumIndPotrS,NscenInfl,рынок!R3)</f>
        <v>4.1462611300794325</v>
      </c>
      <c r="T5">
        <f>INDEX([1]!KumIndPotrS,NscenInfl,рынок!S3)</f>
        <v>4.6023498543881702</v>
      </c>
      <c r="U5">
        <f>INDEX([1]!KumIndPotrS,NscenInfl,рынок!T3)</f>
        <v>5.016561341283106</v>
      </c>
      <c r="V5">
        <f>INDEX([1]!KumIndPotrS,NscenInfl,рынок!U3)</f>
        <v>5.3677206351729234</v>
      </c>
      <c r="W5">
        <f>INDEX([1]!KumIndPotrS,NscenInfl,рынок!V3)</f>
        <v>5.6897838732832993</v>
      </c>
      <c r="X5">
        <f>INDEX([1]!KumIndPotrS,NscenInfl,рынок!W3)</f>
        <v>6.2018644218787964</v>
      </c>
      <c r="Y5">
        <f>INDEX([1]!KumIndPotrS,NscenInfl,рынок!X3)</f>
        <v>6.8220508640666768</v>
      </c>
      <c r="Z5">
        <f>INDEX([1]!KumIndPotrS,NscenInfl,рынок!Y3)</f>
        <v>7.4360354418326784</v>
      </c>
      <c r="AA5">
        <f>INDEX([1]!KumIndPotrS,NscenInfl,рынок!Z3)</f>
        <v>8.0547135905931562</v>
      </c>
      <c r="AB5">
        <f>INDEX([1]!KumIndPotrS,NscenInfl,рынок!AA3)</f>
        <v>8.6185435419346774</v>
      </c>
      <c r="AC5">
        <f>INDEX([1]!KumIndPotrS,NscenInfl,рынок!AB3)</f>
        <v>9.1356561544507588</v>
      </c>
      <c r="AD5">
        <f>INDEX([1]!KumIndPotrS,NscenInfl,рынок!AC3)</f>
        <v>9.6837955237178051</v>
      </c>
      <c r="AE5">
        <f>INDEX([1]!KumIndPotrS,NscenInfl,рынок!AD3)</f>
        <v>10.264823255140874</v>
      </c>
      <c r="AF5">
        <f>INDEX([1]!KumIndPotrS,NscenInfl,рынок!AE3)</f>
        <v>10.880712650449327</v>
      </c>
    </row>
    <row r="7" spans="2:32" ht="13.5" thickBot="1" x14ac:dyDescent="0.25">
      <c r="C7" s="25" t="s">
        <v>232</v>
      </c>
    </row>
    <row r="8" spans="2:32" ht="13.5" thickBot="1" x14ac:dyDescent="0.25">
      <c r="B8" t="s">
        <v>206</v>
      </c>
      <c r="C8" s="427" t="s">
        <v>3</v>
      </c>
      <c r="F8" s="456">
        <v>1000</v>
      </c>
      <c r="G8" s="456">
        <v>3200</v>
      </c>
      <c r="H8" s="456">
        <v>3300</v>
      </c>
      <c r="I8" s="456">
        <v>5100</v>
      </c>
      <c r="J8" s="456">
        <v>2300</v>
      </c>
      <c r="K8" s="456">
        <v>6000</v>
      </c>
      <c r="L8" s="457">
        <v>6000</v>
      </c>
      <c r="M8" s="457">
        <v>6000</v>
      </c>
      <c r="N8" s="457">
        <v>6000</v>
      </c>
      <c r="O8" s="457">
        <v>6000</v>
      </c>
      <c r="P8" s="457">
        <v>6000</v>
      </c>
      <c r="Q8" s="457">
        <v>6000</v>
      </c>
      <c r="R8" s="457">
        <v>6000</v>
      </c>
      <c r="S8" s="21">
        <f>R8*(1-$F18*0.01)+MAX(0,S28/$G18-R8*(1-$F18*0.01))</f>
        <v>5700</v>
      </c>
      <c r="T8" s="21">
        <f t="shared" ref="T8:AF8" si="0">S8*(1-$F18*0.01)+MAX(0,T28/$G18-S8*(1-$F18*0.01))</f>
        <v>5415</v>
      </c>
      <c r="U8" s="21">
        <f t="shared" si="0"/>
        <v>5144.25</v>
      </c>
      <c r="V8" s="21">
        <f t="shared" si="0"/>
        <v>4887.0374999999995</v>
      </c>
      <c r="W8" s="21">
        <f t="shared" si="0"/>
        <v>4642.6856249999992</v>
      </c>
      <c r="X8" s="21">
        <f t="shared" si="0"/>
        <v>4410.5513437499994</v>
      </c>
      <c r="Y8" s="21">
        <f t="shared" si="0"/>
        <v>4190.0237765624988</v>
      </c>
      <c r="Z8" s="21">
        <f t="shared" si="0"/>
        <v>3980.5225877343737</v>
      </c>
      <c r="AA8" s="21">
        <f t="shared" si="0"/>
        <v>3781.4964583476549</v>
      </c>
      <c r="AB8" s="21">
        <f t="shared" si="0"/>
        <v>3592.4216354302721</v>
      </c>
      <c r="AC8" s="21">
        <f t="shared" si="0"/>
        <v>3412.8005536587584</v>
      </c>
      <c r="AD8" s="21">
        <f t="shared" si="0"/>
        <v>3242.1605259758203</v>
      </c>
      <c r="AE8" s="21">
        <f t="shared" si="0"/>
        <v>3080.0524996770291</v>
      </c>
      <c r="AF8" s="21">
        <f t="shared" si="0"/>
        <v>2926.0498746931776</v>
      </c>
    </row>
    <row r="9" spans="2:32" ht="13.5" thickBot="1" x14ac:dyDescent="0.25">
      <c r="B9" t="s">
        <v>206</v>
      </c>
      <c r="C9" s="427" t="s">
        <v>73</v>
      </c>
      <c r="F9" s="456">
        <v>1000</v>
      </c>
      <c r="G9" s="456">
        <v>1000</v>
      </c>
      <c r="H9" s="456">
        <v>1000</v>
      </c>
      <c r="I9" s="456">
        <v>1000</v>
      </c>
      <c r="J9" s="456">
        <v>1000</v>
      </c>
      <c r="K9" s="456">
        <v>1000</v>
      </c>
      <c r="L9" s="456">
        <v>1000</v>
      </c>
      <c r="M9" s="456">
        <v>1000</v>
      </c>
      <c r="N9" s="456">
        <v>2800</v>
      </c>
      <c r="O9" s="456">
        <v>2900</v>
      </c>
      <c r="P9" s="456">
        <v>3000</v>
      </c>
      <c r="Q9" s="456">
        <v>3100</v>
      </c>
      <c r="R9" s="457">
        <v>3200</v>
      </c>
      <c r="S9" s="21">
        <f t="shared" ref="S9:AF9" si="1">R9*(1-$F19*0.01)+MAX(0,S29/$G19-R9*(1-$F19*0.01))</f>
        <v>3136</v>
      </c>
      <c r="T9" s="21">
        <f t="shared" si="1"/>
        <v>3073.2799999999997</v>
      </c>
      <c r="U9" s="21">
        <f t="shared" si="1"/>
        <v>3011.8143999999998</v>
      </c>
      <c r="V9" s="21">
        <f t="shared" si="1"/>
        <v>2951.5781119999997</v>
      </c>
      <c r="W9" s="21">
        <f t="shared" si="1"/>
        <v>2892.5465497599998</v>
      </c>
      <c r="X9" s="21">
        <f t="shared" si="1"/>
        <v>2834.6956187647997</v>
      </c>
      <c r="Y9" s="21">
        <f t="shared" si="1"/>
        <v>2778.0017063895039</v>
      </c>
      <c r="Z9" s="21">
        <f t="shared" si="1"/>
        <v>2722.4416722617138</v>
      </c>
      <c r="AA9" s="21">
        <f t="shared" si="1"/>
        <v>2667.9928388164794</v>
      </c>
      <c r="AB9" s="21">
        <f t="shared" si="1"/>
        <v>2614.6329820401497</v>
      </c>
      <c r="AC9" s="21">
        <f t="shared" si="1"/>
        <v>2562.3403223993469</v>
      </c>
      <c r="AD9" s="21">
        <f t="shared" si="1"/>
        <v>2511.0935159513597</v>
      </c>
      <c r="AE9" s="21">
        <f t="shared" si="1"/>
        <v>2460.8716456323323</v>
      </c>
      <c r="AF9" s="21">
        <f t="shared" si="1"/>
        <v>2411.6542127196858</v>
      </c>
    </row>
    <row r="10" spans="2:32" ht="13.5" thickBot="1" x14ac:dyDescent="0.25">
      <c r="B10" t="s">
        <v>207</v>
      </c>
      <c r="C10" s="427" t="s">
        <v>5</v>
      </c>
      <c r="F10" s="456">
        <v>1000</v>
      </c>
      <c r="G10" s="456">
        <v>1000</v>
      </c>
      <c r="H10" s="456">
        <v>1000</v>
      </c>
      <c r="I10" s="456">
        <v>1000</v>
      </c>
      <c r="J10" s="456">
        <v>1000</v>
      </c>
      <c r="K10" s="456">
        <v>1000</v>
      </c>
      <c r="L10" s="456">
        <v>1000</v>
      </c>
      <c r="M10" s="456">
        <v>1000</v>
      </c>
      <c r="N10" s="456">
        <v>1000</v>
      </c>
      <c r="O10" s="456">
        <v>1000</v>
      </c>
      <c r="P10" s="456">
        <v>1000</v>
      </c>
      <c r="Q10" s="456">
        <v>1000</v>
      </c>
      <c r="R10" s="456">
        <v>1000</v>
      </c>
      <c r="S10" s="21">
        <f t="shared" ref="S10:AF10" si="2">R10*(1-$F20*0.01)+MAX(0,S30/$G20-R10*(1-$F20*0.01))</f>
        <v>940</v>
      </c>
      <c r="T10" s="21">
        <f t="shared" si="2"/>
        <v>883.59999999999991</v>
      </c>
      <c r="U10" s="21">
        <f t="shared" si="2"/>
        <v>830.58399999999983</v>
      </c>
      <c r="V10" s="21">
        <f t="shared" si="2"/>
        <v>780.74895999999978</v>
      </c>
      <c r="W10" s="21">
        <f t="shared" si="2"/>
        <v>733.9040223999998</v>
      </c>
      <c r="X10" s="21">
        <f t="shared" si="2"/>
        <v>689.86978105599974</v>
      </c>
      <c r="Y10" s="21">
        <f t="shared" si="2"/>
        <v>648.47759419263969</v>
      </c>
      <c r="Z10" s="21">
        <f t="shared" si="2"/>
        <v>609.56893854108125</v>
      </c>
      <c r="AA10" s="21">
        <f t="shared" si="2"/>
        <v>572.99480222861632</v>
      </c>
      <c r="AB10" s="21">
        <f t="shared" si="2"/>
        <v>538.61511409489935</v>
      </c>
      <c r="AC10" s="21">
        <f t="shared" si="2"/>
        <v>506.29820724920535</v>
      </c>
      <c r="AD10" s="21">
        <f t="shared" si="2"/>
        <v>475.920314814253</v>
      </c>
      <c r="AE10" s="21">
        <f t="shared" si="2"/>
        <v>447.36509592539778</v>
      </c>
      <c r="AF10" s="21">
        <f t="shared" si="2"/>
        <v>420.52319016987389</v>
      </c>
    </row>
    <row r="11" spans="2:32" ht="13.5" thickBot="1" x14ac:dyDescent="0.25">
      <c r="B11" t="s">
        <v>208</v>
      </c>
      <c r="C11" s="427" t="s">
        <v>6</v>
      </c>
      <c r="F11" s="456">
        <v>8000</v>
      </c>
      <c r="G11" s="456">
        <v>8000</v>
      </c>
      <c r="H11" s="456">
        <v>8000</v>
      </c>
      <c r="I11" s="456">
        <v>8000</v>
      </c>
      <c r="J11" s="456">
        <v>8000</v>
      </c>
      <c r="K11" s="456">
        <v>8000</v>
      </c>
      <c r="L11" s="456">
        <v>8000</v>
      </c>
      <c r="M11" s="456">
        <v>8000</v>
      </c>
      <c r="N11" s="456">
        <v>8000</v>
      </c>
      <c r="O11" s="456">
        <v>6000</v>
      </c>
      <c r="P11" s="456">
        <v>6000</v>
      </c>
      <c r="Q11" s="456">
        <v>6000</v>
      </c>
      <c r="R11" s="456">
        <v>4000</v>
      </c>
      <c r="S11" s="21">
        <f t="shared" ref="S11:AF11" si="3">R11*(1-$F21*0.01)+MAX(0,S31/$G21-R11*(1-$F21*0.01))</f>
        <v>3920</v>
      </c>
      <c r="T11" s="21">
        <f t="shared" si="3"/>
        <v>3841.6</v>
      </c>
      <c r="U11" s="21">
        <f t="shared" si="3"/>
        <v>3764.768</v>
      </c>
      <c r="V11" s="21">
        <f t="shared" si="3"/>
        <v>3689.47264</v>
      </c>
      <c r="W11" s="21">
        <f t="shared" si="3"/>
        <v>3615.6831871999998</v>
      </c>
      <c r="X11" s="21">
        <f t="shared" si="3"/>
        <v>3543.3695234559996</v>
      </c>
      <c r="Y11" s="21">
        <f t="shared" si="3"/>
        <v>3472.5021329868796</v>
      </c>
      <c r="Z11" s="21">
        <f t="shared" si="3"/>
        <v>3403.0520903271417</v>
      </c>
      <c r="AA11" s="21">
        <f t="shared" si="3"/>
        <v>3334.9910485205987</v>
      </c>
      <c r="AB11" s="21">
        <f t="shared" si="3"/>
        <v>3268.2912275501867</v>
      </c>
      <c r="AC11" s="21">
        <f t="shared" si="3"/>
        <v>3202.925402999183</v>
      </c>
      <c r="AD11" s="21">
        <f t="shared" si="3"/>
        <v>3138.8668949391995</v>
      </c>
      <c r="AE11" s="21">
        <f t="shared" si="3"/>
        <v>3076.0895570404155</v>
      </c>
      <c r="AF11" s="21">
        <f t="shared" si="3"/>
        <v>3014.5677658996069</v>
      </c>
    </row>
    <row r="12" spans="2:32" ht="13.5" thickBot="1" x14ac:dyDescent="0.25">
      <c r="B12" t="s">
        <v>205</v>
      </c>
      <c r="C12" s="427" t="s">
        <v>1</v>
      </c>
      <c r="F12" s="456">
        <v>20000</v>
      </c>
      <c r="G12" s="456">
        <v>25000</v>
      </c>
      <c r="H12" s="456">
        <v>30000</v>
      </c>
      <c r="I12" s="456">
        <v>35000</v>
      </c>
      <c r="J12" s="456">
        <v>40000</v>
      </c>
      <c r="K12" s="456">
        <v>45000</v>
      </c>
      <c r="L12" s="456">
        <v>50000</v>
      </c>
      <c r="M12" s="456">
        <v>55000</v>
      </c>
      <c r="N12" s="456">
        <v>60000</v>
      </c>
      <c r="O12" s="456">
        <v>65000</v>
      </c>
      <c r="P12" s="456">
        <v>70000</v>
      </c>
      <c r="Q12" s="456">
        <v>75000</v>
      </c>
      <c r="R12" s="456">
        <v>5000</v>
      </c>
      <c r="S12" s="21">
        <f t="shared" ref="S12:AF12" si="4">R12*(1-$F22*0.01)+MAX(0,S32/$G22-R12*(1-$F22*0.01))</f>
        <v>4900</v>
      </c>
      <c r="T12" s="21">
        <f t="shared" si="4"/>
        <v>4802</v>
      </c>
      <c r="U12" s="21">
        <f t="shared" si="4"/>
        <v>4705.96</v>
      </c>
      <c r="V12" s="21">
        <f t="shared" si="4"/>
        <v>4611.8407999999999</v>
      </c>
      <c r="W12" s="21">
        <f t="shared" si="4"/>
        <v>4519.6039840000003</v>
      </c>
      <c r="X12" s="21">
        <f t="shared" si="4"/>
        <v>4429.21190432</v>
      </c>
      <c r="Y12" s="21">
        <f t="shared" si="4"/>
        <v>4340.6276662336004</v>
      </c>
      <c r="Z12" s="21">
        <f t="shared" si="4"/>
        <v>4253.8151129089283</v>
      </c>
      <c r="AA12" s="21">
        <f t="shared" si="4"/>
        <v>4168.7388106507497</v>
      </c>
      <c r="AB12" s="21">
        <f t="shared" si="4"/>
        <v>4085.3640344377345</v>
      </c>
      <c r="AC12" s="21">
        <f t="shared" si="4"/>
        <v>4003.6567537489796</v>
      </c>
      <c r="AD12" s="21">
        <f t="shared" si="4"/>
        <v>3923.5836186739998</v>
      </c>
      <c r="AE12" s="21">
        <f t="shared" si="4"/>
        <v>3845.1119463005198</v>
      </c>
      <c r="AF12" s="21">
        <f t="shared" si="4"/>
        <v>3768.2097073745094</v>
      </c>
    </row>
    <row r="13" spans="2:32" x14ac:dyDescent="0.2">
      <c r="B13" t="s">
        <v>209</v>
      </c>
      <c r="C13" s="427" t="s">
        <v>2</v>
      </c>
      <c r="F13" s="456">
        <v>20000</v>
      </c>
      <c r="G13" s="456">
        <v>25000</v>
      </c>
      <c r="H13" s="456">
        <v>30000</v>
      </c>
      <c r="I13" s="456">
        <v>35000</v>
      </c>
      <c r="J13" s="456">
        <v>40000</v>
      </c>
      <c r="K13" s="456">
        <v>45000</v>
      </c>
      <c r="L13" s="456">
        <v>50000</v>
      </c>
      <c r="M13" s="456">
        <v>55000</v>
      </c>
      <c r="N13" s="456">
        <v>60000</v>
      </c>
      <c r="O13" s="456">
        <v>65000</v>
      </c>
      <c r="P13" s="456">
        <v>70000</v>
      </c>
      <c r="Q13" s="456">
        <v>75000</v>
      </c>
      <c r="R13" s="456">
        <v>5000</v>
      </c>
      <c r="S13" s="21">
        <f t="shared" ref="S13:AF13" si="5">R13*(1-$F23*0.01)+MAX(0,S33/$G23-R13*(1-$F23*0.01))</f>
        <v>4900</v>
      </c>
      <c r="T13" s="21">
        <f t="shared" si="5"/>
        <v>4802</v>
      </c>
      <c r="U13" s="21">
        <f t="shared" si="5"/>
        <v>4705.96</v>
      </c>
      <c r="V13" s="21">
        <f t="shared" si="5"/>
        <v>4611.8407999999999</v>
      </c>
      <c r="W13" s="21">
        <f t="shared" si="5"/>
        <v>4519.6039840000003</v>
      </c>
      <c r="X13" s="21">
        <f t="shared" si="5"/>
        <v>4429.21190432</v>
      </c>
      <c r="Y13" s="21">
        <f t="shared" si="5"/>
        <v>4340.6276662336004</v>
      </c>
      <c r="Z13" s="21">
        <f t="shared" si="5"/>
        <v>4253.8151129089283</v>
      </c>
      <c r="AA13" s="21">
        <f t="shared" si="5"/>
        <v>4168.7388106507497</v>
      </c>
      <c r="AB13" s="21">
        <f t="shared" si="5"/>
        <v>4085.3640344377345</v>
      </c>
      <c r="AC13" s="21">
        <f t="shared" si="5"/>
        <v>4003.6567537489796</v>
      </c>
      <c r="AD13" s="21">
        <f t="shared" si="5"/>
        <v>3923.5836186739998</v>
      </c>
      <c r="AE13" s="21">
        <f t="shared" si="5"/>
        <v>3845.1119463005198</v>
      </c>
      <c r="AF13" s="21">
        <f t="shared" si="5"/>
        <v>3768.2097073745094</v>
      </c>
    </row>
    <row r="15" spans="2:32" ht="18" x14ac:dyDescent="0.25">
      <c r="O15" s="445"/>
    </row>
    <row r="16" spans="2:32" ht="103.5" customHeight="1" x14ac:dyDescent="0.2">
      <c r="B16" t="s">
        <v>255</v>
      </c>
      <c r="F16" s="320" t="s">
        <v>234</v>
      </c>
      <c r="G16" s="320" t="s">
        <v>258</v>
      </c>
      <c r="H16" s="320" t="s">
        <v>256</v>
      </c>
      <c r="J16" s="451" t="s">
        <v>263</v>
      </c>
    </row>
    <row r="17" spans="2:32" ht="19.5" thickBot="1" x14ac:dyDescent="0.35">
      <c r="F17" s="435"/>
      <c r="G17" s="447">
        <v>0.5</v>
      </c>
      <c r="O17"/>
      <c r="R17"/>
    </row>
    <row r="18" spans="2:32" x14ac:dyDescent="0.2">
      <c r="B18" t="s">
        <v>235</v>
      </c>
      <c r="C18" s="427" t="s">
        <v>3</v>
      </c>
      <c r="F18" s="435">
        <v>5</v>
      </c>
      <c r="G18" s="3">
        <f>J18*$G$17</f>
        <v>3.5</v>
      </c>
      <c r="H18" s="3">
        <v>15</v>
      </c>
      <c r="J18" s="448">
        <v>7</v>
      </c>
      <c r="O18"/>
      <c r="R18"/>
    </row>
    <row r="19" spans="2:32" x14ac:dyDescent="0.2">
      <c r="C19" s="427" t="s">
        <v>73</v>
      </c>
      <c r="F19" s="435">
        <v>2</v>
      </c>
      <c r="G19" s="3">
        <f t="shared" ref="G19:G23" si="6">J19*$G$17</f>
        <v>1.5</v>
      </c>
      <c r="H19" s="3">
        <v>8</v>
      </c>
      <c r="J19" s="449">
        <v>3</v>
      </c>
      <c r="O19"/>
      <c r="R19"/>
    </row>
    <row r="20" spans="2:32" x14ac:dyDescent="0.2">
      <c r="C20" s="427" t="s">
        <v>5</v>
      </c>
      <c r="F20" s="436">
        <v>6</v>
      </c>
      <c r="G20" s="3">
        <f t="shared" si="6"/>
        <v>2.5</v>
      </c>
      <c r="H20" s="3">
        <v>15</v>
      </c>
      <c r="J20" s="449">
        <v>5</v>
      </c>
      <c r="O20"/>
      <c r="R20"/>
    </row>
    <row r="21" spans="2:32" x14ac:dyDescent="0.2">
      <c r="C21" s="427" t="s">
        <v>6</v>
      </c>
      <c r="F21" s="435">
        <v>2</v>
      </c>
      <c r="G21" s="3">
        <f t="shared" si="6"/>
        <v>2.5</v>
      </c>
      <c r="H21" s="3">
        <v>15</v>
      </c>
      <c r="J21" s="449">
        <v>5</v>
      </c>
      <c r="O21"/>
      <c r="R21"/>
    </row>
    <row r="22" spans="2:32" x14ac:dyDescent="0.2">
      <c r="C22" s="427" t="s">
        <v>1</v>
      </c>
      <c r="F22" s="435">
        <v>2</v>
      </c>
      <c r="G22" s="3">
        <f t="shared" si="6"/>
        <v>2.5</v>
      </c>
      <c r="H22" s="3">
        <v>15</v>
      </c>
      <c r="J22" s="449">
        <v>5</v>
      </c>
      <c r="O22"/>
      <c r="R22"/>
    </row>
    <row r="23" spans="2:32" ht="13.5" thickBot="1" x14ac:dyDescent="0.25">
      <c r="C23" s="427" t="s">
        <v>2</v>
      </c>
      <c r="F23" s="435">
        <v>2</v>
      </c>
      <c r="G23" s="3">
        <f t="shared" si="6"/>
        <v>2.5</v>
      </c>
      <c r="H23" s="3">
        <v>15</v>
      </c>
      <c r="J23" s="450">
        <v>5</v>
      </c>
      <c r="O23"/>
      <c r="R23"/>
    </row>
    <row r="24" spans="2:32" x14ac:dyDescent="0.2">
      <c r="O24"/>
      <c r="R24"/>
    </row>
    <row r="26" spans="2:32" x14ac:dyDescent="0.2">
      <c r="B26" t="s">
        <v>239</v>
      </c>
    </row>
    <row r="27" spans="2:32" ht="13.5" thickBot="1" x14ac:dyDescent="0.25">
      <c r="F27">
        <v>2005</v>
      </c>
      <c r="G27">
        <v>2006</v>
      </c>
      <c r="H27">
        <v>2007</v>
      </c>
      <c r="I27">
        <v>2008</v>
      </c>
      <c r="J27" s="3">
        <v>2009</v>
      </c>
      <c r="K27">
        <v>2010</v>
      </c>
      <c r="L27">
        <v>2011</v>
      </c>
      <c r="M27">
        <v>2012</v>
      </c>
      <c r="N27">
        <v>2013</v>
      </c>
      <c r="O27" s="428">
        <v>2014</v>
      </c>
      <c r="P27">
        <v>2015</v>
      </c>
      <c r="Q27">
        <v>2016</v>
      </c>
      <c r="R27" s="431">
        <v>2017</v>
      </c>
      <c r="S27">
        <v>2018</v>
      </c>
      <c r="T27">
        <v>2019</v>
      </c>
      <c r="U27">
        <v>2020</v>
      </c>
      <c r="V27">
        <v>2021</v>
      </c>
      <c r="W27">
        <v>2022</v>
      </c>
      <c r="X27">
        <v>2023</v>
      </c>
      <c r="Y27">
        <v>2024</v>
      </c>
      <c r="Z27">
        <v>2025</v>
      </c>
      <c r="AA27">
        <v>2026</v>
      </c>
      <c r="AB27">
        <v>2027</v>
      </c>
      <c r="AC27">
        <v>2028</v>
      </c>
      <c r="AD27">
        <v>2029</v>
      </c>
      <c r="AE27">
        <v>2030</v>
      </c>
      <c r="AF27">
        <v>2031</v>
      </c>
    </row>
    <row r="28" spans="2:32" ht="13.5" thickBot="1" x14ac:dyDescent="0.25">
      <c r="B28" t="s">
        <v>206</v>
      </c>
      <c r="C28" s="427" t="s">
        <v>3</v>
      </c>
      <c r="F28" s="438">
        <f>MAX(0,[1]Демография!C$72*1000-F8-'Лист1_Базовые цены'!F14)</f>
        <v>29360</v>
      </c>
      <c r="G28" s="438">
        <f>MAX(0,[1]Демография!D$72*1000-G8-'Лист1_Базовые цены'!G14)</f>
        <v>25541</v>
      </c>
      <c r="H28" s="438">
        <f>MAX(0,[1]Демография!E$72*1000-H8-'Лист1_Базовые цены'!H14)</f>
        <v>25260.78</v>
      </c>
      <c r="I28" s="438">
        <f>MAX(0,[1]Демография!F$72*1000-I8-'Лист1_Базовые цены'!I14)</f>
        <v>24535.282199999994</v>
      </c>
      <c r="J28" s="438">
        <f>MAX(0,[1]Демография!G$72*1000-J8-'Лист1_Базовые цены'!J14)</f>
        <v>28816.931635599991</v>
      </c>
      <c r="K28" s="438">
        <f>MAX(0,[1]Демография!H$72*1000-K8-'Лист1_Базовые цены'!K14)</f>
        <v>26454.943772328792</v>
      </c>
      <c r="L28" s="438">
        <f>MAX(0,[1]Демография!I$72*1000-L8-'Лист1_Базовые цены'!L14)</f>
        <v>27162.161828556462</v>
      </c>
      <c r="M28" s="438">
        <f>MAX(0,[1]Демография!J$72*1000-M8-'Лист1_Базовые цены'!M14)</f>
        <v>27634.594666727899</v>
      </c>
      <c r="N28" s="438">
        <f>MAX(0,[1]Демография!K$72*1000-N8-'Лист1_Базовые цены'!N14)</f>
        <v>25632.208720060626</v>
      </c>
      <c r="O28" s="438">
        <f>MAX(0,[1]Демография!L$72*1000-O8-'Лист1_Базовые цены'!O14)</f>
        <v>27796.723284298532</v>
      </c>
      <c r="P28" s="438">
        <f>MAX(0,[1]Демография!M$72*1000-P8-'Лист1_Базовые цены'!P14)</f>
        <v>28601.300716244295</v>
      </c>
      <c r="Q28" s="438">
        <f>MAX(0,[1]Демография!N$72*1000-Q8-'Лист1_Базовые цены'!Q14)</f>
        <v>28901.385428750284</v>
      </c>
      <c r="R28" s="438">
        <f>MAX(0,[1]Демография!O$72*1000-R8-'Лист1_Базовые цены'!R14)</f>
        <v>28756.641727776347</v>
      </c>
      <c r="S28" s="21">
        <f>S65/$G18</f>
        <v>174.90929078144069</v>
      </c>
      <c r="T28" s="21">
        <f t="shared" ref="T28:AF28" si="7">T65/$G18</f>
        <v>221.8006307394819</v>
      </c>
      <c r="U28" s="21">
        <f t="shared" si="7"/>
        <v>329.87375062653103</v>
      </c>
      <c r="V28" s="21">
        <f t="shared" si="7"/>
        <v>208.21654059532185</v>
      </c>
      <c r="W28" s="21">
        <f t="shared" si="7"/>
        <v>253.36389029576941</v>
      </c>
      <c r="X28" s="21">
        <f t="shared" si="7"/>
        <v>149.8394348612789</v>
      </c>
      <c r="Y28" s="21">
        <f t="shared" si="7"/>
        <v>249.14593390155068</v>
      </c>
      <c r="Z28" s="21">
        <f t="shared" si="7"/>
        <v>258.48282845937786</v>
      </c>
      <c r="AA28" s="21">
        <f t="shared" si="7"/>
        <v>0</v>
      </c>
      <c r="AB28" s="21">
        <f t="shared" si="7"/>
        <v>0</v>
      </c>
      <c r="AC28" s="21">
        <f t="shared" si="7"/>
        <v>0</v>
      </c>
      <c r="AD28" s="21">
        <f t="shared" si="7"/>
        <v>0</v>
      </c>
      <c r="AE28" s="21">
        <f t="shared" si="7"/>
        <v>0</v>
      </c>
      <c r="AF28" s="21">
        <f t="shared" si="7"/>
        <v>0</v>
      </c>
    </row>
    <row r="29" spans="2:32" ht="13.5" thickBot="1" x14ac:dyDescent="0.25">
      <c r="B29" t="s">
        <v>206</v>
      </c>
      <c r="C29" s="427" t="s">
        <v>73</v>
      </c>
      <c r="F29" s="455">
        <f>MAX(0,[1]Демография!C$73*1000-F9-'Лист1_Базовые цены'!F24)</f>
        <v>17211</v>
      </c>
      <c r="G29" s="455">
        <f>MAX(0,[1]Демография!D$73*1000-G9-'Лист1_Базовые цены'!G24)</f>
        <v>15524.899999999994</v>
      </c>
      <c r="H29" s="455">
        <f>MAX(0,[1]Демография!E$73*1000-H9-'Лист1_Базовые цены'!H24)</f>
        <v>11724.824499999988</v>
      </c>
      <c r="I29" s="455">
        <f>MAX(0,[1]Демография!F$73*1000-I9-'Лист1_Базовые цены'!I24)</f>
        <v>4436.9080099999846</v>
      </c>
      <c r="J29" s="455">
        <f>MAX(0,[1]Демография!G$73*1000-J9-'Лист1_Базовые цены'!J24)</f>
        <v>1162.9507696999935</v>
      </c>
      <c r="K29" s="455">
        <f>MAX(0,[1]Демография!H$73*1000-K9-'Лист1_Базовые цены'!K24)</f>
        <v>0</v>
      </c>
      <c r="L29" s="455">
        <f>MAX(0,[1]Демография!I$73*1000-L9-'Лист1_Базовые цены'!L24)</f>
        <v>0</v>
      </c>
      <c r="M29" s="455">
        <f>MAX(0,[1]Демография!J$73*1000-M9-'Лист1_Базовые цены'!M24)</f>
        <v>976.96596373224747</v>
      </c>
      <c r="N29" s="455">
        <f>MAX(0,[1]Демография!K$73*1000-N9-'Лист1_Базовые цены'!N24)</f>
        <v>6986.2468721556652</v>
      </c>
      <c r="O29" s="455">
        <f>MAX(0,[1]Демография!L$73*1000-O9-'Лист1_Базовые цены'!O24)</f>
        <v>5858.3390910134767</v>
      </c>
      <c r="P29" s="455">
        <f>MAX(0,[1]Демография!M$73*1000-P9-'Лист1_Базовые цены'!P24)</f>
        <v>7416.7310828035988</v>
      </c>
      <c r="Q29" s="455">
        <f>MAX(0,[1]Демография!N$73*1000-Q9-'Лист1_Базовые цены'!Q24)</f>
        <v>9354.2000318643695</v>
      </c>
      <c r="R29" s="455">
        <f>MAX(0,[1]Демография!O$73*1000-R9-'Лист1_Базовые цены'!R24)</f>
        <v>11413.306175164005</v>
      </c>
      <c r="S29" s="21">
        <f t="shared" ref="S29:AF29" si="8">S66/$G19</f>
        <v>2060.8645377920407</v>
      </c>
      <c r="T29" s="21">
        <f t="shared" si="8"/>
        <v>1344.8756352980042</v>
      </c>
      <c r="U29" s="21">
        <f t="shared" si="8"/>
        <v>1597.4003733687766</v>
      </c>
      <c r="V29" s="21">
        <f t="shared" si="8"/>
        <v>1294.4985478567435</v>
      </c>
      <c r="W29" s="21">
        <f t="shared" si="8"/>
        <v>1421.4498160174733</v>
      </c>
      <c r="X29" s="21">
        <f t="shared" si="8"/>
        <v>1047.5529969270578</v>
      </c>
      <c r="Y29" s="21">
        <f t="shared" si="8"/>
        <v>1092.8836442590614</v>
      </c>
      <c r="Z29" s="21">
        <f t="shared" si="8"/>
        <v>645.05191087490664</v>
      </c>
      <c r="AA29" s="21">
        <f t="shared" si="8"/>
        <v>319.6023662704647</v>
      </c>
      <c r="AB29" s="21">
        <f t="shared" si="8"/>
        <v>924.2804001920714</v>
      </c>
      <c r="AC29" s="21">
        <f t="shared" si="8"/>
        <v>1142.8154683514106</v>
      </c>
      <c r="AD29" s="21">
        <f t="shared" si="8"/>
        <v>480.73824845519403</v>
      </c>
      <c r="AE29" s="21">
        <f t="shared" si="8"/>
        <v>304.83327217790782</v>
      </c>
      <c r="AF29" s="21">
        <f t="shared" si="8"/>
        <v>0</v>
      </c>
    </row>
    <row r="30" spans="2:32" ht="13.5" thickBot="1" x14ac:dyDescent="0.25">
      <c r="B30" t="s">
        <v>207</v>
      </c>
      <c r="C30" s="427" t="s">
        <v>5</v>
      </c>
      <c r="F30" s="437">
        <f>MAX(0,[1]Демография!C$71*1000*0.003*10-F10-'Лист1_Базовые цены'!F35)</f>
        <v>17462.61</v>
      </c>
      <c r="G30" s="437">
        <f>MAX(0,[1]Демография!D$71*1000*0.003*10-G10-'Лист1_Базовые цены'!G35)</f>
        <v>17143.569435201607</v>
      </c>
      <c r="H30" s="437">
        <f>MAX(0,[1]Демография!E$71*1000*0.003*10-H10-'Лист1_Базовые цены'!H35)</f>
        <v>18134.08218320947</v>
      </c>
      <c r="I30" s="437">
        <f>MAX(0,[1]Демография!F$71*1000*0.003*10-I10-'Лист1_Базовые цены'!I35)</f>
        <v>19074.682695210657</v>
      </c>
      <c r="J30" s="437">
        <f>MAX(0,[1]Демография!G$71*1000*0.003*10-J10-'Лист1_Базовые цены'!J35)</f>
        <v>19257.935787402232</v>
      </c>
      <c r="K30" s="437">
        <f>MAX(0,[1]Демография!H$71*1000*0.003*10-K10-'Лист1_Базовые цены'!K35)</f>
        <v>19556.795498032108</v>
      </c>
      <c r="L30" s="437">
        <f>MAX(0,[1]Демография!I$71*1000*0.003*10-L10-'Лист1_Базовые цены'!L35)</f>
        <v>19489.899723130504</v>
      </c>
      <c r="M30" s="437">
        <f>MAX(0,[1]Демография!J$71*1000*0.003*10-M10-'Лист1_Базовые цены'!M35)</f>
        <v>19387.999750817457</v>
      </c>
      <c r="N30" s="437">
        <f>MAX(0,[1]Демография!K$71*1000*0.003*10-N10-'Лист1_Базовые цены'!N35)</f>
        <v>18252.399653309283</v>
      </c>
      <c r="O30" s="437">
        <f>MAX(0,[1]Демография!L$71*1000*0.003*10-O10-'Лист1_Базовые цены'!O35)</f>
        <v>17547.988217128513</v>
      </c>
      <c r="P30" s="437">
        <f>MAX(0,[1]Демография!M$71*1000*0.003*10-P10-'Лист1_Базовые цены'!P35)</f>
        <v>17008.870847791251</v>
      </c>
      <c r="Q30" s="437">
        <f>MAX(0,[1]Демография!N$71*1000*0.003*10-Q10-'Лист1_Базовые цены'!Q35)</f>
        <v>16017.343913083705</v>
      </c>
      <c r="R30" s="437">
        <f>MAX(0,[1]Демография!O$71*1000*0.003*10-R10-'Лист1_Базовые цены'!R35)</f>
        <v>15404.796793134065</v>
      </c>
      <c r="S30" s="21">
        <f t="shared" ref="S30:AF30" si="9">S67/$G20</f>
        <v>1765.4079418655715</v>
      </c>
      <c r="T30" s="21">
        <f t="shared" si="9"/>
        <v>1225.0668219878958</v>
      </c>
      <c r="U30" s="21">
        <f t="shared" si="9"/>
        <v>1523.8084958412428</v>
      </c>
      <c r="V30" s="21">
        <f t="shared" si="9"/>
        <v>463.56452418751144</v>
      </c>
      <c r="W30" s="21">
        <f t="shared" si="9"/>
        <v>915.64489531319668</v>
      </c>
      <c r="X30" s="21">
        <f t="shared" si="9"/>
        <v>583.75305388138054</v>
      </c>
      <c r="Y30" s="21">
        <f t="shared" si="9"/>
        <v>958.69817835837898</v>
      </c>
      <c r="Z30" s="21">
        <f t="shared" si="9"/>
        <v>693.70496119593918</v>
      </c>
      <c r="AA30" s="21">
        <f t="shared" si="9"/>
        <v>722.61228923666135</v>
      </c>
      <c r="AB30" s="21">
        <f t="shared" si="9"/>
        <v>696.56856782053569</v>
      </c>
      <c r="AC30" s="21">
        <f t="shared" si="9"/>
        <v>751.4852488991263</v>
      </c>
      <c r="AD30" s="21">
        <f t="shared" si="9"/>
        <v>414.74359583822672</v>
      </c>
      <c r="AE30" s="21">
        <f t="shared" si="9"/>
        <v>306.86392265175272</v>
      </c>
      <c r="AF30" s="21">
        <f t="shared" si="9"/>
        <v>0</v>
      </c>
    </row>
    <row r="31" spans="2:32" ht="13.5" thickBot="1" x14ac:dyDescent="0.25">
      <c r="B31" t="s">
        <v>208</v>
      </c>
      <c r="C31" s="427" t="s">
        <v>6</v>
      </c>
      <c r="F31" s="437">
        <f>MAX(0,[1]Демография!C$71*1000*0.08-F11-'Лист1_Базовые цены'!F35)</f>
        <v>67166.960000000006</v>
      </c>
      <c r="G31" s="437">
        <f>MAX(0,[1]Демография!D$71*1000*0.08-G11-'Лист1_Базовые цены'!G35)</f>
        <v>66387.219435201594</v>
      </c>
      <c r="H31" s="437">
        <f>MAX(0,[1]Демография!E$71*1000*0.08-H11-'Лист1_Базовые цены'!H35)</f>
        <v>66984.882183209469</v>
      </c>
      <c r="I31" s="437">
        <f>MAX(0,[1]Демография!F$71*1000*0.08-I11-'Лист1_Базовые цены'!I35)</f>
        <v>67694.282695210655</v>
      </c>
      <c r="J31" s="437">
        <f>MAX(0,[1]Демография!G$71*1000*0.08-J11-'Лист1_Базовые цены'!J35)</f>
        <v>67571.485787402227</v>
      </c>
      <c r="K31" s="437">
        <f>MAX(0,[1]Демография!H$71*1000*0.08-K11-'Лист1_Базовые цены'!K35)</f>
        <v>67537.595498032111</v>
      </c>
      <c r="L31" s="437">
        <f>MAX(0,[1]Демография!I$71*1000*0.08-L11-'Лист1_Базовые цены'!L35)</f>
        <v>67274.899723130511</v>
      </c>
      <c r="M31" s="437">
        <f>MAX(0,[1]Демография!J$71*1000*0.08-M11-'Лист1_Базовые цены'!M35)</f>
        <v>66924.649750817451</v>
      </c>
      <c r="N31" s="437">
        <f>MAX(0,[1]Демография!K$71*1000*0.08-N11-'Лист1_Базовые цены'!N35)</f>
        <v>65469.149653309287</v>
      </c>
      <c r="O31" s="437">
        <f>MAX(0,[1]Демография!L$71*1000*0.08-O11-'Лист1_Базовые цены'!O35)</f>
        <v>66433.038217128516</v>
      </c>
      <c r="P31" s="437">
        <f>MAX(0,[1]Демография!M$71*1000*0.08-P11-'Лист1_Базовые цены'!P35)</f>
        <v>65457.070847791241</v>
      </c>
      <c r="Q31" s="437">
        <f>MAX(0,[1]Демография!N$71*1000*0.08-Q11-'Лист1_Базовые цены'!Q35)</f>
        <v>64009.093913083707</v>
      </c>
      <c r="R31" s="437">
        <f>MAX(0,[1]Демография!O$71*1000*0.08-R11-'Лист1_Базовые цены'!R35)</f>
        <v>64900.446793134077</v>
      </c>
      <c r="S31" s="21">
        <f t="shared" ref="S31:AF31" si="10">S68/$G21</f>
        <v>142.21506479945859</v>
      </c>
      <c r="T31" s="21">
        <f t="shared" si="10"/>
        <v>460.45883969656552</v>
      </c>
      <c r="U31" s="21">
        <f t="shared" si="10"/>
        <v>756.07837466475962</v>
      </c>
      <c r="V31" s="21">
        <f t="shared" si="10"/>
        <v>577.15945742459007</v>
      </c>
      <c r="W31" s="21">
        <f t="shared" si="10"/>
        <v>707.4210817386745</v>
      </c>
      <c r="X31" s="21">
        <f t="shared" si="10"/>
        <v>589.73595156360204</v>
      </c>
      <c r="Y31" s="21">
        <f t="shared" si="10"/>
        <v>725.96269840246146</v>
      </c>
      <c r="Z31" s="21">
        <f t="shared" si="10"/>
        <v>578.39503247808648</v>
      </c>
      <c r="AA31" s="21">
        <f t="shared" si="10"/>
        <v>506.18431594332026</v>
      </c>
      <c r="AB31" s="21">
        <f t="shared" si="10"/>
        <v>727.14463325032091</v>
      </c>
      <c r="AC31" s="21">
        <f t="shared" si="10"/>
        <v>732.46091388146533</v>
      </c>
      <c r="AD31" s="21">
        <f t="shared" si="10"/>
        <v>407.35482206802209</v>
      </c>
      <c r="AE31" s="21">
        <f t="shared" si="10"/>
        <v>302.07432827753331</v>
      </c>
      <c r="AF31" s="21">
        <f t="shared" si="10"/>
        <v>0</v>
      </c>
    </row>
    <row r="32" spans="2:32" ht="13.5" thickBot="1" x14ac:dyDescent="0.25">
      <c r="B32" t="s">
        <v>205</v>
      </c>
      <c r="C32" s="427" t="s">
        <v>1</v>
      </c>
      <c r="F32" s="437">
        <f>MAX(0,[1]Демография!C$52*1000-F12-'Лист1_Базовые цены'!F58)</f>
        <v>988587</v>
      </c>
      <c r="G32" s="437">
        <f>[1]Демография!D$52*1000-G12-'Лист1_Базовые цены'!G58</f>
        <v>971598</v>
      </c>
      <c r="H32" s="437">
        <f>[1]Демография!E$52*1000-H12-'Лист1_Базовые цены'!H58</f>
        <v>955540.82499999995</v>
      </c>
      <c r="I32" s="437">
        <f>[1]Демография!F$52*1000-I12-'Лист1_Базовые цены'!I58</f>
        <v>944580.20087499998</v>
      </c>
      <c r="J32" s="437">
        <f>[1]Демография!G$52*1000-J12-'Лист1_Базовые цены'!J58</f>
        <v>930237.82447324996</v>
      </c>
      <c r="K32" s="437">
        <f>[1]Демография!H$52*1000-K12-'Лист1_Базовые цены'!K58</f>
        <v>911838.8908243035</v>
      </c>
      <c r="L32" s="437">
        <f>[1]Демография!I$52*1000-L12-'Лист1_Базовые цены'!L58</f>
        <v>897006.66191606049</v>
      </c>
      <c r="M32" s="437">
        <f>[1]Демография!J$52*1000-M12-'Лист1_Базовые цены'!M58</f>
        <v>880630.59529689979</v>
      </c>
      <c r="N32" s="437">
        <f>[1]Демография!K$52*1000-N12-'Лист1_Базовые цены'!N58</f>
        <v>866071.61934393086</v>
      </c>
      <c r="O32" s="437">
        <f>[1]Демография!L$52*1000-O12-'Лист1_Базовые цены'!O58</f>
        <v>854167.59684000479</v>
      </c>
      <c r="P32" s="437">
        <f>[1]Демография!M$52*1000-P12-'Лист1_Базовые цены'!P58</f>
        <v>834472.93087160471</v>
      </c>
      <c r="Q32" s="437">
        <f>[1]Демография!N$52*1000-Q12-'Лист1_Базовые цены'!Q58</f>
        <v>820354.94772277388</v>
      </c>
      <c r="R32" s="437">
        <f>[1]Демография!O$52*1000-R12-'Лист1_Базовые цены'!R58</f>
        <v>876296.2497035081</v>
      </c>
      <c r="S32" s="21">
        <f t="shared" ref="S32:AF32" si="11">S69/$G22</f>
        <v>1984.5425181522412</v>
      </c>
      <c r="T32" s="21">
        <f t="shared" si="11"/>
        <v>1285.6800484504045</v>
      </c>
      <c r="U32" s="21">
        <f t="shared" si="11"/>
        <v>771.79064977716757</v>
      </c>
      <c r="V32" s="21">
        <f t="shared" si="11"/>
        <v>813.75605200879727</v>
      </c>
      <c r="W32" s="21">
        <f t="shared" si="11"/>
        <v>424.37116807441146</v>
      </c>
      <c r="X32" s="21">
        <f t="shared" si="11"/>
        <v>591.97852150609242</v>
      </c>
      <c r="Y32" s="21">
        <f t="shared" si="11"/>
        <v>884.13959352708912</v>
      </c>
      <c r="Z32" s="21">
        <f t="shared" si="11"/>
        <v>828.32738448111581</v>
      </c>
      <c r="AA32" s="21">
        <f t="shared" si="11"/>
        <v>319.88177165488048</v>
      </c>
      <c r="AB32" s="21">
        <f t="shared" si="11"/>
        <v>1084.324824452674</v>
      </c>
      <c r="AC32" s="21">
        <f t="shared" si="11"/>
        <v>709.55944345961177</v>
      </c>
      <c r="AD32" s="21">
        <f t="shared" si="11"/>
        <v>383.98674684349015</v>
      </c>
      <c r="AE32" s="21">
        <f t="shared" si="11"/>
        <v>287.45365776748974</v>
      </c>
      <c r="AF32" s="21">
        <f t="shared" si="11"/>
        <v>0</v>
      </c>
    </row>
    <row r="33" spans="2:32" x14ac:dyDescent="0.2">
      <c r="B33" t="s">
        <v>209</v>
      </c>
      <c r="C33" s="427" t="s">
        <v>2</v>
      </c>
      <c r="F33" s="437">
        <f>MAX(0,[1]Демография!C$52*1000-F13-'Лист1_Базовые цены'!F69)</f>
        <v>988587</v>
      </c>
      <c r="G33" s="437">
        <f>MAX(0,[1]Демография!D$52*1000-G13-'Лист1_Базовые цены'!G69)</f>
        <v>971598</v>
      </c>
      <c r="H33" s="437">
        <f>MAX(0,[1]Демография!E$52*1000-H13-'Лист1_Базовые цены'!H69)</f>
        <v>958662.55</v>
      </c>
      <c r="I33" s="437">
        <f>MAX(0,[1]Демография!F$52*1000-I13-'Лист1_Базовые цены'!I69)</f>
        <v>948637.31724999996</v>
      </c>
      <c r="J33" s="437">
        <f>MAX(0,[1]Демография!G$52*1000-J13-'Лист1_Базовые цены'!J69)</f>
        <v>930251.82661550003</v>
      </c>
      <c r="K33" s="437">
        <f>MAX(0,[1]Демография!H$52*1000-K13-'Лист1_Базовые цены'!K69)</f>
        <v>910849.86496226897</v>
      </c>
      <c r="L33" s="437">
        <f>MAX(0,[1]Демография!I$52*1000-L13-'Лист1_Базовые цены'!L69)</f>
        <v>895916.52631264634</v>
      </c>
      <c r="M33" s="437">
        <f>MAX(0,[1]Демография!J$52*1000-M13-'Лист1_Базовые цены'!M69)</f>
        <v>879763.36104951985</v>
      </c>
      <c r="N33" s="437">
        <f>MAX(0,[1]Демография!K$52*1000-N13-'Лист1_Базовые цены'!N69)</f>
        <v>860111.05743902468</v>
      </c>
      <c r="O33" s="437">
        <f>MAX(0,[1]Демография!L$52*1000-O13-'Лист1_Базовые цены'!O69)</f>
        <v>847195.29686463438</v>
      </c>
      <c r="P33" s="437">
        <f>MAX(0,[1]Демография!M$52*1000-P13-'Лист1_Базовые цены'!P69)</f>
        <v>831812.35389598808</v>
      </c>
      <c r="Q33" s="437">
        <f>MAX(0,[1]Демография!N$52*1000-Q13-'Лист1_Базовые цены'!Q69)</f>
        <v>816269.72563039721</v>
      </c>
      <c r="R33" s="437">
        <f>MAX(0,[1]Демография!O$52*1000-R13-'Лист1_Базовые цены'!R69)</f>
        <v>875041.54965776252</v>
      </c>
      <c r="S33" s="21">
        <f t="shared" ref="S33:AF33" si="12">S70/$G23</f>
        <v>2135.4736749549929</v>
      </c>
      <c r="T33" s="21">
        <f t="shared" si="12"/>
        <v>827.99951326383598</v>
      </c>
      <c r="U33" s="21">
        <f t="shared" si="12"/>
        <v>951.57661371067911</v>
      </c>
      <c r="V33" s="21">
        <f t="shared" si="12"/>
        <v>521.75528866278967</v>
      </c>
      <c r="W33" s="21">
        <f t="shared" si="12"/>
        <v>724.68307355249397</v>
      </c>
      <c r="X33" s="21">
        <f t="shared" si="12"/>
        <v>618.64384834309851</v>
      </c>
      <c r="Y33" s="21">
        <f t="shared" si="12"/>
        <v>322.65948272146215</v>
      </c>
      <c r="Z33" s="21">
        <f t="shared" si="12"/>
        <v>477.46482384903885</v>
      </c>
      <c r="AA33" s="21">
        <f t="shared" si="12"/>
        <v>487.09351625316123</v>
      </c>
      <c r="AB33" s="21">
        <f t="shared" si="12"/>
        <v>758.93519370533465</v>
      </c>
      <c r="AC33" s="21">
        <f t="shared" si="12"/>
        <v>662.86593476661869</v>
      </c>
      <c r="AD33" s="21">
        <f t="shared" si="12"/>
        <v>370.09108828626751</v>
      </c>
      <c r="AE33" s="21">
        <f t="shared" si="12"/>
        <v>276.08548781792757</v>
      </c>
      <c r="AF33" s="21">
        <f t="shared" si="12"/>
        <v>0</v>
      </c>
    </row>
    <row r="37" spans="2:32" x14ac:dyDescent="0.2">
      <c r="B37" s="4" t="s">
        <v>236</v>
      </c>
    </row>
    <row r="41" spans="2:32" x14ac:dyDescent="0.2">
      <c r="B41" t="s">
        <v>237</v>
      </c>
      <c r="F41" s="429">
        <v>1</v>
      </c>
      <c r="G41" s="429">
        <v>2</v>
      </c>
      <c r="H41" s="429">
        <v>3</v>
      </c>
      <c r="I41" s="429">
        <v>4</v>
      </c>
      <c r="J41" s="429">
        <v>5</v>
      </c>
      <c r="K41" s="429">
        <v>6</v>
      </c>
      <c r="L41" s="429">
        <v>7</v>
      </c>
      <c r="M41" s="429">
        <v>8</v>
      </c>
      <c r="N41" s="429">
        <v>9</v>
      </c>
      <c r="O41" s="432">
        <v>10</v>
      </c>
      <c r="P41" s="429">
        <v>11</v>
      </c>
      <c r="Q41" s="429">
        <v>12</v>
      </c>
      <c r="R41" s="430">
        <v>13</v>
      </c>
      <c r="S41" s="429">
        <v>14</v>
      </c>
      <c r="T41" s="429">
        <v>15</v>
      </c>
      <c r="U41" s="429">
        <v>16</v>
      </c>
      <c r="V41" s="429">
        <v>17</v>
      </c>
      <c r="W41" s="429">
        <v>18</v>
      </c>
      <c r="X41" s="429">
        <v>19</v>
      </c>
      <c r="Y41" s="429">
        <v>20</v>
      </c>
      <c r="Z41" s="429">
        <v>21</v>
      </c>
      <c r="AA41" s="429">
        <v>22</v>
      </c>
      <c r="AB41" s="429">
        <v>23</v>
      </c>
      <c r="AC41" s="429">
        <v>24</v>
      </c>
      <c r="AD41" s="429">
        <v>25</v>
      </c>
      <c r="AE41" s="429">
        <v>26</v>
      </c>
      <c r="AF41" s="429">
        <v>27</v>
      </c>
    </row>
    <row r="42" spans="2:32" x14ac:dyDescent="0.2">
      <c r="F42">
        <v>2005</v>
      </c>
      <c r="G42">
        <v>2006</v>
      </c>
      <c r="H42">
        <v>2007</v>
      </c>
      <c r="I42">
        <v>2008</v>
      </c>
      <c r="J42" s="3">
        <v>2009</v>
      </c>
      <c r="K42">
        <v>2010</v>
      </c>
      <c r="L42">
        <v>2011</v>
      </c>
      <c r="M42">
        <v>2012</v>
      </c>
      <c r="N42">
        <v>2013</v>
      </c>
      <c r="O42" s="428">
        <v>2014</v>
      </c>
      <c r="P42">
        <v>2015</v>
      </c>
      <c r="Q42">
        <v>2016</v>
      </c>
      <c r="R42" s="431">
        <v>2017</v>
      </c>
      <c r="S42">
        <v>2018</v>
      </c>
      <c r="T42">
        <v>2019</v>
      </c>
      <c r="U42">
        <v>2020</v>
      </c>
      <c r="V42">
        <v>2021</v>
      </c>
      <c r="W42">
        <v>2022</v>
      </c>
      <c r="X42">
        <v>2023</v>
      </c>
      <c r="Y42">
        <v>2024</v>
      </c>
      <c r="Z42">
        <v>2025</v>
      </c>
      <c r="AA42">
        <v>2026</v>
      </c>
      <c r="AB42">
        <v>2027</v>
      </c>
      <c r="AC42">
        <v>2028</v>
      </c>
      <c r="AD42">
        <v>2029</v>
      </c>
      <c r="AE42">
        <v>2030</v>
      </c>
      <c r="AF42">
        <v>2031</v>
      </c>
    </row>
    <row r="43" spans="2:32" x14ac:dyDescent="0.2">
      <c r="C43" s="427" t="s">
        <v>3</v>
      </c>
      <c r="F43">
        <v>1</v>
      </c>
      <c r="G43">
        <f>'распределение '!C87/'[1]НачСост_НС_БД '!$E22</f>
        <v>7.3333346506508454E-2</v>
      </c>
      <c r="H43">
        <f>'распределение '!D87/'Лист1_Базовые цены'!F14</f>
        <v>4.8056012460402635E-2</v>
      </c>
      <c r="I43">
        <f>'распределение '!E87/'Лист1_Базовые цены'!G14</f>
        <v>2.2434816637138869E-2</v>
      </c>
      <c r="J43">
        <f>'распределение '!F87/'Лист1_Базовые цены'!H14</f>
        <v>1.598487735762924E-2</v>
      </c>
      <c r="K43">
        <f>'распределение '!G87/'Лист1_Базовые цены'!I14</f>
        <v>1.6469456744845137E-2</v>
      </c>
      <c r="L43">
        <f>'распределение '!H87/'Лист1_Базовые цены'!J14</f>
        <v>2.6057599932265651E-2</v>
      </c>
      <c r="M43">
        <f>'распределение '!I87/'Лист1_Базовые цены'!K14</f>
        <v>4.7173329085434167E-2</v>
      </c>
      <c r="N43">
        <f>'распределение '!J87/'Лист1_Базовые цены'!L14</f>
        <v>6.084172678106399E-2</v>
      </c>
      <c r="O43">
        <f>'распределение '!K87/'Лист1_Базовые цены'!M14</f>
        <v>6.8848326706611576E-2</v>
      </c>
      <c r="P43">
        <f>'распределение '!L87/'Лист1_Базовые цены'!N14</f>
        <v>9.318193549986617E-2</v>
      </c>
      <c r="Q43">
        <f>'распределение '!M87/'Лист1_Базовые цены'!O14</f>
        <v>0.11142585302650417</v>
      </c>
      <c r="R43">
        <f>'распределение '!N87/'Лист1_Базовые цены'!P14</f>
        <v>0.12411091323926214</v>
      </c>
      <c r="S43">
        <f>'распределение '!O87/'Лист1_Базовые цены'!Q14</f>
        <v>2.037040796321363E-2</v>
      </c>
      <c r="T43">
        <f>'распределение '!P87/'Лист1_Базовые цены'!R14</f>
        <v>4.4915733083703287E-2</v>
      </c>
      <c r="U43">
        <f>'распределение '!Q87/'Лист1_Базовые цены'!S14</f>
        <v>5.3837129943781842E-2</v>
      </c>
      <c r="V43">
        <f>'распределение '!R87/'Лист1_Базовые цены'!T14</f>
        <v>3.5375531355822068E-2</v>
      </c>
      <c r="W43">
        <f>'распределение '!S87/'Лист1_Базовые цены'!U14</f>
        <v>3.282252295982286E-2</v>
      </c>
      <c r="X43">
        <f>'распределение '!T87/'Лист1_Базовые цены'!V14</f>
        <v>2.3317019433178911E-2</v>
      </c>
      <c r="Y43">
        <f>'распределение '!U87/'Лист1_Базовые цены'!W14</f>
        <v>3.112461690830513E-2</v>
      </c>
      <c r="Z43">
        <f>'распределение '!V87/'Лист1_Базовые цены'!X14</f>
        <v>3.8007122947752894E-2</v>
      </c>
      <c r="AA43">
        <f>'распределение '!W87/'Лист1_Базовые цены'!Y14</f>
        <v>0</v>
      </c>
      <c r="AB43">
        <f>'распределение '!X87/'Лист1_Базовые цены'!Z14</f>
        <v>0</v>
      </c>
      <c r="AC43">
        <f>'распределение '!Y87/'Лист1_Базовые цены'!AA14</f>
        <v>0</v>
      </c>
      <c r="AD43">
        <f>'распределение '!Z87/'Лист1_Базовые цены'!AB14</f>
        <v>0</v>
      </c>
      <c r="AE43">
        <f>'распределение '!AA87/'Лист1_Базовые цены'!AC14</f>
        <v>0</v>
      </c>
      <c r="AF43">
        <f>'распределение '!AB87/'Лист1_Базовые цены'!AD14</f>
        <v>0</v>
      </c>
    </row>
    <row r="44" spans="2:32" x14ac:dyDescent="0.2">
      <c r="C44" s="427" t="s">
        <v>73</v>
      </c>
      <c r="F44">
        <v>1</v>
      </c>
      <c r="G44">
        <f>'распределение '!C88/'[1]НачСост_НС_БД '!$E23</f>
        <v>9.263651895220118E-3</v>
      </c>
      <c r="H44">
        <f>'распределение '!D88/'Лист1_Базовые цены'!F24</f>
        <v>9.1149527841037428E-3</v>
      </c>
      <c r="I44">
        <f>'распределение '!E88/'Лист1_Базовые цены'!G24</f>
        <v>2.3249226096431768E-3</v>
      </c>
      <c r="J44">
        <f>'распределение '!F88/'Лист1_Базовые цены'!H24</f>
        <v>4.0449760729927191E-3</v>
      </c>
      <c r="K44">
        <f>'распределение '!G88/'Лист1_Базовые цены'!I24</f>
        <v>7.7254626718052336E-3</v>
      </c>
      <c r="L44">
        <f>'распределение '!H88/'Лист1_Базовые цены'!J24</f>
        <v>0</v>
      </c>
      <c r="M44">
        <f>'распределение '!I88/'Лист1_Базовые цены'!K24</f>
        <v>1.9315894282139869E-3</v>
      </c>
      <c r="N44">
        <f>'распределение '!J88/'Лист1_Базовые цены'!L24</f>
        <v>1.1215662500666019E-2</v>
      </c>
      <c r="O44">
        <f>'распределение '!K88/'Лист1_Базовые цены'!M24</f>
        <v>6.3262003564667255E-2</v>
      </c>
      <c r="P44">
        <f>'распределение '!L88/'Лист1_Базовые цены'!N24</f>
        <v>7.4250534786016315E-2</v>
      </c>
      <c r="Q44">
        <f>'распределение '!M88/'Лист1_Базовые цены'!O24</f>
        <v>8.6298001666765795E-2</v>
      </c>
      <c r="R44">
        <f>'распределение '!N88/'Лист1_Базовые цены'!P24</f>
        <v>0.10095859589587237</v>
      </c>
      <c r="S44">
        <f>'распределение '!O88/'Лист1_Базовые цены'!Q24</f>
        <v>0.10286307639198167</v>
      </c>
      <c r="T44">
        <f>'распределение '!P88/'Лист1_Базовые цены'!R24</f>
        <v>0.11671886504127776</v>
      </c>
      <c r="U44">
        <f>'распределение '!Q88/'Лист1_Базовые цены'!S24</f>
        <v>0.11173034442500836</v>
      </c>
      <c r="V44">
        <f>'распределение '!R88/'Лист1_Базовые цены'!T24</f>
        <v>9.4256764421806347E-2</v>
      </c>
      <c r="W44">
        <f>'распределение '!S88/'Лист1_Базовые цены'!U24</f>
        <v>7.8919075362890403E-2</v>
      </c>
      <c r="X44">
        <f>'распределение '!T88/'Лист1_Базовые цены'!V24</f>
        <v>6.9862822377394648E-2</v>
      </c>
      <c r="Y44">
        <f>'распределение '!U88/'Лист1_Базовые цены'!W24</f>
        <v>5.8512324576045813E-2</v>
      </c>
      <c r="Z44">
        <f>'распределение '!V88/'Лист1_Базовые цены'!X24</f>
        <v>4.0649122912060742E-2</v>
      </c>
      <c r="AA44">
        <f>'распределение '!W88/'Лист1_Базовые цены'!Y24</f>
        <v>2.3748788357895248E-2</v>
      </c>
      <c r="AB44">
        <f>'распределение '!X88/'Лист1_Базовые цены'!Z24</f>
        <v>3.1680829795056833E-2</v>
      </c>
      <c r="AC44">
        <f>'распределение '!Y88/'Лист1_Базовые цены'!AA24</f>
        <v>3.2807144154024415E-2</v>
      </c>
      <c r="AD44">
        <f>'распределение '!Z88/'Лист1_Базовые цены'!AB24</f>
        <v>2.7976163643857584E-2</v>
      </c>
      <c r="AE44">
        <f>'распределение '!AA88/'Лист1_Базовые цены'!AC24</f>
        <v>2.2459774988081441E-2</v>
      </c>
      <c r="AF44">
        <f>'распределение '!AB88/'Лист1_Базовые цены'!AD24</f>
        <v>1.0270071278647395E-2</v>
      </c>
    </row>
    <row r="45" spans="2:32" x14ac:dyDescent="0.2">
      <c r="C45" s="427" t="s">
        <v>5</v>
      </c>
      <c r="F45">
        <v>1</v>
      </c>
      <c r="G45">
        <f>'распределение '!C89/'[1]НачСост_НС_БД '!$E24</f>
        <v>6.4132383382727717E-3</v>
      </c>
      <c r="H45">
        <f>'распределение '!D89/'Лист1_Базовые цены'!F35</f>
        <v>0</v>
      </c>
      <c r="I45">
        <f>'распределение '!E89/'Лист1_Базовые цены'!G35</f>
        <v>0</v>
      </c>
      <c r="J45">
        <f>'распределение '!F89/'Лист1_Базовые цены'!H35</f>
        <v>4.494718998384788E-3</v>
      </c>
      <c r="K45">
        <f>'распределение '!G89/'Лист1_Базовые цены'!I35</f>
        <v>7.6006553338236445E-3</v>
      </c>
      <c r="L45">
        <f>'распределение '!H89/'Лист1_Базовые цены'!J35</f>
        <v>3.6397539136824579E-2</v>
      </c>
      <c r="M45">
        <f>'распределение '!I89/'Лист1_Базовые цены'!K35</f>
        <v>8.7762951105186268E-2</v>
      </c>
      <c r="N45">
        <f>'распределение '!J89/'Лист1_Базовые цены'!L35</f>
        <v>7.8122719676265204E-2</v>
      </c>
      <c r="O45">
        <f>'распределение '!K89/'Лист1_Базовые цены'!M35</f>
        <v>9.1737927069275083E-2</v>
      </c>
      <c r="P45">
        <f>'распределение '!L89/'Лист1_Базовые цены'!N35</f>
        <v>0.12311559415595252</v>
      </c>
      <c r="Q45">
        <f>'распределение '!M89/'Лист1_Базовые цены'!O35</f>
        <v>0.16974969247548677</v>
      </c>
      <c r="R45">
        <f>'распределение '!N89/'Лист1_Базовые цены'!P35</f>
        <v>0.18323493953796638</v>
      </c>
      <c r="S45">
        <f>'распределение '!O89/'Лист1_Базовые цены'!Q35</f>
        <v>0.14686012322906492</v>
      </c>
      <c r="T45">
        <f>'распределение '!P89/'Лист1_Базовые цены'!R35</f>
        <v>0.17720152618482105</v>
      </c>
      <c r="U45">
        <f>'распределение '!Q89/'Лист1_Базовые цены'!S35</f>
        <v>0.17763825412477505</v>
      </c>
      <c r="V45">
        <f>'распределение '!R89/'Лист1_Базовые цены'!T35</f>
        <v>5.6256136430836233E-2</v>
      </c>
      <c r="W45">
        <f>'распределение '!S89/'Лист1_Базовые цены'!U35</f>
        <v>8.4727869255497967E-2</v>
      </c>
      <c r="X45">
        <f>'распределение '!T89/'Лист1_Базовые цены'!V35</f>
        <v>6.4885557159097287E-2</v>
      </c>
      <c r="Y45">
        <f>'распределение '!U89/'Лист1_Базовые цены'!W35</f>
        <v>8.5546860786203688E-2</v>
      </c>
      <c r="Z45">
        <f>'распределение '!V89/'Лист1_Базовые цены'!X35</f>
        <v>7.2858472723829434E-2</v>
      </c>
      <c r="AA45">
        <f>'распределение '!W89/'Лист1_Базовые цены'!Y35</f>
        <v>8.9492278181762877E-2</v>
      </c>
      <c r="AB45">
        <f>'распределение '!X89/'Лист1_Базовые цены'!Z35</f>
        <v>3.9792885061580595E-2</v>
      </c>
      <c r="AC45">
        <f>'распределение '!Y89/'Лист1_Базовые цены'!AA35</f>
        <v>3.595518491103053E-2</v>
      </c>
      <c r="AD45">
        <f>'распределение '!Z89/'Лист1_Базовые цены'!AB35</f>
        <v>4.0226099284787764E-2</v>
      </c>
      <c r="AE45">
        <f>'распределение '!AA89/'Лист1_Базовые цены'!AC35</f>
        <v>3.768231841118274E-2</v>
      </c>
      <c r="AF45">
        <f>'распределение '!AB89/'Лист1_Базовые цены'!AD35</f>
        <v>7.8661138943343541E-3</v>
      </c>
    </row>
    <row r="46" spans="2:32" x14ac:dyDescent="0.2">
      <c r="C46" s="427" t="s">
        <v>6</v>
      </c>
      <c r="F46">
        <v>1</v>
      </c>
      <c r="G46">
        <f>'распределение '!C90/'[1]НачСост_НС_БД '!$E25</f>
        <v>5.8246158520379204E-2</v>
      </c>
      <c r="H46">
        <f>'распределение '!D90/'Лист1_Базовые цены'!F46</f>
        <v>5.6975156950791098E-2</v>
      </c>
      <c r="I46">
        <f>'распределение '!E90/'Лист1_Базовые цены'!G46</f>
        <v>3.6238950575397978E-2</v>
      </c>
      <c r="J46">
        <f>'распределение '!F90/'Лист1_Базовые цены'!H46</f>
        <v>2.2847697102627365E-2</v>
      </c>
      <c r="K46">
        <f>'распределение '!G90/'Лист1_Базовые цены'!I46</f>
        <v>3.9234078188171963E-2</v>
      </c>
      <c r="L46">
        <f>'распределение '!H90/'Лист1_Базовые цены'!J46</f>
        <v>2.5667215418659836E-3</v>
      </c>
      <c r="M46">
        <f>'распределение '!I90/'Лист1_Базовые цены'!K46</f>
        <v>0</v>
      </c>
      <c r="N46">
        <f>'распределение '!J90/'Лист1_Базовые цены'!L46</f>
        <v>3.8379336321569604E-3</v>
      </c>
      <c r="O46">
        <f>'распределение '!K90/'Лист1_Базовые цены'!M46</f>
        <v>8.170294196385855E-2</v>
      </c>
      <c r="P46">
        <f>'распределение '!L90/'Лист1_Базовые цены'!N46</f>
        <v>0.10362358071202794</v>
      </c>
      <c r="Q46">
        <f>'распределение '!M90/'Лист1_Базовые цены'!O46</f>
        <v>0.12142027876372977</v>
      </c>
      <c r="R46">
        <f>'распределение '!N90/'Лист1_Базовые цены'!P46</f>
        <v>0.13766169975635581</v>
      </c>
      <c r="S46">
        <f>'распределение '!O90/'Лист1_Базовые цены'!Q46</f>
        <v>1.1830535847373175E-2</v>
      </c>
      <c r="T46">
        <f>'распределение '!P90/'Лист1_Базовые цены'!R46</f>
        <v>6.6603721262422241E-2</v>
      </c>
      <c r="U46">
        <f>'распределение '!Q90/'Лист1_Базовые цены'!S46</f>
        <v>8.8139974821966283E-2</v>
      </c>
      <c r="V46">
        <f>'распределение '!R90/'Лист1_Базовые цены'!T46</f>
        <v>7.0041514147643397E-2</v>
      </c>
      <c r="W46">
        <f>'распределение '!S90/'Лист1_Базовые цены'!U46</f>
        <v>6.5460181374828119E-2</v>
      </c>
      <c r="X46">
        <f>'распределение '!T90/'Лист1_Базовые цены'!V46</f>
        <v>6.555057063860828E-2</v>
      </c>
      <c r="Y46">
        <f>'распределение '!U90/'Лист1_Базовые цены'!W46</f>
        <v>6.4779334412166364E-2</v>
      </c>
      <c r="Z46">
        <f>'распределение '!V90/'Лист1_Базовые цены'!X46</f>
        <v>6.0747696866334286E-2</v>
      </c>
      <c r="AA46">
        <f>'распределение '!W90/'Лист1_Базовые цены'!Y46</f>
        <v>6.2688648239704894E-2</v>
      </c>
      <c r="AB46">
        <f>'распределение '!X90/'Лист1_Базовые цены'!Z46</f>
        <v>4.1539604499538765E-2</v>
      </c>
      <c r="AC46">
        <f>'распределение '!Y90/'Лист1_Базовые цены'!AA46</f>
        <v>3.5044956154882033E-2</v>
      </c>
      <c r="AD46">
        <f>'распределение '!Z90/'Лист1_Базовые цены'!AB46</f>
        <v>3.9509460015958599E-2</v>
      </c>
      <c r="AE46">
        <f>'распределение '!AA90/'Лист1_Базовые цены'!AC46</f>
        <v>3.7094165138845912E-2</v>
      </c>
      <c r="AF46">
        <f>'распределение '!AB90/'Лист1_Базовые цены'!AD46</f>
        <v>1.1271680235553841E-2</v>
      </c>
    </row>
    <row r="47" spans="2:32" x14ac:dyDescent="0.2">
      <c r="C47" s="427" t="s">
        <v>1</v>
      </c>
      <c r="F47">
        <v>1</v>
      </c>
      <c r="G47">
        <f>'распределение '!C91/'[1]НачСост_НС_БД '!$E26</f>
        <v>3.171421148552947E-2</v>
      </c>
      <c r="H47">
        <f>'распределение '!D91/'Лист1_Базовые цены'!F58</f>
        <v>2.8169314306618398E-2</v>
      </c>
      <c r="I47">
        <f>'распределение '!E91/'Лист1_Базовые цены'!G58</f>
        <v>1.5157311253919397E-2</v>
      </c>
      <c r="J47">
        <f>'распределение '!F91/'Лист1_Базовые цены'!H58</f>
        <v>2.6143359944803907E-2</v>
      </c>
      <c r="K47">
        <f>'распределение '!G91/'Лист1_Базовые цены'!I58</f>
        <v>5.2446460141625482E-2</v>
      </c>
      <c r="L47">
        <f>'распределение '!H91/'Лист1_Базовые цены'!J58</f>
        <v>5.3622249167429574E-2</v>
      </c>
      <c r="M47">
        <f>'распределение '!I91/'Лист1_Базовые цены'!K58</f>
        <v>5.4956012241211258E-2</v>
      </c>
      <c r="N47">
        <f>'распределение '!J91/'Лист1_Базовые цены'!L58</f>
        <v>3.1356276390719959E-2</v>
      </c>
      <c r="O47">
        <f>'распределение '!K91/'Лист1_Базовые цены'!M58</f>
        <v>7.0491851881057915E-2</v>
      </c>
      <c r="P47">
        <f>'распределение '!L91/'Лист1_Базовые цены'!N58</f>
        <v>0.11979643697931962</v>
      </c>
      <c r="Q47">
        <f>'распределение '!M91/'Лист1_Базовые цены'!O58</f>
        <v>0.13327619602353658</v>
      </c>
      <c r="R47">
        <f>'распределение '!N91/'Лист1_Базовые цены'!P58</f>
        <v>0.17567756155478909</v>
      </c>
      <c r="S47">
        <f>'распределение '!O91/'Лист1_Базовые цены'!Q58</f>
        <v>0.16508941183371525</v>
      </c>
      <c r="T47">
        <f>'распределение '!P91/'Лист1_Базовые цены'!R58</f>
        <v>0.18596901220547243</v>
      </c>
      <c r="U47">
        <f>'распределение '!Q91/'Лист1_Базовые цены'!S58</f>
        <v>8.9971636167150898E-2</v>
      </c>
      <c r="V47">
        <f>'распределение '!R91/'Лист1_Базовые цены'!T58</f>
        <v>9.875382842002832E-2</v>
      </c>
      <c r="W47">
        <f>'распределение '!S91/'Лист1_Базовые цены'!U58</f>
        <v>3.9268569101903746E-2</v>
      </c>
      <c r="X47">
        <f>'распределение '!T91/'Лист1_Базовые цены'!V58</f>
        <v>6.5799837686068216E-2</v>
      </c>
      <c r="Y47">
        <f>'распределение '!U91/'Лист1_Базовые цены'!W58</f>
        <v>7.8893825429549036E-2</v>
      </c>
      <c r="Z47">
        <f>'распределение '!V91/'Лист1_Базовые цены'!X58</f>
        <v>8.6997602041903377E-2</v>
      </c>
      <c r="AA47">
        <f>'распределение '!W91/'Лист1_Базовые цены'!Y58</f>
        <v>3.961591702855493E-2</v>
      </c>
      <c r="AB47">
        <f>'распределение '!X91/'Лист1_Базовые цены'!Z58</f>
        <v>6.1944243685684935E-2</v>
      </c>
      <c r="AC47">
        <f>'распределение '!Y91/'Лист1_Базовые цены'!AA58</f>
        <v>3.3949223929986734E-2</v>
      </c>
      <c r="AD47">
        <f>'распределение '!Z91/'Лист1_Базовые цены'!AB58</f>
        <v>3.7242983755664358E-2</v>
      </c>
      <c r="AE47">
        <f>'распределение '!AA91/'Лист1_Базовые цены'!AC58</f>
        <v>3.5298774019604788E-2</v>
      </c>
      <c r="AF47">
        <f>'распределение '!AB91/'Лист1_Базовые цены'!AD58</f>
        <v>1.0311368692170409E-2</v>
      </c>
    </row>
    <row r="48" spans="2:32" x14ac:dyDescent="0.2">
      <c r="C48" s="427" t="s">
        <v>2</v>
      </c>
      <c r="F48">
        <v>1</v>
      </c>
      <c r="G48">
        <f>'распределение '!C92/'[1]НачСост_НС_БД '!$E27</f>
        <v>3.171421148552947E-2</v>
      </c>
      <c r="H48">
        <f>'распределение '!D92/'Лист1_Базовые цены'!F69</f>
        <v>2.2687839480526979E-3</v>
      </c>
      <c r="I48">
        <f>'распределение '!E92/'Лист1_Базовые цены'!G69</f>
        <v>7.7402113171201299E-3</v>
      </c>
      <c r="J48">
        <f>'распределение '!F92/'Лист1_Базовые цены'!H69</f>
        <v>5.8214209950189069E-2</v>
      </c>
      <c r="K48">
        <f>'распределение '!G92/'Лист1_Базовые цены'!I69</f>
        <v>6.1893523935847537E-2</v>
      </c>
      <c r="L48">
        <f>'распределение '!H92/'Лист1_Базовые цены'!J69</f>
        <v>5.4437921864071738E-2</v>
      </c>
      <c r="M48">
        <f>'распределение '!I92/'Лист1_Базовые цены'!K69</f>
        <v>5.3099105222675913E-2</v>
      </c>
      <c r="N48">
        <f>'распределение '!J92/'Лист1_Базовые цены'!L69</f>
        <v>6.518853131199949E-2</v>
      </c>
      <c r="O48">
        <f>'распределение '!K92/'Лист1_Базовые цены'!M69</f>
        <v>6.8033670230207344E-2</v>
      </c>
      <c r="P48">
        <f>'распределение '!L92/'Лист1_Базовые цены'!N69</f>
        <v>0.10500558733477081</v>
      </c>
      <c r="Q48">
        <f>'распределение '!M92/'Лист1_Базовые цены'!O69</f>
        <v>0.14075156557332341</v>
      </c>
      <c r="R48">
        <f>'распределение '!N92/'Лист1_Базовые цены'!P69</f>
        <v>0.17510345420812978</v>
      </c>
      <c r="S48">
        <f>'распределение '!O92/'Лист1_Базовые цены'!Q69</f>
        <v>0.17764501881922251</v>
      </c>
      <c r="T48">
        <f>'распределение '!P92/'Лист1_Базовые цены'!R69</f>
        <v>0.11976716273529966</v>
      </c>
      <c r="U48">
        <f>'распределение '!Q92/'Лист1_Базовые цены'!S69</f>
        <v>0.11093021779761851</v>
      </c>
      <c r="V48">
        <f>'распределение '!R92/'Лист1_Базовые цены'!T69</f>
        <v>6.3317909742919426E-2</v>
      </c>
      <c r="W48">
        <f>'распределение '!S92/'Лист1_Базовые цены'!U69</f>
        <v>6.7057494692444E-2</v>
      </c>
      <c r="X48">
        <f>'распределение '!T92/'Лист1_Базовые цены'!V69</f>
        <v>6.8763752953225246E-2</v>
      </c>
      <c r="Y48">
        <f>'распределение '!U92/'Лист1_Базовые цены'!W69</f>
        <v>2.8791653591108728E-2</v>
      </c>
      <c r="Z48">
        <f>'распределение '!V92/'Лист1_Базовые цены'!X69</f>
        <v>5.0147194831964621E-2</v>
      </c>
      <c r="AA48">
        <f>'распределение '!W92/'Лист1_Базовые цены'!Y69</f>
        <v>6.032433866175848E-2</v>
      </c>
      <c r="AB48">
        <f>'распределение '!X92/'Лист1_Базовые цены'!Z69</f>
        <v>4.3355704416575963E-2</v>
      </c>
      <c r="AC48">
        <f>'распределение '!Y92/'Лист1_Базовые цены'!AA69</f>
        <v>3.1715149819203037E-2</v>
      </c>
      <c r="AD48">
        <f>'распределение '!Z92/'Лист1_Базовые цены'!AB69</f>
        <v>3.5895239881233616E-2</v>
      </c>
      <c r="AE48">
        <f>'распределение '!AA92/'Лист1_Базовые цены'!AC69</f>
        <v>3.3902783913990479E-2</v>
      </c>
      <c r="AF48">
        <f>'распределение '!AB92/'Лист1_Базовые цены'!AD69</f>
        <v>1.0187388445541935E-2</v>
      </c>
    </row>
    <row r="49" spans="2:32" x14ac:dyDescent="0.2">
      <c r="F49">
        <f>SUM(F43:F48)</f>
        <v>6</v>
      </c>
      <c r="G49">
        <f t="shared" ref="G49:AF49" si="13">SUM(G43:G48)</f>
        <v>0.21068481823143947</v>
      </c>
      <c r="H49">
        <f t="shared" si="13"/>
        <v>0.14458422044996855</v>
      </c>
      <c r="I49">
        <f t="shared" si="13"/>
        <v>8.3896212393219552E-2</v>
      </c>
      <c r="J49">
        <f t="shared" si="13"/>
        <v>0.13172983942662708</v>
      </c>
      <c r="K49">
        <f t="shared" si="13"/>
        <v>0.185369637016119</v>
      </c>
      <c r="L49">
        <f t="shared" si="13"/>
        <v>0.17308203164245753</v>
      </c>
      <c r="M49">
        <f t="shared" si="13"/>
        <v>0.24492298708272159</v>
      </c>
      <c r="N49">
        <f t="shared" si="13"/>
        <v>0.25056285029287162</v>
      </c>
      <c r="O49">
        <f t="shared" si="13"/>
        <v>0.44407672141567767</v>
      </c>
      <c r="P49">
        <f t="shared" si="13"/>
        <v>0.6189736694679534</v>
      </c>
      <c r="Q49">
        <f t="shared" si="13"/>
        <v>0.76292158752934647</v>
      </c>
      <c r="R49">
        <f t="shared" si="13"/>
        <v>0.89674716419237555</v>
      </c>
      <c r="S49">
        <f t="shared" si="13"/>
        <v>0.62465857408457115</v>
      </c>
      <c r="T49">
        <f t="shared" si="13"/>
        <v>0.71117602051299644</v>
      </c>
      <c r="U49">
        <f t="shared" si="13"/>
        <v>0.63224755728030091</v>
      </c>
      <c r="V49">
        <f t="shared" si="13"/>
        <v>0.41800168451905584</v>
      </c>
      <c r="W49">
        <f t="shared" si="13"/>
        <v>0.36825571274738711</v>
      </c>
      <c r="X49">
        <f t="shared" si="13"/>
        <v>0.35817956024757258</v>
      </c>
      <c r="Y49">
        <f t="shared" si="13"/>
        <v>0.34764861570337879</v>
      </c>
      <c r="Z49">
        <f t="shared" si="13"/>
        <v>0.34940721232384536</v>
      </c>
      <c r="AA49">
        <f t="shared" si="13"/>
        <v>0.27586997046967643</v>
      </c>
      <c r="AB49">
        <f t="shared" si="13"/>
        <v>0.21831326745843707</v>
      </c>
      <c r="AC49">
        <f t="shared" si="13"/>
        <v>0.16947165896912675</v>
      </c>
      <c r="AD49">
        <f t="shared" si="13"/>
        <v>0.18084994658150189</v>
      </c>
      <c r="AE49">
        <f t="shared" si="13"/>
        <v>0.16643781647170539</v>
      </c>
      <c r="AF49">
        <f t="shared" si="13"/>
        <v>4.990662254624794E-2</v>
      </c>
    </row>
    <row r="51" spans="2:32" x14ac:dyDescent="0.2">
      <c r="B51" t="s">
        <v>238</v>
      </c>
    </row>
    <row r="53" spans="2:32" x14ac:dyDescent="0.2">
      <c r="C53" s="427" t="s">
        <v>3</v>
      </c>
      <c r="F53">
        <f>F43/F$49</f>
        <v>0.16666666666666666</v>
      </c>
      <c r="G53">
        <f t="shared" ref="G53:AF53" si="14">G43/G$49</f>
        <v>0.34807133766017734</v>
      </c>
      <c r="H53">
        <f t="shared" si="14"/>
        <v>0.33237383935013698</v>
      </c>
      <c r="I53">
        <f t="shared" si="14"/>
        <v>0.26741155526768501</v>
      </c>
      <c r="J53">
        <f t="shared" si="14"/>
        <v>0.12134591089768043</v>
      </c>
      <c r="K53">
        <f t="shared" si="14"/>
        <v>8.8846571692930587E-2</v>
      </c>
      <c r="L53">
        <f t="shared" si="14"/>
        <v>0.15055057815645403</v>
      </c>
      <c r="M53">
        <f t="shared" si="14"/>
        <v>0.192604743422885</v>
      </c>
      <c r="N53">
        <f t="shared" si="14"/>
        <v>0.24282022139335036</v>
      </c>
      <c r="O53">
        <f t="shared" si="14"/>
        <v>0.1550370091166435</v>
      </c>
      <c r="P53">
        <f t="shared" si="14"/>
        <v>0.15054264841340001</v>
      </c>
      <c r="Q53">
        <f t="shared" si="14"/>
        <v>0.14605151413705156</v>
      </c>
      <c r="R53">
        <f t="shared" si="14"/>
        <v>0.13840123302875271</v>
      </c>
      <c r="S53">
        <f t="shared" si="14"/>
        <v>3.2610467234947017E-2</v>
      </c>
      <c r="T53">
        <f t="shared" si="14"/>
        <v>6.3156984752247375E-2</v>
      </c>
      <c r="U53">
        <f t="shared" si="14"/>
        <v>8.5151977771760159E-2</v>
      </c>
      <c r="V53">
        <f t="shared" si="14"/>
        <v>8.4630116733918015E-2</v>
      </c>
      <c r="W53">
        <f t="shared" si="14"/>
        <v>8.9129704777555399E-2</v>
      </c>
      <c r="X53">
        <f t="shared" si="14"/>
        <v>6.5098687979465553E-2</v>
      </c>
      <c r="Y53">
        <f t="shared" si="14"/>
        <v>8.9528953956374488E-2</v>
      </c>
      <c r="Z53">
        <f t="shared" si="14"/>
        <v>0.1087760115052413</v>
      </c>
      <c r="AA53">
        <f t="shared" si="14"/>
        <v>0</v>
      </c>
      <c r="AB53">
        <f t="shared" si="14"/>
        <v>0</v>
      </c>
      <c r="AC53">
        <f t="shared" si="14"/>
        <v>0</v>
      </c>
      <c r="AD53">
        <f t="shared" si="14"/>
        <v>0</v>
      </c>
      <c r="AE53">
        <f t="shared" si="14"/>
        <v>0</v>
      </c>
      <c r="AF53">
        <f t="shared" si="14"/>
        <v>0</v>
      </c>
    </row>
    <row r="54" spans="2:32" x14ac:dyDescent="0.2">
      <c r="C54" s="427" t="s">
        <v>73</v>
      </c>
      <c r="F54">
        <f t="shared" ref="F54:AF54" si="15">F44/F$49</f>
        <v>0.16666666666666666</v>
      </c>
      <c r="G54">
        <f t="shared" si="15"/>
        <v>4.3969242648722318E-2</v>
      </c>
      <c r="H54">
        <f t="shared" si="15"/>
        <v>6.3042514291923382E-2</v>
      </c>
      <c r="I54">
        <f t="shared" si="15"/>
        <v>2.7711890004596628E-2</v>
      </c>
      <c r="J54">
        <f t="shared" si="15"/>
        <v>3.0706604445879949E-2</v>
      </c>
      <c r="K54">
        <f t="shared" si="15"/>
        <v>4.1675987481884419E-2</v>
      </c>
      <c r="L54">
        <f t="shared" si="15"/>
        <v>0</v>
      </c>
      <c r="M54">
        <f t="shared" si="15"/>
        <v>7.886517518102952E-3</v>
      </c>
      <c r="N54">
        <f t="shared" si="15"/>
        <v>4.4761873069198155E-2</v>
      </c>
      <c r="O54">
        <f t="shared" si="15"/>
        <v>0.14245737394879321</v>
      </c>
      <c r="P54">
        <f t="shared" si="15"/>
        <v>0.11995750134224498</v>
      </c>
      <c r="Q54">
        <f t="shared" si="15"/>
        <v>0.11311516553914037</v>
      </c>
      <c r="R54">
        <f t="shared" si="15"/>
        <v>0.11258312256476134</v>
      </c>
      <c r="S54">
        <f t="shared" si="15"/>
        <v>0.16467087887607423</v>
      </c>
      <c r="T54">
        <f t="shared" si="15"/>
        <v>0.16412092319575725</v>
      </c>
      <c r="U54">
        <f t="shared" si="15"/>
        <v>0.17671929790544652</v>
      </c>
      <c r="V54">
        <f t="shared" si="15"/>
        <v>0.22549374299832367</v>
      </c>
      <c r="W54">
        <f t="shared" si="15"/>
        <v>0.21430509461512856</v>
      </c>
      <c r="X54">
        <f t="shared" si="15"/>
        <v>0.19504971844039812</v>
      </c>
      <c r="Y54">
        <f t="shared" si="15"/>
        <v>0.16830880933514136</v>
      </c>
      <c r="Z54">
        <f t="shared" si="15"/>
        <v>0.11633738937931659</v>
      </c>
      <c r="AA54">
        <f t="shared" si="15"/>
        <v>8.6086892014604788E-2</v>
      </c>
      <c r="AB54">
        <f t="shared" si="15"/>
        <v>0.14511637411632938</v>
      </c>
      <c r="AC54">
        <f t="shared" si="15"/>
        <v>0.19358484099102971</v>
      </c>
      <c r="AD54">
        <f t="shared" si="15"/>
        <v>0.15469268403267036</v>
      </c>
      <c r="AE54">
        <f t="shared" si="15"/>
        <v>0.13494394161256992</v>
      </c>
      <c r="AF54">
        <f t="shared" si="15"/>
        <v>0.20578574054235446</v>
      </c>
    </row>
    <row r="55" spans="2:32" x14ac:dyDescent="0.2">
      <c r="C55" s="427" t="s">
        <v>5</v>
      </c>
      <c r="F55">
        <f t="shared" ref="F55:AF55" si="16">F45/F$49</f>
        <v>0.16666666666666666</v>
      </c>
      <c r="G55">
        <f t="shared" si="16"/>
        <v>3.0439964265615772E-2</v>
      </c>
      <c r="H55">
        <f t="shared" si="16"/>
        <v>0</v>
      </c>
      <c r="I55">
        <f t="shared" si="16"/>
        <v>0</v>
      </c>
      <c r="J55">
        <f t="shared" si="16"/>
        <v>3.4120735422958792E-2</v>
      </c>
      <c r="K55">
        <f t="shared" si="16"/>
        <v>4.1002698479485733E-2</v>
      </c>
      <c r="L55">
        <f t="shared" si="16"/>
        <v>0.21029068581776547</v>
      </c>
      <c r="M55">
        <f t="shared" si="16"/>
        <v>0.35832876346369541</v>
      </c>
      <c r="N55">
        <f t="shared" si="16"/>
        <v>0.31178891677258253</v>
      </c>
      <c r="O55">
        <f t="shared" si="16"/>
        <v>0.20658125644781067</v>
      </c>
      <c r="P55">
        <f t="shared" si="16"/>
        <v>0.19890279704753527</v>
      </c>
      <c r="Q55">
        <f t="shared" si="16"/>
        <v>0.22249952714695886</v>
      </c>
      <c r="R55">
        <f t="shared" si="16"/>
        <v>0.20433288986532855</v>
      </c>
      <c r="S55">
        <f t="shared" si="16"/>
        <v>0.23510463046839064</v>
      </c>
      <c r="T55">
        <f t="shared" si="16"/>
        <v>0.24916690252998028</v>
      </c>
      <c r="U55">
        <f t="shared" si="16"/>
        <v>0.28096313236686943</v>
      </c>
      <c r="V55">
        <f t="shared" si="16"/>
        <v>0.13458351608215022</v>
      </c>
      <c r="W55">
        <f t="shared" si="16"/>
        <v>0.2300788998584222</v>
      </c>
      <c r="X55">
        <f t="shared" si="16"/>
        <v>0.18115371271953262</v>
      </c>
      <c r="Y55">
        <f t="shared" si="16"/>
        <v>0.24607277843785258</v>
      </c>
      <c r="Z55">
        <f t="shared" si="16"/>
        <v>0.20852023127759917</v>
      </c>
      <c r="AA55">
        <f t="shared" si="16"/>
        <v>0.32440021662886953</v>
      </c>
      <c r="AB55">
        <f t="shared" si="16"/>
        <v>0.18227424070392995</v>
      </c>
      <c r="AC55">
        <f t="shared" si="16"/>
        <v>0.21216045874419989</v>
      </c>
      <c r="AD55">
        <f t="shared" si="16"/>
        <v>0.22242804073298114</v>
      </c>
      <c r="AE55">
        <f t="shared" si="16"/>
        <v>0.22640478714516649</v>
      </c>
      <c r="AF55">
        <f t="shared" si="16"/>
        <v>0.1576166346870079</v>
      </c>
    </row>
    <row r="56" spans="2:32" x14ac:dyDescent="0.2">
      <c r="C56" s="427" t="s">
        <v>6</v>
      </c>
      <c r="F56">
        <f t="shared" ref="F56:AF56" si="17">F46/F$49</f>
        <v>0.16666666666666666</v>
      </c>
      <c r="G56">
        <f t="shared" si="17"/>
        <v>0.2764611091075162</v>
      </c>
      <c r="H56">
        <f t="shared" si="17"/>
        <v>0.39406206827740647</v>
      </c>
      <c r="I56">
        <f t="shared" si="17"/>
        <v>0.43194978106457155</v>
      </c>
      <c r="J56">
        <f t="shared" si="17"/>
        <v>0.17344359639452403</v>
      </c>
      <c r="K56">
        <f t="shared" si="17"/>
        <v>0.21165320717955727</v>
      </c>
      <c r="L56">
        <f t="shared" si="17"/>
        <v>1.4829508976230201E-2</v>
      </c>
      <c r="M56">
        <f t="shared" si="17"/>
        <v>0</v>
      </c>
      <c r="N56">
        <f t="shared" si="17"/>
        <v>1.5317249255709587E-2</v>
      </c>
      <c r="O56">
        <f t="shared" si="17"/>
        <v>0.18398384338498253</v>
      </c>
      <c r="P56">
        <f t="shared" si="17"/>
        <v>0.1674119366032143</v>
      </c>
      <c r="Q56">
        <f t="shared" si="17"/>
        <v>0.15915171460403751</v>
      </c>
      <c r="R56">
        <f t="shared" si="17"/>
        <v>0.15351227776709622</v>
      </c>
      <c r="S56">
        <f t="shared" si="17"/>
        <v>1.8939203491620472E-2</v>
      </c>
      <c r="T56">
        <f t="shared" si="17"/>
        <v>9.3652934493458628E-2</v>
      </c>
      <c r="U56">
        <f t="shared" si="17"/>
        <v>0.13940737897211086</v>
      </c>
      <c r="V56">
        <f t="shared" si="17"/>
        <v>0.16756275570571377</v>
      </c>
      <c r="W56">
        <f t="shared" si="17"/>
        <v>0.17775740907441653</v>
      </c>
      <c r="X56">
        <f t="shared" si="17"/>
        <v>0.18301036104153998</v>
      </c>
      <c r="Y56">
        <f t="shared" si="17"/>
        <v>0.18633566045157929</v>
      </c>
      <c r="Z56">
        <f t="shared" si="17"/>
        <v>0.17385931006493008</v>
      </c>
      <c r="AA56">
        <f t="shared" si="17"/>
        <v>0.22723984104893946</v>
      </c>
      <c r="AB56">
        <f t="shared" si="17"/>
        <v>0.19027521773245945</v>
      </c>
      <c r="AC56">
        <f t="shared" si="17"/>
        <v>0.20678947953926796</v>
      </c>
      <c r="AD56">
        <f t="shared" si="17"/>
        <v>0.2184654226488989</v>
      </c>
      <c r="AE56">
        <f t="shared" si="17"/>
        <v>0.22287101528487044</v>
      </c>
      <c r="AF56">
        <f t="shared" si="17"/>
        <v>0.22585540075585148</v>
      </c>
    </row>
    <row r="57" spans="2:32" x14ac:dyDescent="0.2">
      <c r="C57" s="427" t="s">
        <v>1</v>
      </c>
      <c r="F57">
        <f t="shared" ref="F57:AF57" si="18">F47/F$49</f>
        <v>0.16666666666666666</v>
      </c>
      <c r="G57">
        <f t="shared" si="18"/>
        <v>0.15052917315898423</v>
      </c>
      <c r="H57">
        <f t="shared" si="18"/>
        <v>0.19482979690972582</v>
      </c>
      <c r="I57">
        <f t="shared" si="18"/>
        <v>0.1806674082362317</v>
      </c>
      <c r="J57">
        <f t="shared" si="18"/>
        <v>0.19846194346396087</v>
      </c>
      <c r="K57">
        <f t="shared" si="18"/>
        <v>0.2829290761197582</v>
      </c>
      <c r="L57">
        <f t="shared" si="18"/>
        <v>0.30980829528393333</v>
      </c>
      <c r="M57">
        <f t="shared" si="18"/>
        <v>0.22438078555137875</v>
      </c>
      <c r="N57">
        <f t="shared" si="18"/>
        <v>0.12514335766083848</v>
      </c>
      <c r="O57">
        <f t="shared" si="18"/>
        <v>0.15873800287557535</v>
      </c>
      <c r="P57">
        <f t="shared" si="18"/>
        <v>0.19354044103732579</v>
      </c>
      <c r="Q57">
        <f t="shared" si="18"/>
        <v>0.17469186637533701</v>
      </c>
      <c r="R57">
        <f t="shared" si="18"/>
        <v>0.19590534385799482</v>
      </c>
      <c r="S57">
        <f t="shared" si="18"/>
        <v>0.26428743426063045</v>
      </c>
      <c r="T57">
        <f t="shared" si="18"/>
        <v>0.26149505444703608</v>
      </c>
      <c r="U57">
        <f t="shared" si="18"/>
        <v>0.14230444251010815</v>
      </c>
      <c r="V57">
        <f t="shared" si="18"/>
        <v>0.23625222595371223</v>
      </c>
      <c r="W57">
        <f t="shared" si="18"/>
        <v>0.10663397129385706</v>
      </c>
      <c r="X57">
        <f t="shared" si="18"/>
        <v>0.18370628865753136</v>
      </c>
      <c r="Y57">
        <f t="shared" si="18"/>
        <v>0.22693553739579084</v>
      </c>
      <c r="Z57">
        <f t="shared" si="18"/>
        <v>0.24898628011510629</v>
      </c>
      <c r="AA57">
        <f t="shared" si="18"/>
        <v>0.14360358599780798</v>
      </c>
      <c r="AB57">
        <f t="shared" si="18"/>
        <v>0.28374017029211479</v>
      </c>
      <c r="AC57">
        <f t="shared" si="18"/>
        <v>0.20032390156852942</v>
      </c>
      <c r="AD57">
        <f t="shared" si="18"/>
        <v>0.20593306472933032</v>
      </c>
      <c r="AE57">
        <f t="shared" si="18"/>
        <v>0.21208385670936519</v>
      </c>
      <c r="AF57">
        <f t="shared" si="18"/>
        <v>0.2066132341978256</v>
      </c>
    </row>
    <row r="58" spans="2:32" x14ac:dyDescent="0.2">
      <c r="C58" s="427" t="s">
        <v>2</v>
      </c>
      <c r="F58">
        <f t="shared" ref="F58:AF58" si="19">F48/F$49</f>
        <v>0.16666666666666666</v>
      </c>
      <c r="G58">
        <f t="shared" si="19"/>
        <v>0.15052917315898423</v>
      </c>
      <c r="H58">
        <f t="shared" si="19"/>
        <v>1.5691781170807505E-2</v>
      </c>
      <c r="I58">
        <f t="shared" si="19"/>
        <v>9.2259365426915152E-2</v>
      </c>
      <c r="J58">
        <f t="shared" si="19"/>
        <v>0.44192120937499602</v>
      </c>
      <c r="K58">
        <f t="shared" si="19"/>
        <v>0.33389245904638376</v>
      </c>
      <c r="L58">
        <f t="shared" si="19"/>
        <v>0.31452093176561696</v>
      </c>
      <c r="M58">
        <f t="shared" si="19"/>
        <v>0.21679919004393794</v>
      </c>
      <c r="N58">
        <f t="shared" si="19"/>
        <v>0.26016838184832092</v>
      </c>
      <c r="O58">
        <f t="shared" si="19"/>
        <v>0.15320251422619488</v>
      </c>
      <c r="P58">
        <f t="shared" si="19"/>
        <v>0.1696446755562796</v>
      </c>
      <c r="Q58">
        <f t="shared" si="19"/>
        <v>0.18449021219747472</v>
      </c>
      <c r="R58">
        <f t="shared" si="19"/>
        <v>0.19526513291606634</v>
      </c>
      <c r="S58">
        <f t="shared" si="19"/>
        <v>0.28438738566833721</v>
      </c>
      <c r="T58">
        <f t="shared" si="19"/>
        <v>0.16840720058152042</v>
      </c>
      <c r="U58">
        <f t="shared" si="19"/>
        <v>0.17545377047370492</v>
      </c>
      <c r="V58">
        <f t="shared" si="19"/>
        <v>0.15147764252618195</v>
      </c>
      <c r="W58">
        <f t="shared" si="19"/>
        <v>0.1820949203806202</v>
      </c>
      <c r="X58">
        <f t="shared" si="19"/>
        <v>0.19198123116153237</v>
      </c>
      <c r="Y58">
        <f t="shared" si="19"/>
        <v>8.2818260423261347E-2</v>
      </c>
      <c r="Z58">
        <f t="shared" si="19"/>
        <v>0.14352077765780658</v>
      </c>
      <c r="AA58">
        <f t="shared" si="19"/>
        <v>0.21866946430977821</v>
      </c>
      <c r="AB58">
        <f t="shared" si="19"/>
        <v>0.19859399715516654</v>
      </c>
      <c r="AC58">
        <f t="shared" si="19"/>
        <v>0.18714131915697302</v>
      </c>
      <c r="AD58">
        <f t="shared" si="19"/>
        <v>0.19848078785611947</v>
      </c>
      <c r="AE58">
        <f t="shared" si="19"/>
        <v>0.20369639924802782</v>
      </c>
      <c r="AF58">
        <f t="shared" si="19"/>
        <v>0.20412898981696045</v>
      </c>
    </row>
    <row r="60" spans="2:32" ht="13.5" thickBot="1" x14ac:dyDescent="0.25">
      <c r="S60" s="25" t="s">
        <v>257</v>
      </c>
    </row>
    <row r="61" spans="2:32" ht="13.5" thickBot="1" x14ac:dyDescent="0.25">
      <c r="B61" t="s">
        <v>257</v>
      </c>
      <c r="M61" s="4" t="s">
        <v>262</v>
      </c>
      <c r="O61" s="446">
        <v>1</v>
      </c>
      <c r="P61" t="s">
        <v>240</v>
      </c>
      <c r="Q61" s="439">
        <f>$O$61*[4]выход!F7/[1]интерфейс!L4</f>
        <v>22654.574435171977</v>
      </c>
      <c r="R61" s="439">
        <f>$O$61*[4]выход!G7/[1]интерфейс!M4</f>
        <v>16379.874058102958</v>
      </c>
      <c r="S61" s="439">
        <f>$O$61*[4]выход!H7/[1]интерфейс!N4</f>
        <v>18772.577323853762</v>
      </c>
      <c r="T61" s="439">
        <f>$O$61*[4]выход!I7/[1]интерфейс!O4</f>
        <v>12291.628719031947</v>
      </c>
      <c r="U61" s="439">
        <f>$O$61*[4]выход!J7/[1]интерфейс!P4</f>
        <v>13558.794022230646</v>
      </c>
      <c r="V61" s="439">
        <f>$O$61*[4]выход!K7/[1]интерфейс!Q4</f>
        <v>8611.094019577964</v>
      </c>
      <c r="W61" s="439">
        <f>$O$61*[4]выход!L7/[1]интерфейс!R4</f>
        <v>9949.2488867583452</v>
      </c>
      <c r="X61" s="439">
        <f>$O$61*[4]выход!M7/[1]интерфейс!S4</f>
        <v>8056.0459556404967</v>
      </c>
      <c r="Y61" s="439">
        <f>$O$61*[4]выход!N7/[1]интерфейс!T4</f>
        <v>9739.9861175674996</v>
      </c>
      <c r="Z61" s="439">
        <f>$O$61*[4]выход!O7/[1]интерфейс!U4</f>
        <v>8316.9982709306332</v>
      </c>
      <c r="AA61" s="439">
        <f>$O$61*[4]выход!P7/[1]интерфейс!V4</f>
        <v>5568.8332821257554</v>
      </c>
      <c r="AB61" s="439">
        <f>$O$61*[4]выход!Q7/[1]интерфейс!W4</f>
        <v>9553.8536483602693</v>
      </c>
      <c r="AC61" s="439">
        <f>$O$61*[4]выход!R7/[1]интерфейс!X4</f>
        <v>8855.152055044171</v>
      </c>
      <c r="AD61" s="439">
        <f>$O$61*[4]выход!S7/[1]интерфейс!Y4</f>
        <v>4661.5480052728062</v>
      </c>
      <c r="AE61" s="439">
        <f>$O$61*[4]выход!T7/[1]интерфейс!Z4</f>
        <v>3388.4433995536206</v>
      </c>
      <c r="AF61" s="439">
        <f>$O$61*[4]выход!U7/[1]интерфейс!AA4</f>
        <v>0</v>
      </c>
    </row>
    <row r="63" spans="2:32" x14ac:dyDescent="0.2">
      <c r="F63" s="429">
        <v>1</v>
      </c>
      <c r="G63" s="429">
        <v>2</v>
      </c>
      <c r="H63" s="429">
        <v>3</v>
      </c>
      <c r="I63" s="429">
        <v>4</v>
      </c>
      <c r="J63" s="429">
        <v>5</v>
      </c>
      <c r="K63" s="429">
        <v>6</v>
      </c>
      <c r="L63" s="429">
        <v>7</v>
      </c>
      <c r="M63" s="429">
        <v>8</v>
      </c>
      <c r="N63" s="429">
        <v>9</v>
      </c>
      <c r="O63" s="432">
        <v>10</v>
      </c>
      <c r="P63" s="429">
        <v>11</v>
      </c>
      <c r="Q63" s="429">
        <v>12</v>
      </c>
      <c r="R63" s="430">
        <v>13</v>
      </c>
      <c r="S63" s="429">
        <v>14</v>
      </c>
      <c r="T63" s="429">
        <v>15</v>
      </c>
      <c r="U63" s="429">
        <v>16</v>
      </c>
      <c r="V63" s="429">
        <v>17</v>
      </c>
      <c r="W63" s="429">
        <v>18</v>
      </c>
      <c r="X63" s="429">
        <v>19</v>
      </c>
      <c r="Y63" s="429">
        <v>20</v>
      </c>
      <c r="Z63" s="429">
        <v>21</v>
      </c>
      <c r="AA63" s="429">
        <v>22</v>
      </c>
      <c r="AB63" s="429">
        <v>23</v>
      </c>
      <c r="AC63" s="429">
        <v>24</v>
      </c>
      <c r="AD63" s="429">
        <v>25</v>
      </c>
      <c r="AE63" s="429">
        <v>26</v>
      </c>
      <c r="AF63" s="429">
        <v>27</v>
      </c>
    </row>
    <row r="64" spans="2:32" x14ac:dyDescent="0.2">
      <c r="F64">
        <v>2005</v>
      </c>
      <c r="G64">
        <v>2006</v>
      </c>
      <c r="H64">
        <v>2007</v>
      </c>
      <c r="I64">
        <v>2008</v>
      </c>
      <c r="J64" s="3">
        <v>2009</v>
      </c>
      <c r="K64">
        <v>2010</v>
      </c>
      <c r="L64">
        <v>2011</v>
      </c>
      <c r="M64">
        <v>2012</v>
      </c>
      <c r="N64">
        <v>2013</v>
      </c>
      <c r="O64" s="428">
        <v>2014</v>
      </c>
      <c r="P64">
        <v>2015</v>
      </c>
      <c r="Q64">
        <v>2016</v>
      </c>
      <c r="R64" s="431">
        <v>2017</v>
      </c>
      <c r="S64">
        <v>2018</v>
      </c>
      <c r="T64">
        <v>2019</v>
      </c>
      <c r="U64">
        <v>2020</v>
      </c>
      <c r="V64">
        <v>2021</v>
      </c>
      <c r="W64">
        <v>2022</v>
      </c>
      <c r="X64">
        <v>2023</v>
      </c>
      <c r="Y64">
        <v>2024</v>
      </c>
      <c r="Z64">
        <v>2025</v>
      </c>
      <c r="AA64">
        <v>2026</v>
      </c>
      <c r="AB64">
        <v>2027</v>
      </c>
      <c r="AC64">
        <v>2028</v>
      </c>
      <c r="AD64">
        <v>2029</v>
      </c>
      <c r="AE64">
        <v>2030</v>
      </c>
      <c r="AF64">
        <v>2031</v>
      </c>
    </row>
    <row r="65" spans="2:32" x14ac:dyDescent="0.2">
      <c r="C65" s="427" t="s">
        <v>3</v>
      </c>
      <c r="S65" s="21">
        <f>S$61*S53</f>
        <v>612.18251773504244</v>
      </c>
      <c r="T65" s="21">
        <f t="shared" ref="T65:AF65" si="20">T$61*T53</f>
        <v>776.30220758818666</v>
      </c>
      <c r="U65" s="21">
        <f t="shared" si="20"/>
        <v>1154.5581271928586</v>
      </c>
      <c r="V65" s="21">
        <f t="shared" si="20"/>
        <v>728.75789208362642</v>
      </c>
      <c r="W65" s="21">
        <f t="shared" si="20"/>
        <v>886.77361603519296</v>
      </c>
      <c r="X65" s="21">
        <f t="shared" si="20"/>
        <v>524.43802201447613</v>
      </c>
      <c r="Y65" s="21">
        <f t="shared" si="20"/>
        <v>872.01076865542734</v>
      </c>
      <c r="Z65" s="21">
        <f t="shared" si="20"/>
        <v>904.68989960782255</v>
      </c>
      <c r="AA65" s="21">
        <f t="shared" si="20"/>
        <v>0</v>
      </c>
      <c r="AB65" s="21">
        <f t="shared" si="20"/>
        <v>0</v>
      </c>
      <c r="AC65" s="21">
        <f t="shared" si="20"/>
        <v>0</v>
      </c>
      <c r="AD65" s="21">
        <f t="shared" si="20"/>
        <v>0</v>
      </c>
      <c r="AE65" s="21">
        <f t="shared" si="20"/>
        <v>0</v>
      </c>
      <c r="AF65" s="21">
        <f t="shared" si="20"/>
        <v>0</v>
      </c>
    </row>
    <row r="66" spans="2:32" x14ac:dyDescent="0.2">
      <c r="C66" s="427" t="s">
        <v>73</v>
      </c>
      <c r="S66" s="21">
        <f t="shared" ref="S66:AF66" si="21">S$61*S54</f>
        <v>3091.2968066880608</v>
      </c>
      <c r="T66" s="21">
        <f t="shared" si="21"/>
        <v>2017.3134529470062</v>
      </c>
      <c r="U66" s="21">
        <f t="shared" si="21"/>
        <v>2396.1005600531648</v>
      </c>
      <c r="V66" s="21">
        <f t="shared" si="21"/>
        <v>1941.7478217851153</v>
      </c>
      <c r="W66" s="21">
        <f t="shared" si="21"/>
        <v>2132.1747240262098</v>
      </c>
      <c r="X66" s="21">
        <f t="shared" si="21"/>
        <v>1571.3294953905868</v>
      </c>
      <c r="Y66" s="21">
        <f t="shared" si="21"/>
        <v>1639.3254663885921</v>
      </c>
      <c r="Z66" s="21">
        <f t="shared" si="21"/>
        <v>967.5778663123599</v>
      </c>
      <c r="AA66" s="21">
        <f t="shared" si="21"/>
        <v>479.40354940569705</v>
      </c>
      <c r="AB66" s="21">
        <f t="shared" si="21"/>
        <v>1386.4206002881072</v>
      </c>
      <c r="AC66" s="21">
        <f t="shared" si="21"/>
        <v>1714.2232025271157</v>
      </c>
      <c r="AD66" s="21">
        <f t="shared" si="21"/>
        <v>721.10737268279104</v>
      </c>
      <c r="AE66" s="21">
        <f t="shared" si="21"/>
        <v>457.24990826686172</v>
      </c>
      <c r="AF66" s="21">
        <f t="shared" si="21"/>
        <v>0</v>
      </c>
    </row>
    <row r="67" spans="2:32" x14ac:dyDescent="0.2">
      <c r="C67" s="427" t="s">
        <v>5</v>
      </c>
      <c r="S67" s="21">
        <f t="shared" ref="S67:AF67" si="22">S$61*S55</f>
        <v>4413.5198546639285</v>
      </c>
      <c r="T67" s="21">
        <f t="shared" si="22"/>
        <v>3062.6670549697396</v>
      </c>
      <c r="U67" s="21">
        <f t="shared" si="22"/>
        <v>3809.521239603107</v>
      </c>
      <c r="V67" s="21">
        <f t="shared" si="22"/>
        <v>1158.9113104687785</v>
      </c>
      <c r="W67" s="21">
        <f t="shared" si="22"/>
        <v>2289.1122382829917</v>
      </c>
      <c r="X67" s="21">
        <f t="shared" si="22"/>
        <v>1459.3826347034512</v>
      </c>
      <c r="Y67" s="21">
        <f t="shared" si="22"/>
        <v>2396.7454458959473</v>
      </c>
      <c r="Z67" s="21">
        <f t="shared" si="22"/>
        <v>1734.2624029898479</v>
      </c>
      <c r="AA67" s="21">
        <f t="shared" si="22"/>
        <v>1806.5307230916535</v>
      </c>
      <c r="AB67" s="21">
        <f t="shared" si="22"/>
        <v>1741.4214195513391</v>
      </c>
      <c r="AC67" s="21">
        <f t="shared" si="22"/>
        <v>1878.7131222478158</v>
      </c>
      <c r="AD67" s="21">
        <f t="shared" si="22"/>
        <v>1036.8589895955668</v>
      </c>
      <c r="AE67" s="21">
        <f t="shared" si="22"/>
        <v>767.15980662938182</v>
      </c>
      <c r="AF67" s="21">
        <f t="shared" si="22"/>
        <v>0</v>
      </c>
    </row>
    <row r="68" spans="2:32" x14ac:dyDescent="0.2">
      <c r="C68" s="427" t="s">
        <v>6</v>
      </c>
      <c r="S68" s="21">
        <f t="shared" ref="S68:AF68" si="23">S$61*S56</f>
        <v>355.53766199864646</v>
      </c>
      <c r="T68" s="21">
        <f t="shared" si="23"/>
        <v>1151.1470992414138</v>
      </c>
      <c r="U68" s="21">
        <f t="shared" si="23"/>
        <v>1890.1959366618989</v>
      </c>
      <c r="V68" s="21">
        <f t="shared" si="23"/>
        <v>1442.8986435614752</v>
      </c>
      <c r="W68" s="21">
        <f t="shared" si="23"/>
        <v>1768.5527043466864</v>
      </c>
      <c r="X68" s="21">
        <f t="shared" si="23"/>
        <v>1474.3398789090052</v>
      </c>
      <c r="Y68" s="21">
        <f t="shared" si="23"/>
        <v>1814.9067460061535</v>
      </c>
      <c r="Z68" s="21">
        <f t="shared" si="23"/>
        <v>1445.9875811952163</v>
      </c>
      <c r="AA68" s="21">
        <f t="shared" si="23"/>
        <v>1265.4607898583006</v>
      </c>
      <c r="AB68" s="21">
        <f t="shared" si="23"/>
        <v>1817.8615831258023</v>
      </c>
      <c r="AC68" s="21">
        <f t="shared" si="23"/>
        <v>1831.1522847036633</v>
      </c>
      <c r="AD68" s="21">
        <f t="shared" si="23"/>
        <v>1018.3870551700552</v>
      </c>
      <c r="AE68" s="21">
        <f t="shared" si="23"/>
        <v>755.18582069383331</v>
      </c>
      <c r="AF68" s="21">
        <f t="shared" si="23"/>
        <v>0</v>
      </c>
    </row>
    <row r="69" spans="2:32" x14ac:dyDescent="0.2">
      <c r="C69" s="427" t="s">
        <v>1</v>
      </c>
      <c r="S69" s="21">
        <f t="shared" ref="S69:AF69" si="24">S$61*S57</f>
        <v>4961.3562953806031</v>
      </c>
      <c r="T69" s="21">
        <f t="shared" si="24"/>
        <v>3214.2001211260113</v>
      </c>
      <c r="U69" s="21">
        <f t="shared" si="24"/>
        <v>1929.476624442919</v>
      </c>
      <c r="V69" s="21">
        <f t="shared" si="24"/>
        <v>2034.3901300219932</v>
      </c>
      <c r="W69" s="21">
        <f t="shared" si="24"/>
        <v>1060.9279201860286</v>
      </c>
      <c r="X69" s="21">
        <f t="shared" si="24"/>
        <v>1479.9463037652311</v>
      </c>
      <c r="Y69" s="21">
        <f t="shared" si="24"/>
        <v>2210.3489838177229</v>
      </c>
      <c r="Z69" s="21">
        <f t="shared" si="24"/>
        <v>2070.8184612027894</v>
      </c>
      <c r="AA69" s="21">
        <f t="shared" si="24"/>
        <v>799.70442913720115</v>
      </c>
      <c r="AB69" s="21">
        <f t="shared" si="24"/>
        <v>2710.8120611316849</v>
      </c>
      <c r="AC69" s="21">
        <f t="shared" si="24"/>
        <v>1773.8986086490295</v>
      </c>
      <c r="AD69" s="21">
        <f t="shared" si="24"/>
        <v>959.96686710872541</v>
      </c>
      <c r="AE69" s="21">
        <f t="shared" si="24"/>
        <v>718.6341444187243</v>
      </c>
      <c r="AF69" s="21">
        <f t="shared" si="24"/>
        <v>0</v>
      </c>
    </row>
    <row r="70" spans="2:32" x14ac:dyDescent="0.2">
      <c r="C70" s="427" t="s">
        <v>2</v>
      </c>
      <c r="S70" s="21">
        <f t="shared" ref="S70:AF70" si="25">S$61*S58</f>
        <v>5338.6841873874819</v>
      </c>
      <c r="T70" s="21">
        <f t="shared" si="25"/>
        <v>2069.9987831595899</v>
      </c>
      <c r="U70" s="21">
        <f t="shared" si="25"/>
        <v>2378.9415342766979</v>
      </c>
      <c r="V70" s="21">
        <f t="shared" si="25"/>
        <v>1304.3882216569741</v>
      </c>
      <c r="W70" s="21">
        <f t="shared" si="25"/>
        <v>1811.707683881235</v>
      </c>
      <c r="X70" s="21">
        <f t="shared" si="25"/>
        <v>1546.6096208577462</v>
      </c>
      <c r="Y70" s="21">
        <f t="shared" si="25"/>
        <v>806.64870680365539</v>
      </c>
      <c r="Z70" s="21">
        <f t="shared" si="25"/>
        <v>1193.6620596225971</v>
      </c>
      <c r="AA70" s="21">
        <f t="shared" si="25"/>
        <v>1217.733790632903</v>
      </c>
      <c r="AB70" s="21">
        <f t="shared" si="25"/>
        <v>1897.3379842633367</v>
      </c>
      <c r="AC70" s="21">
        <f t="shared" si="25"/>
        <v>1657.1648369165466</v>
      </c>
      <c r="AD70" s="21">
        <f t="shared" si="25"/>
        <v>925.22772071566874</v>
      </c>
      <c r="AE70" s="21">
        <f t="shared" si="25"/>
        <v>690.2137195448189</v>
      </c>
      <c r="AF70" s="21">
        <f t="shared" si="25"/>
        <v>0</v>
      </c>
    </row>
    <row r="71" spans="2:32" x14ac:dyDescent="0.2">
      <c r="S71" s="38"/>
    </row>
    <row r="73" spans="2:32" ht="15.75" x14ac:dyDescent="0.25">
      <c r="B73" s="65" t="s">
        <v>244</v>
      </c>
      <c r="Q73" t="s">
        <v>241</v>
      </c>
      <c r="S73" t="s">
        <v>243</v>
      </c>
    </row>
    <row r="74" spans="2:32" x14ac:dyDescent="0.2">
      <c r="C74" s="427" t="s">
        <v>3</v>
      </c>
      <c r="S74" s="21">
        <f>MIN(S65,R8*$G18)*S$5</f>
        <v>2538.2685777989691</v>
      </c>
      <c r="T74" s="21">
        <f t="shared" ref="T74:AF74" si="26">MIN(T65,S8*$G18)*T$5</f>
        <v>3572.814352054706</v>
      </c>
      <c r="U74" s="21">
        <f t="shared" si="26"/>
        <v>5791.9116671399179</v>
      </c>
      <c r="V74" s="21">
        <f t="shared" si="26"/>
        <v>3911.7687753824039</v>
      </c>
      <c r="W74" s="21">
        <f t="shared" si="26"/>
        <v>5045.5502197701571</v>
      </c>
      <c r="X74" s="21">
        <f t="shared" si="26"/>
        <v>3252.4935102120685</v>
      </c>
      <c r="Y74" s="21">
        <f t="shared" si="26"/>
        <v>5948.901817781205</v>
      </c>
      <c r="Z74" s="21">
        <f t="shared" si="26"/>
        <v>6727.3061573518162</v>
      </c>
      <c r="AA74" s="21">
        <f t="shared" si="26"/>
        <v>0</v>
      </c>
      <c r="AB74" s="21">
        <f t="shared" si="26"/>
        <v>0</v>
      </c>
      <c r="AC74" s="21">
        <f t="shared" si="26"/>
        <v>0</v>
      </c>
      <c r="AD74" s="21">
        <f t="shared" si="26"/>
        <v>0</v>
      </c>
      <c r="AE74" s="21">
        <f t="shared" si="26"/>
        <v>0</v>
      </c>
      <c r="AF74" s="21">
        <f t="shared" si="26"/>
        <v>0</v>
      </c>
    </row>
    <row r="75" spans="2:32" x14ac:dyDescent="0.2">
      <c r="C75" s="427" t="s">
        <v>73</v>
      </c>
      <c r="S75" s="21">
        <f t="shared" ref="S75:AF75" si="27">MIN(S66,R9*$G19)*S$5</f>
        <v>12817.32379110938</v>
      </c>
      <c r="T75" s="21">
        <f t="shared" si="27"/>
        <v>9284.3822764259512</v>
      </c>
      <c r="U75" s="21">
        <f t="shared" si="27"/>
        <v>12020.185439389506</v>
      </c>
      <c r="V75" s="21">
        <f t="shared" si="27"/>
        <v>10422.75985129804</v>
      </c>
      <c r="W75" s="21">
        <f t="shared" si="27"/>
        <v>12131.613359786597</v>
      </c>
      <c r="X75" s="21">
        <f t="shared" si="27"/>
        <v>9745.1724925116414</v>
      </c>
      <c r="Y75" s="21">
        <f t="shared" si="27"/>
        <v>11183.561714462803</v>
      </c>
      <c r="Z75" s="21">
        <f t="shared" si="27"/>
        <v>7194.9433066315496</v>
      </c>
      <c r="AA75" s="21">
        <f t="shared" si="27"/>
        <v>3861.4582847766656</v>
      </c>
      <c r="AB75" s="21">
        <f t="shared" si="27"/>
        <v>11948.926311018266</v>
      </c>
      <c r="AC75" s="21">
        <f t="shared" si="27"/>
        <v>15660.553750269135</v>
      </c>
      <c r="AD75" s="21">
        <f t="shared" si="27"/>
        <v>6983.0563477055184</v>
      </c>
      <c r="AE75" s="21">
        <f t="shared" si="27"/>
        <v>4693.5894917887135</v>
      </c>
      <c r="AF75" s="21">
        <f t="shared" si="27"/>
        <v>0</v>
      </c>
    </row>
    <row r="76" spans="2:32" x14ac:dyDescent="0.2">
      <c r="C76" s="427" t="s">
        <v>5</v>
      </c>
      <c r="S76" s="21">
        <f t="shared" ref="S76:AF76" si="28">MIN(S67,R10*$G20)*S$5</f>
        <v>10365.652825198582</v>
      </c>
      <c r="T76" s="21">
        <f t="shared" si="28"/>
        <v>10815.5221578122</v>
      </c>
      <c r="U76" s="21">
        <f t="shared" si="28"/>
        <v>11081.584002894382</v>
      </c>
      <c r="V76" s="21">
        <f t="shared" si="28"/>
        <v>6220.7121555385565</v>
      </c>
      <c r="W76" s="21">
        <f t="shared" si="28"/>
        <v>11105.732104226767</v>
      </c>
      <c r="X76" s="21">
        <f t="shared" si="28"/>
        <v>9050.8932400750746</v>
      </c>
      <c r="Y76" s="21">
        <f t="shared" si="28"/>
        <v>11765.816839866431</v>
      </c>
      <c r="Z76" s="21">
        <f t="shared" si="28"/>
        <v>12055.255934127144</v>
      </c>
      <c r="AA76" s="21">
        <f t="shared" si="28"/>
        <v>12274.758034175729</v>
      </c>
      <c r="AB76" s="21">
        <f t="shared" si="28"/>
        <v>12345.951630773947</v>
      </c>
      <c r="AC76" s="21">
        <f t="shared" si="28"/>
        <v>12301.506204903164</v>
      </c>
      <c r="AD76" s="21">
        <f t="shared" si="28"/>
        <v>10040.730442172115</v>
      </c>
      <c r="AE76" s="21">
        <f t="shared" si="28"/>
        <v>7874.7598234986544</v>
      </c>
      <c r="AF76" s="21">
        <f t="shared" si="28"/>
        <v>0</v>
      </c>
    </row>
    <row r="77" spans="2:32" x14ac:dyDescent="0.2">
      <c r="C77" s="427" t="s">
        <v>6</v>
      </c>
      <c r="S77" s="21">
        <f t="shared" ref="S77:AF77" si="29">MIN(S68,R11*$G21)*S$5</f>
        <v>1474.1519882243072</v>
      </c>
      <c r="T77" s="21">
        <f t="shared" si="29"/>
        <v>5297.9816845730857</v>
      </c>
      <c r="U77" s="21">
        <f t="shared" si="29"/>
        <v>9482.2838633084921</v>
      </c>
      <c r="V77" s="21">
        <f t="shared" si="29"/>
        <v>7745.0768235079513</v>
      </c>
      <c r="W77" s="21">
        <f t="shared" si="29"/>
        <v>10062.682656243343</v>
      </c>
      <c r="X77" s="21">
        <f t="shared" si="29"/>
        <v>9143.6560407628513</v>
      </c>
      <c r="Y77" s="21">
        <f t="shared" si="29"/>
        <v>12381.386134791721</v>
      </c>
      <c r="Z77" s="21">
        <f t="shared" si="29"/>
        <v>10752.414902217537</v>
      </c>
      <c r="AA77" s="21">
        <f t="shared" si="29"/>
        <v>10192.924222434403</v>
      </c>
      <c r="AB77" s="21">
        <f t="shared" si="29"/>
        <v>15667.319207380033</v>
      </c>
      <c r="AC77" s="21">
        <f t="shared" si="29"/>
        <v>16728.777639489592</v>
      </c>
      <c r="AD77" s="21">
        <f t="shared" si="29"/>
        <v>9861.8520062679381</v>
      </c>
      <c r="AE77" s="21">
        <f t="shared" si="29"/>
        <v>7751.8489742107058</v>
      </c>
      <c r="AF77" s="21">
        <f t="shared" si="29"/>
        <v>0</v>
      </c>
    </row>
    <row r="78" spans="2:32" x14ac:dyDescent="0.2">
      <c r="C78" s="427" t="s">
        <v>1</v>
      </c>
      <c r="S78" s="21">
        <f t="shared" ref="S78:AF78" si="30">MIN(S69,R12*$G22)*S$5</f>
        <v>20571.078760011485</v>
      </c>
      <c r="T78" s="21">
        <f t="shared" si="30"/>
        <v>14792.873459438737</v>
      </c>
      <c r="U78" s="21">
        <f t="shared" si="30"/>
        <v>9679.3378430897701</v>
      </c>
      <c r="V78" s="21">
        <f t="shared" si="30"/>
        <v>10920.037880911179</v>
      </c>
      <c r="W78" s="21">
        <f t="shared" si="30"/>
        <v>6036.450570990457</v>
      </c>
      <c r="X78" s="21">
        <f t="shared" si="30"/>
        <v>9178.4263276126167</v>
      </c>
      <c r="Y78" s="21">
        <f t="shared" si="30"/>
        <v>15079.113194942598</v>
      </c>
      <c r="Z78" s="21">
        <f t="shared" si="30"/>
        <v>15398.679471105352</v>
      </c>
      <c r="AA78" s="21">
        <f t="shared" si="30"/>
        <v>6441.3901338289561</v>
      </c>
      <c r="AB78" s="21">
        <f t="shared" si="30"/>
        <v>23363.251782865114</v>
      </c>
      <c r="AC78" s="21">
        <f t="shared" si="30"/>
        <v>16205.727741476145</v>
      </c>
      <c r="AD78" s="21">
        <f t="shared" si="30"/>
        <v>9296.1228506248808</v>
      </c>
      <c r="AE78" s="21">
        <f t="shared" si="30"/>
        <v>7376.6524775675862</v>
      </c>
      <c r="AF78" s="21">
        <f t="shared" si="30"/>
        <v>0</v>
      </c>
    </row>
    <row r="79" spans="2:32" x14ac:dyDescent="0.2">
      <c r="C79" s="427" t="s">
        <v>2</v>
      </c>
      <c r="S79" s="21">
        <f t="shared" ref="S79:AF79" si="31">MIN(S70,R13*$G23)*S$5</f>
        <v>22135.578731934416</v>
      </c>
      <c r="T79" s="21">
        <f t="shared" si="31"/>
        <v>9526.8585982582281</v>
      </c>
      <c r="U79" s="21">
        <f t="shared" si="31"/>
        <v>11934.106134025202</v>
      </c>
      <c r="V79" s="21">
        <f t="shared" si="31"/>
        <v>7001.591573664653</v>
      </c>
      <c r="W79" s="21">
        <f t="shared" si="31"/>
        <v>10308.225162850888</v>
      </c>
      <c r="X79" s="21">
        <f t="shared" si="31"/>
        <v>9591.863182133111</v>
      </c>
      <c r="Y79" s="21">
        <f t="shared" si="31"/>
        <v>5502.998507248145</v>
      </c>
      <c r="Z79" s="21">
        <f t="shared" si="31"/>
        <v>8876.1133809246239</v>
      </c>
      <c r="AA79" s="21">
        <f t="shared" si="31"/>
        <v>9808.4969131353646</v>
      </c>
      <c r="AB79" s="21">
        <f t="shared" si="31"/>
        <v>16352.290031140139</v>
      </c>
      <c r="AC79" s="21">
        <f t="shared" si="31"/>
        <v>15139.288141316038</v>
      </c>
      <c r="AD79" s="21">
        <f t="shared" si="31"/>
        <v>8959.7160602860204</v>
      </c>
      <c r="AE79" s="21">
        <f t="shared" si="31"/>
        <v>7084.9218394009376</v>
      </c>
      <c r="AF79" s="21">
        <f t="shared" si="31"/>
        <v>0</v>
      </c>
    </row>
    <row r="80" spans="2:32" x14ac:dyDescent="0.2">
      <c r="S80" s="441"/>
      <c r="T80" s="441"/>
      <c r="U80" s="441"/>
      <c r="V80" s="441"/>
      <c r="W80" s="441"/>
      <c r="X80" s="441"/>
      <c r="Y80" s="441"/>
      <c r="Z80" s="441"/>
      <c r="AA80" s="441"/>
      <c r="AB80" s="441"/>
      <c r="AC80" s="441"/>
      <c r="AD80" s="441"/>
      <c r="AE80" s="441"/>
      <c r="AF80" s="441"/>
    </row>
    <row r="81" spans="2:34" x14ac:dyDescent="0.2">
      <c r="Q81" t="s">
        <v>261</v>
      </c>
    </row>
    <row r="82" spans="2:34" x14ac:dyDescent="0.2">
      <c r="P82" s="427" t="s">
        <v>3</v>
      </c>
      <c r="S82">
        <f>$H18*0.01*S74</f>
        <v>380.74028666984537</v>
      </c>
      <c r="T82">
        <f t="shared" ref="T82:AF82" si="32">$H18*0.01*T74</f>
        <v>535.92215280820585</v>
      </c>
      <c r="U82">
        <f t="shared" si="32"/>
        <v>868.78675007098764</v>
      </c>
      <c r="V82">
        <f t="shared" si="32"/>
        <v>586.76531630736054</v>
      </c>
      <c r="W82">
        <f t="shared" si="32"/>
        <v>756.83253296552357</v>
      </c>
      <c r="X82">
        <f t="shared" si="32"/>
        <v>487.87402653181027</v>
      </c>
      <c r="Y82">
        <f t="shared" si="32"/>
        <v>892.33527266718067</v>
      </c>
      <c r="Z82">
        <f t="shared" si="32"/>
        <v>1009.0959236027724</v>
      </c>
      <c r="AA82">
        <f t="shared" si="32"/>
        <v>0</v>
      </c>
      <c r="AB82">
        <f t="shared" si="32"/>
        <v>0</v>
      </c>
      <c r="AC82">
        <f t="shared" si="32"/>
        <v>0</v>
      </c>
      <c r="AD82">
        <f t="shared" si="32"/>
        <v>0</v>
      </c>
      <c r="AE82">
        <f t="shared" si="32"/>
        <v>0</v>
      </c>
      <c r="AF82">
        <f t="shared" si="32"/>
        <v>0</v>
      </c>
    </row>
    <row r="83" spans="2:34" x14ac:dyDescent="0.2">
      <c r="P83" s="427" t="s">
        <v>73</v>
      </c>
      <c r="S83">
        <f t="shared" ref="S83:AF83" si="33">$H19*0.01*S75</f>
        <v>1025.3859032887503</v>
      </c>
      <c r="T83">
        <f t="shared" si="33"/>
        <v>742.75058211407611</v>
      </c>
      <c r="U83">
        <f t="shared" si="33"/>
        <v>961.61483515116049</v>
      </c>
      <c r="V83">
        <f t="shared" si="33"/>
        <v>833.82078810384326</v>
      </c>
      <c r="W83">
        <f t="shared" si="33"/>
        <v>970.52906878292777</v>
      </c>
      <c r="X83">
        <f t="shared" si="33"/>
        <v>779.61379940093138</v>
      </c>
      <c r="Y83">
        <f t="shared" si="33"/>
        <v>894.68493715702425</v>
      </c>
      <c r="Z83">
        <f t="shared" si="33"/>
        <v>575.59546453052394</v>
      </c>
      <c r="AA83">
        <f t="shared" si="33"/>
        <v>308.91666278213324</v>
      </c>
      <c r="AB83">
        <f t="shared" si="33"/>
        <v>955.9141048814613</v>
      </c>
      <c r="AC83">
        <f t="shared" si="33"/>
        <v>1252.8443000215309</v>
      </c>
      <c r="AD83">
        <f t="shared" si="33"/>
        <v>558.64450781644143</v>
      </c>
      <c r="AE83">
        <f t="shared" si="33"/>
        <v>375.48715934309706</v>
      </c>
      <c r="AF83">
        <f t="shared" si="33"/>
        <v>0</v>
      </c>
    </row>
    <row r="84" spans="2:34" x14ac:dyDescent="0.2">
      <c r="P84" s="427" t="s">
        <v>5</v>
      </c>
      <c r="S84">
        <f t="shared" ref="S84:AF84" si="34">$H20*0.01*S76</f>
        <v>1554.8479237797872</v>
      </c>
      <c r="T84">
        <f t="shared" si="34"/>
        <v>1622.32832367183</v>
      </c>
      <c r="U84">
        <f t="shared" si="34"/>
        <v>1662.2376004341572</v>
      </c>
      <c r="V84">
        <f t="shared" si="34"/>
        <v>933.10682333078341</v>
      </c>
      <c r="W84">
        <f t="shared" si="34"/>
        <v>1665.8598156340149</v>
      </c>
      <c r="X84">
        <f t="shared" si="34"/>
        <v>1357.6339860112612</v>
      </c>
      <c r="Y84">
        <f t="shared" si="34"/>
        <v>1764.8725259799646</v>
      </c>
      <c r="Z84">
        <f t="shared" si="34"/>
        <v>1808.2883901190717</v>
      </c>
      <c r="AA84">
        <f t="shared" si="34"/>
        <v>1841.2137051263594</v>
      </c>
      <c r="AB84">
        <f t="shared" si="34"/>
        <v>1851.8927446160919</v>
      </c>
      <c r="AC84">
        <f t="shared" si="34"/>
        <v>1845.2259307354745</v>
      </c>
      <c r="AD84">
        <f t="shared" si="34"/>
        <v>1506.1095663258172</v>
      </c>
      <c r="AE84">
        <f t="shared" si="34"/>
        <v>1181.2139735247981</v>
      </c>
      <c r="AF84">
        <f t="shared" si="34"/>
        <v>0</v>
      </c>
    </row>
    <row r="85" spans="2:34" x14ac:dyDescent="0.2">
      <c r="P85" s="427" t="s">
        <v>6</v>
      </c>
      <c r="S85">
        <f t="shared" ref="S85:AF85" si="35">$H21*0.01*S77</f>
        <v>221.12279823364608</v>
      </c>
      <c r="T85">
        <f t="shared" si="35"/>
        <v>794.69725268596278</v>
      </c>
      <c r="U85">
        <f t="shared" si="35"/>
        <v>1422.3425794962739</v>
      </c>
      <c r="V85">
        <f t="shared" si="35"/>
        <v>1161.7615235261926</v>
      </c>
      <c r="W85">
        <f t="shared" si="35"/>
        <v>1509.4023984365015</v>
      </c>
      <c r="X85">
        <f t="shared" si="35"/>
        <v>1371.5484061144277</v>
      </c>
      <c r="Y85">
        <f t="shared" si="35"/>
        <v>1857.2079202187581</v>
      </c>
      <c r="Z85">
        <f t="shared" si="35"/>
        <v>1612.8622353326305</v>
      </c>
      <c r="AA85">
        <f t="shared" si="35"/>
        <v>1528.9386333651605</v>
      </c>
      <c r="AB85">
        <f t="shared" si="35"/>
        <v>2350.0978811070049</v>
      </c>
      <c r="AC85">
        <f t="shared" si="35"/>
        <v>2509.3166459234385</v>
      </c>
      <c r="AD85">
        <f t="shared" si="35"/>
        <v>1479.2778009401907</v>
      </c>
      <c r="AE85">
        <f t="shared" si="35"/>
        <v>1162.7773461316058</v>
      </c>
      <c r="AF85">
        <f t="shared" si="35"/>
        <v>0</v>
      </c>
    </row>
    <row r="86" spans="2:34" x14ac:dyDescent="0.2">
      <c r="P86" s="427" t="s">
        <v>1</v>
      </c>
      <c r="S86">
        <f t="shared" ref="S86:AF86" si="36">$H22*0.01*S78</f>
        <v>3085.6618140017226</v>
      </c>
      <c r="T86">
        <f t="shared" si="36"/>
        <v>2218.9310189158105</v>
      </c>
      <c r="U86">
        <f t="shared" si="36"/>
        <v>1451.9006764634655</v>
      </c>
      <c r="V86">
        <f t="shared" si="36"/>
        <v>1638.0056821366768</v>
      </c>
      <c r="W86">
        <f t="shared" si="36"/>
        <v>905.4675856485685</v>
      </c>
      <c r="X86">
        <f t="shared" si="36"/>
        <v>1376.7639491418925</v>
      </c>
      <c r="Y86">
        <f t="shared" si="36"/>
        <v>2261.8669792413898</v>
      </c>
      <c r="Z86">
        <f t="shared" si="36"/>
        <v>2309.8019206658028</v>
      </c>
      <c r="AA86">
        <f t="shared" si="36"/>
        <v>966.20852007434337</v>
      </c>
      <c r="AB86">
        <f t="shared" si="36"/>
        <v>3504.4877674297672</v>
      </c>
      <c r="AC86">
        <f t="shared" si="36"/>
        <v>2430.8591612214218</v>
      </c>
      <c r="AD86">
        <f t="shared" si="36"/>
        <v>1394.4184275937321</v>
      </c>
      <c r="AE86">
        <f t="shared" si="36"/>
        <v>1106.4978716351379</v>
      </c>
      <c r="AF86">
        <f t="shared" si="36"/>
        <v>0</v>
      </c>
    </row>
    <row r="87" spans="2:34" ht="13.5" thickBot="1" x14ac:dyDescent="0.25">
      <c r="P87" s="427" t="s">
        <v>2</v>
      </c>
      <c r="S87">
        <f t="shared" ref="S87:AF87" si="37">$H23*0.01*S79</f>
        <v>3320.3368097901625</v>
      </c>
      <c r="T87">
        <f t="shared" si="37"/>
        <v>1429.0287897387341</v>
      </c>
      <c r="U87">
        <f t="shared" si="37"/>
        <v>1790.1159201037801</v>
      </c>
      <c r="V87">
        <f t="shared" si="37"/>
        <v>1050.238736049698</v>
      </c>
      <c r="W87">
        <f t="shared" si="37"/>
        <v>1546.2337744276331</v>
      </c>
      <c r="X87">
        <f t="shared" si="37"/>
        <v>1438.7794773199666</v>
      </c>
      <c r="Y87">
        <f t="shared" si="37"/>
        <v>825.44977608722172</v>
      </c>
      <c r="Z87">
        <f t="shared" si="37"/>
        <v>1331.4170071386936</v>
      </c>
      <c r="AA87">
        <f t="shared" si="37"/>
        <v>1471.2745369703046</v>
      </c>
      <c r="AB87">
        <f t="shared" si="37"/>
        <v>2452.8435046710206</v>
      </c>
      <c r="AC87">
        <f t="shared" si="37"/>
        <v>2270.8932211974056</v>
      </c>
      <c r="AD87">
        <f t="shared" si="37"/>
        <v>1343.957409042903</v>
      </c>
      <c r="AE87">
        <f t="shared" si="37"/>
        <v>1062.7382759101406</v>
      </c>
      <c r="AF87">
        <f t="shared" si="37"/>
        <v>0</v>
      </c>
    </row>
    <row r="88" spans="2:34" ht="13.5" thickBot="1" x14ac:dyDescent="0.25">
      <c r="S88" s="439">
        <f>SUM(S82:S87)</f>
        <v>9588.0955357639141</v>
      </c>
      <c r="T88" s="442">
        <f t="shared" ref="T88:AF88" si="38">SUM(T82:T87)</f>
        <v>7343.6581199346192</v>
      </c>
      <c r="U88" s="442">
        <f t="shared" si="38"/>
        <v>8156.9983617198241</v>
      </c>
      <c r="V88" s="442">
        <f t="shared" si="38"/>
        <v>6203.6988694545544</v>
      </c>
      <c r="W88" s="442">
        <f t="shared" si="38"/>
        <v>7354.3251758951692</v>
      </c>
      <c r="X88" s="433">
        <f t="shared" si="38"/>
        <v>6812.2136445202896</v>
      </c>
      <c r="Y88" s="433">
        <f t="shared" si="38"/>
        <v>8496.4174113515382</v>
      </c>
      <c r="Z88" s="433">
        <f t="shared" si="38"/>
        <v>8647.0609413894945</v>
      </c>
      <c r="AA88" s="433">
        <f t="shared" si="38"/>
        <v>6116.5520583183006</v>
      </c>
      <c r="AB88" s="433">
        <f t="shared" si="38"/>
        <v>11115.236002705346</v>
      </c>
      <c r="AC88" s="433">
        <f t="shared" si="38"/>
        <v>10309.139259099273</v>
      </c>
      <c r="AD88" s="433">
        <f t="shared" si="38"/>
        <v>6282.4077117190845</v>
      </c>
      <c r="AE88" s="433">
        <f t="shared" si="38"/>
        <v>4888.7146265447791</v>
      </c>
      <c r="AF88" s="434">
        <f t="shared" si="38"/>
        <v>0</v>
      </c>
      <c r="AH88" s="25" t="s">
        <v>252</v>
      </c>
    </row>
    <row r="89" spans="2:34" x14ac:dyDescent="0.2">
      <c r="B89" t="s">
        <v>246</v>
      </c>
      <c r="F89" t="s">
        <v>249</v>
      </c>
      <c r="H89" s="426">
        <v>5.1999999999999998E-2</v>
      </c>
    </row>
    <row r="90" spans="2:34" x14ac:dyDescent="0.2">
      <c r="B90" s="25" t="s">
        <v>247</v>
      </c>
      <c r="F90" t="s">
        <v>254</v>
      </c>
      <c r="H90" s="426">
        <v>1</v>
      </c>
    </row>
    <row r="91" spans="2:34" x14ac:dyDescent="0.2">
      <c r="B91" t="s">
        <v>248</v>
      </c>
      <c r="M91" s="135" t="s">
        <v>250</v>
      </c>
    </row>
    <row r="92" spans="2:34" x14ac:dyDescent="0.2">
      <c r="R92" s="430">
        <v>13</v>
      </c>
      <c r="S92" s="429">
        <v>14</v>
      </c>
      <c r="T92" s="429">
        <v>15</v>
      </c>
      <c r="U92" s="429">
        <v>16</v>
      </c>
      <c r="V92" s="429">
        <v>17</v>
      </c>
      <c r="W92" s="429">
        <v>18</v>
      </c>
      <c r="X92" s="429">
        <v>19</v>
      </c>
      <c r="Y92" s="429">
        <v>20</v>
      </c>
      <c r="Z92" s="429">
        <v>21</v>
      </c>
      <c r="AA92" s="429">
        <v>22</v>
      </c>
      <c r="AB92" s="429">
        <v>23</v>
      </c>
      <c r="AC92" s="429">
        <v>24</v>
      </c>
      <c r="AD92" s="429">
        <v>25</v>
      </c>
      <c r="AE92" s="429">
        <v>26</v>
      </c>
      <c r="AF92" s="429">
        <v>27</v>
      </c>
    </row>
    <row r="93" spans="2:34" x14ac:dyDescent="0.2">
      <c r="R93" s="431">
        <v>2017</v>
      </c>
      <c r="S93">
        <v>2018</v>
      </c>
      <c r="T93">
        <v>2019</v>
      </c>
      <c r="U93">
        <v>2020</v>
      </c>
      <c r="V93">
        <v>2021</v>
      </c>
      <c r="W93">
        <v>2022</v>
      </c>
      <c r="X93">
        <v>2023</v>
      </c>
      <c r="Y93">
        <v>2024</v>
      </c>
      <c r="Z93">
        <v>2025</v>
      </c>
      <c r="AA93">
        <v>2026</v>
      </c>
      <c r="AB93">
        <v>2027</v>
      </c>
      <c r="AC93">
        <v>2028</v>
      </c>
      <c r="AD93">
        <v>2029</v>
      </c>
      <c r="AE93">
        <v>2030</v>
      </c>
      <c r="AF93">
        <v>2031</v>
      </c>
    </row>
    <row r="94" spans="2:34" x14ac:dyDescent="0.2">
      <c r="R94">
        <f>1</f>
        <v>1</v>
      </c>
      <c r="S94">
        <f>S5/$R5</f>
        <v>1.1400000000000003</v>
      </c>
      <c r="T94">
        <f t="shared" ref="T94:AF94" si="39">T5/$R5</f>
        <v>1.2654000000000003</v>
      </c>
      <c r="U94">
        <f t="shared" si="39"/>
        <v>1.3792860000000005</v>
      </c>
      <c r="V94">
        <f t="shared" si="39"/>
        <v>1.4758360200000005</v>
      </c>
      <c r="W94">
        <f t="shared" si="39"/>
        <v>1.5643861812000006</v>
      </c>
      <c r="X94">
        <f t="shared" si="39"/>
        <v>1.7051809375080007</v>
      </c>
      <c r="Y94">
        <f t="shared" si="39"/>
        <v>1.8756990312588011</v>
      </c>
      <c r="Z94">
        <f t="shared" si="39"/>
        <v>2.0445119440720934</v>
      </c>
      <c r="AA94">
        <f t="shared" si="39"/>
        <v>2.2146153378188913</v>
      </c>
      <c r="AB94">
        <f t="shared" si="39"/>
        <v>2.3696384114662137</v>
      </c>
      <c r="AC94">
        <f t="shared" si="39"/>
        <v>2.5118167161541867</v>
      </c>
      <c r="AD94">
        <f t="shared" si="39"/>
        <v>2.6625257191234382</v>
      </c>
      <c r="AE94">
        <f t="shared" si="39"/>
        <v>2.8222772622708443</v>
      </c>
      <c r="AF94">
        <f t="shared" si="39"/>
        <v>2.9916138980070954</v>
      </c>
    </row>
    <row r="95" spans="2:34" x14ac:dyDescent="0.2">
      <c r="P95" t="s">
        <v>260</v>
      </c>
      <c r="R95" s="431">
        <f>$H$89*R94</f>
        <v>5.1999999999999998E-2</v>
      </c>
      <c r="S95" s="3">
        <f t="shared" ref="S95:AF95" si="40">$H$89*S94</f>
        <v>5.9280000000000013E-2</v>
      </c>
      <c r="T95" s="3">
        <f t="shared" si="40"/>
        <v>6.5800800000000007E-2</v>
      </c>
      <c r="U95" s="3">
        <f t="shared" si="40"/>
        <v>7.1722872000000021E-2</v>
      </c>
      <c r="V95" s="3">
        <f t="shared" si="40"/>
        <v>7.6743473040000024E-2</v>
      </c>
      <c r="W95" s="3">
        <f t="shared" si="40"/>
        <v>8.1348081422400034E-2</v>
      </c>
      <c r="X95" s="3">
        <f t="shared" si="40"/>
        <v>8.8669408750416026E-2</v>
      </c>
      <c r="Y95" s="3">
        <f t="shared" si="40"/>
        <v>9.7536349625457652E-2</v>
      </c>
      <c r="Z95" s="3">
        <f t="shared" si="40"/>
        <v>0.10631462109174886</v>
      </c>
      <c r="AA95" s="3">
        <f t="shared" si="40"/>
        <v>0.11515999756658234</v>
      </c>
      <c r="AB95" s="3">
        <f t="shared" si="40"/>
        <v>0.12322119739624311</v>
      </c>
      <c r="AC95" s="3">
        <f t="shared" si="40"/>
        <v>0.13061446924001771</v>
      </c>
      <c r="AD95" s="3">
        <f t="shared" si="40"/>
        <v>0.13845133739441878</v>
      </c>
      <c r="AE95" s="3">
        <f t="shared" si="40"/>
        <v>0.14675841763808389</v>
      </c>
      <c r="AF95" s="3">
        <f t="shared" si="40"/>
        <v>0.15556392269636896</v>
      </c>
    </row>
    <row r="96" spans="2:34" ht="13.5" thickBot="1" x14ac:dyDescent="0.25"/>
    <row r="97" spans="1:57" ht="13.5" thickBot="1" x14ac:dyDescent="0.25">
      <c r="P97" t="s">
        <v>251</v>
      </c>
      <c r="S97" s="439">
        <f>[4]выход!H8*DolPervSprocGil/рынок!S95</f>
        <v>358705.31417405262</v>
      </c>
      <c r="T97" s="442">
        <f>[4]выход!I8*DolPervSprocGil/рынок!T95</f>
        <v>230114.90481222825</v>
      </c>
      <c r="U97" s="442">
        <f>[4]выход!J8*DolPervSprocGil/рынок!U95</f>
        <v>167921.29453377827</v>
      </c>
      <c r="V97" s="442">
        <f>[4]выход!K8*DolPervSprocGil/рынок!V95</f>
        <v>78789.125851305231</v>
      </c>
      <c r="W97" s="442">
        <f>[4]выход!L8*DolPervSprocGil/рынок!W95</f>
        <v>117986.89594891602</v>
      </c>
      <c r="X97" s="442">
        <f>[4]выход!M8*DolPervSprocGil/рынок!X95</f>
        <v>74244.236342498218</v>
      </c>
      <c r="Y97" s="442">
        <f>[4]выход!N8*DolPervSprocGil/рынок!Y95</f>
        <v>67361.501991412762</v>
      </c>
      <c r="Z97" s="442">
        <f>[4]выход!O8*DolPervSprocGil/рынок!Z95</f>
        <v>61991.598042885198</v>
      </c>
      <c r="AA97" s="442">
        <f>[4]выход!P8*DolPervSprocGil/рынок!AA95</f>
        <v>65341.762776644195</v>
      </c>
      <c r="AB97" s="442">
        <f>[4]выход!Q8*DolPervSprocGil/рынок!AB95</f>
        <v>94798.730112738034</v>
      </c>
      <c r="AC97" s="442">
        <f>[4]выход!R8*DolPervSprocGil/рынок!AC95</f>
        <v>51566.968132905859</v>
      </c>
      <c r="AD97" s="442">
        <f>[4]выход!S8*DolPervSprocGil/рынок!AD95</f>
        <v>95344.912840090255</v>
      </c>
      <c r="AE97" s="442">
        <f>[4]выход!T8*DolPervSprocGil/рынок!AE95</f>
        <v>169766.79303483054</v>
      </c>
      <c r="AF97" s="443">
        <f>[4]выход!U8*DolPervSprocGil/рынок!AF95</f>
        <v>0</v>
      </c>
      <c r="AH97" s="25" t="s">
        <v>253</v>
      </c>
    </row>
    <row r="99" spans="1:57" x14ac:dyDescent="0.2">
      <c r="P99" t="s">
        <v>259</v>
      </c>
    </row>
    <row r="100" spans="1:57" x14ac:dyDescent="0.2">
      <c r="S100" s="21">
        <f>S97</f>
        <v>358705.31417405262</v>
      </c>
      <c r="T100" s="21">
        <f>S100*(1-0.01*$H$90)+T97</f>
        <v>585233.16584454034</v>
      </c>
      <c r="U100" s="21">
        <f t="shared" ref="U100:AF100" si="41">T100*(1-0.01*$H$90)+U97</f>
        <v>747302.12871987326</v>
      </c>
      <c r="V100" s="21">
        <f t="shared" si="41"/>
        <v>818618.2332839797</v>
      </c>
      <c r="W100" s="21">
        <f t="shared" si="41"/>
        <v>928418.94690005586</v>
      </c>
      <c r="X100" s="21">
        <f t="shared" si="41"/>
        <v>993378.99377355352</v>
      </c>
      <c r="Y100" s="21">
        <f t="shared" si="41"/>
        <v>1050806.7058272308</v>
      </c>
      <c r="Z100" s="21">
        <f t="shared" si="41"/>
        <v>1102290.2368118437</v>
      </c>
      <c r="AA100" s="21">
        <f t="shared" si="41"/>
        <v>1156609.0972203694</v>
      </c>
      <c r="AB100" s="21">
        <f t="shared" si="41"/>
        <v>1239841.7363609036</v>
      </c>
      <c r="AC100" s="21">
        <f t="shared" si="41"/>
        <v>1279010.2871302005</v>
      </c>
      <c r="AD100" s="21">
        <f t="shared" si="41"/>
        <v>1361565.0970989887</v>
      </c>
      <c r="AE100" s="21">
        <f t="shared" si="41"/>
        <v>1517716.2391628295</v>
      </c>
      <c r="AF100" s="21">
        <f t="shared" si="41"/>
        <v>1502539.0767712011</v>
      </c>
    </row>
    <row r="102" spans="1:57" x14ac:dyDescent="0.2">
      <c r="B102" s="25" t="s">
        <v>265</v>
      </c>
    </row>
    <row r="104" spans="1:57" x14ac:dyDescent="0.2">
      <c r="F104">
        <v>2005</v>
      </c>
      <c r="G104">
        <v>2006</v>
      </c>
      <c r="H104">
        <v>2007</v>
      </c>
      <c r="I104">
        <v>2008</v>
      </c>
      <c r="J104">
        <v>2009</v>
      </c>
      <c r="K104">
        <v>2010</v>
      </c>
      <c r="L104">
        <v>2011</v>
      </c>
      <c r="M104">
        <v>2012</v>
      </c>
      <c r="N104">
        <v>2013</v>
      </c>
      <c r="O104">
        <v>2014</v>
      </c>
      <c r="P104">
        <v>2015</v>
      </c>
      <c r="Q104">
        <v>2016</v>
      </c>
      <c r="R104" s="431">
        <v>2017</v>
      </c>
      <c r="S104">
        <v>2018</v>
      </c>
      <c r="T104">
        <v>2019</v>
      </c>
      <c r="U104">
        <v>2020</v>
      </c>
      <c r="V104">
        <v>2021</v>
      </c>
      <c r="W104">
        <v>2022</v>
      </c>
      <c r="X104">
        <v>2023</v>
      </c>
      <c r="Y104">
        <v>2024</v>
      </c>
      <c r="Z104">
        <v>2025</v>
      </c>
      <c r="AA104">
        <v>2026</v>
      </c>
      <c r="AB104">
        <v>2027</v>
      </c>
      <c r="AC104">
        <v>2028</v>
      </c>
      <c r="AD104">
        <v>2029</v>
      </c>
      <c r="AE104">
        <v>2030</v>
      </c>
      <c r="AF104">
        <v>2031</v>
      </c>
    </row>
    <row r="105" spans="1:57" x14ac:dyDescent="0.2">
      <c r="B105" t="s">
        <v>3</v>
      </c>
      <c r="F105" s="454">
        <v>50</v>
      </c>
      <c r="G105" s="454">
        <v>50</v>
      </c>
      <c r="H105" s="454">
        <v>50</v>
      </c>
      <c r="I105" s="454">
        <v>50</v>
      </c>
      <c r="J105" s="454">
        <v>50</v>
      </c>
      <c r="K105" s="454">
        <v>50</v>
      </c>
      <c r="L105" s="454">
        <v>50</v>
      </c>
      <c r="M105" s="454">
        <v>50</v>
      </c>
      <c r="N105" s="454">
        <v>50</v>
      </c>
      <c r="O105" s="454">
        <v>50</v>
      </c>
      <c r="P105" s="454">
        <v>50</v>
      </c>
      <c r="Q105" s="454">
        <v>50</v>
      </c>
      <c r="R105" s="454">
        <v>50</v>
      </c>
      <c r="S105" s="163">
        <f>ROUND(S74/'[1]НачСост_НС_БД '!P76,0)</f>
        <v>79</v>
      </c>
      <c r="T105" s="163">
        <f>ROUND(T74/'[1]НачСост_НС_БД '!Q76,0)</f>
        <v>112</v>
      </c>
      <c r="U105" s="163">
        <f>ROUND(U74/'[1]НачСост_НС_БД '!R76,0)</f>
        <v>181</v>
      </c>
      <c r="V105" s="163">
        <f>ROUND(V74/'[1]НачСост_НС_БД '!S76,0)</f>
        <v>122</v>
      </c>
      <c r="W105" s="163">
        <f>ROUND(W74/'[1]НачСост_НС_БД '!T76,0)</f>
        <v>158</v>
      </c>
      <c r="X105" s="163">
        <f>ROUND(X74/'[1]НачСост_НС_БД '!U76,0)</f>
        <v>102</v>
      </c>
      <c r="Y105" s="163">
        <f>ROUND(Y74/'[1]НачСост_НС_БД '!V76,0)</f>
        <v>186</v>
      </c>
      <c r="Z105" s="163">
        <f>ROUND(Z74/'[1]НачСост_НС_БД '!W76,0)</f>
        <v>210</v>
      </c>
      <c r="AA105" s="163">
        <f>ROUND(AA74/'[1]НачСост_НС_БД '!X76,0)</f>
        <v>0</v>
      </c>
      <c r="AB105" s="163">
        <f>ROUND(AB74/'[1]НачСост_НС_БД '!Y76,0)</f>
        <v>0</v>
      </c>
      <c r="AC105" s="163">
        <f>ROUND(AC74/'[1]НачСост_НС_БД '!Z76,0)</f>
        <v>0</v>
      </c>
      <c r="AD105" s="163">
        <f>ROUND(AD74/'[1]НачСост_НС_БД '!AA76,0)</f>
        <v>0</v>
      </c>
      <c r="AE105" s="163">
        <f>ROUND(AE74/'[1]НачСост_НС_БД '!AB76,0)</f>
        <v>0</v>
      </c>
      <c r="AF105" s="163">
        <f>ROUND(AF74/'[1]НачСост_НС_БД '!AC76,0)</f>
        <v>0</v>
      </c>
    </row>
    <row r="106" spans="1:57" x14ac:dyDescent="0.2">
      <c r="B106" t="s">
        <v>73</v>
      </c>
      <c r="F106" s="454">
        <v>0</v>
      </c>
      <c r="G106" s="454">
        <v>0</v>
      </c>
      <c r="H106" s="454">
        <v>0</v>
      </c>
      <c r="I106" s="454">
        <v>0</v>
      </c>
      <c r="J106" s="454">
        <v>0</v>
      </c>
      <c r="K106" s="454">
        <v>50</v>
      </c>
      <c r="L106" s="454">
        <v>50</v>
      </c>
      <c r="M106" s="454">
        <v>50</v>
      </c>
      <c r="N106" s="454">
        <v>50</v>
      </c>
      <c r="O106" s="454">
        <v>50</v>
      </c>
      <c r="P106" s="454">
        <v>50</v>
      </c>
      <c r="Q106" s="454">
        <v>50</v>
      </c>
      <c r="R106" s="454">
        <v>50</v>
      </c>
      <c r="S106" s="163">
        <f>ROUND(S75/'[1]НачСост_НС_БД '!P77,0)</f>
        <v>51</v>
      </c>
      <c r="T106" s="163">
        <f>ROUND(T75/'[1]НачСост_НС_БД '!Q77,0)</f>
        <v>37</v>
      </c>
      <c r="U106" s="163">
        <f>ROUND(U75/'[1]НачСост_НС_БД '!R77,0)</f>
        <v>48</v>
      </c>
      <c r="V106" s="163">
        <f>ROUND(V75/'[1]НачСост_НС_БД '!S77,0)</f>
        <v>42</v>
      </c>
      <c r="W106" s="163">
        <f>ROUND(W75/'[1]НачСост_НС_БД '!T77,0)</f>
        <v>49</v>
      </c>
      <c r="X106" s="163">
        <f>ROUND(X75/'[1]НачСост_НС_БД '!U77,0)</f>
        <v>39</v>
      </c>
      <c r="Y106" s="163">
        <f>ROUND(Y75/'[1]НачСост_НС_БД '!V77,0)</f>
        <v>45</v>
      </c>
      <c r="Z106" s="163">
        <f>ROUND(Z75/'[1]НачСост_НС_БД '!W77,0)</f>
        <v>29</v>
      </c>
      <c r="AA106" s="163">
        <f>ROUND(AA75/'[1]НачСост_НС_БД '!X77,0)</f>
        <v>15</v>
      </c>
      <c r="AB106" s="163">
        <f>ROUND(AB75/'[1]НачСост_НС_БД '!Y77,0)</f>
        <v>48</v>
      </c>
      <c r="AC106" s="163">
        <f>ROUND(AC75/'[1]НачСост_НС_БД '!Z77,0)</f>
        <v>63</v>
      </c>
      <c r="AD106" s="163">
        <f>ROUND(AD75/'[1]НачСост_НС_БД '!AA77,0)</f>
        <v>28</v>
      </c>
      <c r="AE106" s="163">
        <f>ROUND(AE75/'[1]НачСост_НС_БД '!AB77,0)</f>
        <v>19</v>
      </c>
      <c r="AF106" s="163">
        <f>ROUND(AF75/'[1]НачСост_НС_БД '!AC77,0)</f>
        <v>0</v>
      </c>
    </row>
    <row r="107" spans="1:57" x14ac:dyDescent="0.2">
      <c r="B107" t="s">
        <v>5</v>
      </c>
      <c r="F107" s="454">
        <v>100</v>
      </c>
      <c r="G107" s="454">
        <v>100</v>
      </c>
      <c r="H107" s="454">
        <v>100</v>
      </c>
      <c r="I107" s="454">
        <v>100</v>
      </c>
      <c r="J107" s="454">
        <v>100</v>
      </c>
      <c r="K107" s="454">
        <v>100</v>
      </c>
      <c r="L107" s="454">
        <v>100</v>
      </c>
      <c r="M107" s="454">
        <v>100</v>
      </c>
      <c r="N107" s="454">
        <v>100</v>
      </c>
      <c r="O107" s="454">
        <v>100</v>
      </c>
      <c r="P107" s="454">
        <v>100</v>
      </c>
      <c r="Q107" s="454">
        <v>100</v>
      </c>
      <c r="R107" s="454">
        <v>100</v>
      </c>
      <c r="S107" s="163">
        <f>ROUND(S76/'[1]НачСост_НС_БД '!P78,0)</f>
        <v>94</v>
      </c>
      <c r="T107" s="163">
        <f>ROUND(T76/'[1]НачСост_НС_БД '!Q78,0)</f>
        <v>98</v>
      </c>
      <c r="U107" s="163">
        <f>ROUND(U76/'[1]НачСост_НС_БД '!R78,0)</f>
        <v>101</v>
      </c>
      <c r="V107" s="163">
        <f>ROUND(V76/'[1]НачСост_НС_БД '!S78,0)</f>
        <v>57</v>
      </c>
      <c r="W107" s="163">
        <f>ROUND(W76/'[1]НачСост_НС_БД '!T78,0)</f>
        <v>101</v>
      </c>
      <c r="X107" s="163">
        <f>ROUND(X76/'[1]НачСост_НС_БД '!U78,0)</f>
        <v>82</v>
      </c>
      <c r="Y107" s="163">
        <f>ROUND(Y76/'[1]НачСост_НС_БД '!V78,0)</f>
        <v>107</v>
      </c>
      <c r="Z107" s="163">
        <f>ROUND(Z76/'[1]НачСост_НС_БД '!W78,0)</f>
        <v>110</v>
      </c>
      <c r="AA107" s="163">
        <f>ROUND(AA76/'[1]НачСост_НС_БД '!X78,0)</f>
        <v>112</v>
      </c>
      <c r="AB107" s="163">
        <f>ROUND(AB76/'[1]НачСост_НС_БД '!Y78,0)</f>
        <v>112</v>
      </c>
      <c r="AC107" s="163">
        <f>ROUND(AC76/'[1]НачСост_НС_БД '!Z78,0)</f>
        <v>112</v>
      </c>
      <c r="AD107" s="163">
        <f>ROUND(AD76/'[1]НачСост_НС_БД '!AA78,0)</f>
        <v>91</v>
      </c>
      <c r="AE107" s="163">
        <f>ROUND(AE76/'[1]НачСост_НС_БД '!AB78,0)</f>
        <v>72</v>
      </c>
      <c r="AF107" s="163">
        <f>ROUND(AF76/'[1]НачСост_НС_БД '!AC78,0)</f>
        <v>0</v>
      </c>
    </row>
    <row r="108" spans="1:57" x14ac:dyDescent="0.2">
      <c r="B108" t="s">
        <v>6</v>
      </c>
      <c r="F108" s="454">
        <v>50</v>
      </c>
      <c r="G108" s="454">
        <v>50</v>
      </c>
      <c r="H108" s="454">
        <v>50</v>
      </c>
      <c r="I108" s="454">
        <v>50</v>
      </c>
      <c r="J108" s="454">
        <v>50</v>
      </c>
      <c r="K108" s="454">
        <v>50</v>
      </c>
      <c r="L108" s="454">
        <v>50</v>
      </c>
      <c r="M108" s="454">
        <v>50</v>
      </c>
      <c r="N108" s="454">
        <v>50</v>
      </c>
      <c r="O108" s="454">
        <v>50</v>
      </c>
      <c r="P108" s="454">
        <v>50</v>
      </c>
      <c r="Q108" s="454">
        <v>50</v>
      </c>
      <c r="R108" s="454">
        <v>30</v>
      </c>
      <c r="S108" s="163">
        <f>ROUND(S77/'[1]НачСост_НС_БД '!P79,0)</f>
        <v>3</v>
      </c>
      <c r="T108" s="163">
        <f>ROUND(T77/'[1]НачСост_НС_БД '!Q79,0)</f>
        <v>12</v>
      </c>
      <c r="U108" s="163">
        <f>ROUND(U77/'[1]НачСост_НС_БД '!R79,0)</f>
        <v>21</v>
      </c>
      <c r="V108" s="163">
        <f>ROUND(V77/'[1]НачСост_НС_БД '!S79,0)</f>
        <v>17</v>
      </c>
      <c r="W108" s="163">
        <f>ROUND(W77/'[1]НачСост_НС_БД '!T79,0)</f>
        <v>22</v>
      </c>
      <c r="X108" s="163">
        <f>ROUND(X77/'[1]НачСост_НС_БД '!U79,0)</f>
        <v>20</v>
      </c>
      <c r="Y108" s="163">
        <f>ROUND(Y77/'[1]НачСост_НС_БД '!V79,0)</f>
        <v>28</v>
      </c>
      <c r="Z108" s="163">
        <f>ROUND(Z77/'[1]НачСост_НС_БД '!W79,0)</f>
        <v>24</v>
      </c>
      <c r="AA108" s="163">
        <f>ROUND(AA77/'[1]НачСост_НС_БД '!X79,0)</f>
        <v>23</v>
      </c>
      <c r="AB108" s="163">
        <f>ROUND(AB77/'[1]НачСост_НС_БД '!Y79,0)</f>
        <v>35</v>
      </c>
      <c r="AC108" s="163">
        <f>ROUND(AC77/'[1]НачСост_НС_БД '!Z79,0)</f>
        <v>37</v>
      </c>
      <c r="AD108" s="163">
        <f>ROUND(AD77/'[1]НачСост_НС_БД '!AA79,0)</f>
        <v>22</v>
      </c>
      <c r="AE108" s="163">
        <f>ROUND(AE77/'[1]НачСост_НС_БД '!AB79,0)</f>
        <v>17</v>
      </c>
      <c r="AF108" s="163">
        <f>ROUND(AF77/'[1]НачСост_НС_БД '!AC79,0)</f>
        <v>0</v>
      </c>
    </row>
    <row r="109" spans="1:57" x14ac:dyDescent="0.2">
      <c r="B109" t="s">
        <v>1</v>
      </c>
      <c r="F109" s="454">
        <v>50</v>
      </c>
      <c r="G109" s="454">
        <v>50</v>
      </c>
      <c r="H109" s="454">
        <v>50</v>
      </c>
      <c r="I109" s="454">
        <v>50</v>
      </c>
      <c r="J109" s="454">
        <v>50</v>
      </c>
      <c r="K109" s="454">
        <v>50</v>
      </c>
      <c r="L109" s="454">
        <v>50</v>
      </c>
      <c r="M109" s="454">
        <v>50</v>
      </c>
      <c r="N109" s="454">
        <v>50</v>
      </c>
      <c r="O109" s="454">
        <v>50</v>
      </c>
      <c r="P109" s="454">
        <v>50</v>
      </c>
      <c r="Q109" s="454">
        <v>50</v>
      </c>
      <c r="R109" s="454">
        <v>50</v>
      </c>
      <c r="S109" s="163">
        <f>ROUND(S78/'[1]НачСост_НС_БД '!P80,0)</f>
        <v>137</v>
      </c>
      <c r="T109" s="163">
        <f>ROUND(T78/'[1]НачСост_НС_БД '!Q80,0)</f>
        <v>99</v>
      </c>
      <c r="U109" s="163">
        <f>ROUND(U78/'[1]НачСост_НС_БД '!R80,0)</f>
        <v>65</v>
      </c>
      <c r="V109" s="163">
        <f>ROUND(V78/'[1]НачСост_НС_БД '!S80,0)</f>
        <v>73</v>
      </c>
      <c r="W109" s="163">
        <f>ROUND(W78/'[1]НачСост_НС_БД '!T80,0)</f>
        <v>40</v>
      </c>
      <c r="X109" s="163">
        <f>ROUND(X78/'[1]НачСост_НС_БД '!U80,0)</f>
        <v>61</v>
      </c>
      <c r="Y109" s="163">
        <f>ROUND(Y78/'[1]НачСост_НС_БД '!V80,0)</f>
        <v>101</v>
      </c>
      <c r="Z109" s="163">
        <f>ROUND(Z78/'[1]НачСост_НС_БД '!W80,0)</f>
        <v>103</v>
      </c>
      <c r="AA109" s="163">
        <f>ROUND(AA78/'[1]НачСост_НС_БД '!X80,0)</f>
        <v>43</v>
      </c>
      <c r="AB109" s="163">
        <f>ROUND(AB78/'[1]НачСост_НС_БД '!Y80,0)</f>
        <v>156</v>
      </c>
      <c r="AC109" s="163">
        <f>ROUND(AC78/'[1]НачСост_НС_БД '!Z80,0)</f>
        <v>108</v>
      </c>
      <c r="AD109" s="163">
        <f>ROUND(AD78/'[1]НачСост_НС_БД '!AA80,0)</f>
        <v>62</v>
      </c>
      <c r="AE109" s="163">
        <f>ROUND(AE78/'[1]НачСост_НС_БД '!AB80,0)</f>
        <v>49</v>
      </c>
      <c r="AF109" s="163">
        <f>ROUND(AF78/'[1]НачСост_НС_БД '!AC80,0)</f>
        <v>0</v>
      </c>
    </row>
    <row r="110" spans="1:57" x14ac:dyDescent="0.2">
      <c r="B110" t="s">
        <v>2</v>
      </c>
      <c r="F110" s="454">
        <v>50</v>
      </c>
      <c r="G110" s="454">
        <v>50</v>
      </c>
      <c r="H110" s="454">
        <v>50</v>
      </c>
      <c r="I110" s="454">
        <v>50</v>
      </c>
      <c r="J110" s="454">
        <v>50</v>
      </c>
      <c r="K110" s="454">
        <v>50</v>
      </c>
      <c r="L110" s="454">
        <v>50</v>
      </c>
      <c r="M110" s="454">
        <v>50</v>
      </c>
      <c r="N110" s="454">
        <v>50</v>
      </c>
      <c r="O110" s="454">
        <v>50</v>
      </c>
      <c r="P110" s="454">
        <v>50</v>
      </c>
      <c r="Q110" s="454">
        <v>50</v>
      </c>
      <c r="R110" s="454">
        <v>50</v>
      </c>
      <c r="S110" s="163">
        <f>ROUND(S79/'[1]НачСост_НС_БД '!P81,0)</f>
        <v>221</v>
      </c>
      <c r="T110" s="163">
        <f>ROUND(T79/'[1]НачСост_НС_БД '!Q81,0)</f>
        <v>95</v>
      </c>
      <c r="U110" s="163">
        <f>ROUND(U79/'[1]НачСост_НС_БД '!R81,0)</f>
        <v>119</v>
      </c>
      <c r="V110" s="163">
        <f>ROUND(V79/'[1]НачСост_НС_БД '!S81,0)</f>
        <v>70</v>
      </c>
      <c r="W110" s="163">
        <f>ROUND(W79/'[1]НачСост_НС_БД '!T81,0)</f>
        <v>103</v>
      </c>
      <c r="X110" s="163">
        <f>ROUND(X79/'[1]НачСост_НС_БД '!U81,0)</f>
        <v>96</v>
      </c>
      <c r="Y110" s="163">
        <f>ROUND(Y79/'[1]НачСост_НС_БД '!V81,0)</f>
        <v>55</v>
      </c>
      <c r="Z110" s="163">
        <f>ROUND(Z79/'[1]НачСост_НС_БД '!W81,0)</f>
        <v>89</v>
      </c>
      <c r="AA110" s="163">
        <f>ROUND(AA79/'[1]НачСост_НС_БД '!X81,0)</f>
        <v>98</v>
      </c>
      <c r="AB110" s="163">
        <f>ROUND(AB79/'[1]НачСост_НС_БД '!Y81,0)</f>
        <v>164</v>
      </c>
      <c r="AC110" s="163">
        <f>ROUND(AC79/'[1]НачСост_НС_БД '!Z81,0)</f>
        <v>151</v>
      </c>
      <c r="AD110" s="163">
        <f>ROUND(AD79/'[1]НачСост_НС_БД '!AA81,0)</f>
        <v>90</v>
      </c>
      <c r="AE110" s="163">
        <f>ROUND(AE79/'[1]НачСост_НС_БД '!AB81,0)</f>
        <v>71</v>
      </c>
      <c r="AF110" s="163">
        <f>ROUND(AF79/'[1]НачСост_НС_БД '!AC81,0)</f>
        <v>0</v>
      </c>
    </row>
    <row r="111" spans="1:57" x14ac:dyDescent="0.2">
      <c r="A111" s="106"/>
      <c r="B111" s="9"/>
      <c r="F111" s="21"/>
      <c r="G111" s="27"/>
      <c r="H111" s="27"/>
      <c r="I111" s="27"/>
      <c r="J111" s="27"/>
      <c r="K111" s="27"/>
      <c r="L111" s="77"/>
      <c r="M111" s="27"/>
      <c r="N111" s="315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92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6"/>
      <c r="BD111" s="16"/>
      <c r="BE111" s="16"/>
    </row>
    <row r="112" spans="1:57" x14ac:dyDescent="0.2">
      <c r="A112" s="106"/>
      <c r="B112" s="9"/>
      <c r="F112" s="21"/>
      <c r="G112" s="27"/>
      <c r="H112" s="27"/>
      <c r="I112" s="27"/>
      <c r="J112" s="27"/>
      <c r="K112" s="27"/>
      <c r="L112" s="27"/>
      <c r="M112" s="27"/>
      <c r="N112" s="315"/>
      <c r="O112" s="7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92"/>
      <c r="AG112" s="15"/>
      <c r="AH112" s="384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6"/>
      <c r="BD112" s="16"/>
      <c r="BE112" s="16"/>
    </row>
    <row r="113" spans="1:57" x14ac:dyDescent="0.2">
      <c r="A113" s="106"/>
      <c r="B113" s="9"/>
      <c r="F113" s="21"/>
      <c r="G113" s="21"/>
      <c r="H113" s="21"/>
      <c r="I113" s="21"/>
      <c r="J113" s="21"/>
      <c r="K113" s="21"/>
      <c r="L113" s="21"/>
      <c r="M113" s="21"/>
      <c r="N113" s="315"/>
      <c r="O113" s="77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6"/>
      <c r="BD113" s="16"/>
      <c r="BE113" s="16"/>
    </row>
    <row r="114" spans="1:57" x14ac:dyDescent="0.2">
      <c r="A114" s="106"/>
      <c r="B114" s="9"/>
      <c r="F114" s="21"/>
      <c r="G114" s="21"/>
      <c r="H114" s="21"/>
      <c r="I114" s="21"/>
      <c r="J114" s="21"/>
      <c r="K114" s="21"/>
      <c r="L114" s="21"/>
      <c r="M114" s="21"/>
      <c r="N114" s="315"/>
      <c r="O114" s="77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92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6"/>
      <c r="BD114" s="16"/>
      <c r="BE114" s="16"/>
    </row>
    <row r="115" spans="1:57" x14ac:dyDescent="0.2">
      <c r="A115" s="106"/>
      <c r="B115" s="9"/>
      <c r="F115" s="21"/>
      <c r="G115" s="21"/>
      <c r="H115" s="21"/>
      <c r="I115" s="21"/>
      <c r="J115" s="21"/>
      <c r="K115" s="21"/>
      <c r="L115" s="21"/>
      <c r="M115" s="21"/>
      <c r="N115" s="315"/>
      <c r="O115" s="77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92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6"/>
      <c r="BD115" s="16"/>
      <c r="BE115" s="16"/>
    </row>
    <row r="116" spans="1:57" x14ac:dyDescent="0.2">
      <c r="A116" s="106"/>
      <c r="B116" s="9"/>
      <c r="F116" s="21"/>
      <c r="G116" s="21"/>
      <c r="H116" s="21"/>
      <c r="I116" s="21"/>
      <c r="J116" s="21"/>
      <c r="K116" s="21"/>
      <c r="L116" s="21"/>
      <c r="M116" s="21"/>
      <c r="N116" s="315"/>
      <c r="O116" s="77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92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6"/>
      <c r="BD116" s="16"/>
      <c r="BE116" s="16"/>
    </row>
    <row r="117" spans="1:57" x14ac:dyDescent="0.2">
      <c r="A117" s="106"/>
      <c r="B117" s="9"/>
      <c r="F117" s="21"/>
      <c r="G117" s="21"/>
      <c r="H117" s="21"/>
      <c r="I117" s="21"/>
      <c r="J117" s="21"/>
      <c r="K117" s="21"/>
      <c r="L117" s="21"/>
      <c r="M117" s="21"/>
      <c r="N117" s="315"/>
      <c r="O117" s="77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92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6"/>
      <c r="BD117" s="16"/>
      <c r="BE117" s="16"/>
    </row>
  </sheetData>
  <conditionalFormatting sqref="F29:R29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C759"/>
  <sheetViews>
    <sheetView topLeftCell="A24" zoomScaleNormal="100" workbookViewId="0">
      <pane xSplit="2" topLeftCell="C1" activePane="topRight" state="frozen"/>
      <selection activeCell="A28" sqref="A28"/>
      <selection pane="topRight" activeCell="E38" sqref="E38"/>
    </sheetView>
  </sheetViews>
  <sheetFormatPr defaultRowHeight="12.75" x14ac:dyDescent="0.2"/>
  <cols>
    <col min="1" max="1" width="20" customWidth="1"/>
    <col min="2" max="2" width="46" customWidth="1"/>
    <col min="3" max="3" width="22.42578125" customWidth="1"/>
    <col min="4" max="4" width="24.85546875" customWidth="1"/>
    <col min="5" max="5" width="23" customWidth="1"/>
    <col min="6" max="6" width="21.28515625" customWidth="1"/>
    <col min="7" max="7" width="24.140625" customWidth="1"/>
    <col min="8" max="8" width="18.85546875" customWidth="1"/>
    <col min="9" max="10" width="19.5703125" bestFit="1" customWidth="1"/>
    <col min="11" max="11" width="19.5703125" style="248" bestFit="1" customWidth="1"/>
    <col min="12" max="12" width="19.5703125" style="3" bestFit="1" customWidth="1"/>
    <col min="13" max="13" width="22.42578125" style="3" customWidth="1"/>
    <col min="14" max="14" width="22.140625" style="3" customWidth="1"/>
    <col min="15" max="15" width="21.5703125" style="3" customWidth="1"/>
    <col min="16" max="16" width="20.5703125" style="387" bestFit="1" customWidth="1"/>
    <col min="17" max="27" width="20.5703125" style="3" bestFit="1" customWidth="1"/>
    <col min="28" max="28" width="23.5703125" style="3" customWidth="1"/>
    <col min="30" max="30" width="10.5703125" bestFit="1" customWidth="1"/>
  </cols>
  <sheetData>
    <row r="1" spans="1:28" s="3" customFormat="1" x14ac:dyDescent="0.2">
      <c r="K1" s="248"/>
      <c r="P1" s="387"/>
    </row>
    <row r="3" spans="1:28" x14ac:dyDescent="0.2">
      <c r="E3" s="90" t="s">
        <v>52</v>
      </c>
    </row>
    <row r="4" spans="1:28" ht="15.75" x14ac:dyDescent="0.25">
      <c r="B4" s="65" t="s">
        <v>50</v>
      </c>
    </row>
    <row r="6" spans="1:28" x14ac:dyDescent="0.2">
      <c r="A6" s="66" t="s">
        <v>76</v>
      </c>
    </row>
    <row r="8" spans="1:28" x14ac:dyDescent="0.2">
      <c r="C8" s="25">
        <v>2006</v>
      </c>
      <c r="D8" s="25">
        <v>2007</v>
      </c>
      <c r="E8" s="25">
        <v>2008</v>
      </c>
      <c r="F8" s="25">
        <v>2009</v>
      </c>
      <c r="G8" s="25">
        <v>2010</v>
      </c>
      <c r="H8" s="25">
        <v>2011</v>
      </c>
      <c r="I8" s="25">
        <v>2012</v>
      </c>
      <c r="J8" s="25">
        <v>2013</v>
      </c>
      <c r="K8" s="249">
        <v>2014</v>
      </c>
      <c r="L8" s="84">
        <v>2015</v>
      </c>
      <c r="M8" s="25">
        <v>2016</v>
      </c>
      <c r="N8" s="25">
        <v>2017</v>
      </c>
      <c r="O8" s="25">
        <v>2018</v>
      </c>
      <c r="P8" s="388">
        <v>2019</v>
      </c>
      <c r="Q8" s="25">
        <v>2020</v>
      </c>
      <c r="R8" s="25">
        <v>2021</v>
      </c>
      <c r="S8" s="25">
        <v>2022</v>
      </c>
      <c r="T8" s="25">
        <v>2023</v>
      </c>
      <c r="U8" s="25">
        <v>2024</v>
      </c>
      <c r="V8" s="25">
        <v>2025</v>
      </c>
      <c r="W8" s="25">
        <v>2026</v>
      </c>
      <c r="X8" s="25">
        <v>2027</v>
      </c>
      <c r="Y8" s="25">
        <v>2028</v>
      </c>
      <c r="Z8" s="25">
        <v>2029</v>
      </c>
      <c r="AA8" s="25">
        <v>2030</v>
      </c>
      <c r="AB8" s="25">
        <v>2031</v>
      </c>
    </row>
    <row r="9" spans="1:28" x14ac:dyDescent="0.2"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 s="248">
        <v>9</v>
      </c>
      <c r="L9" s="3">
        <v>10</v>
      </c>
      <c r="M9" s="3">
        <v>11</v>
      </c>
      <c r="N9" s="3">
        <v>12</v>
      </c>
      <c r="O9" s="3">
        <v>13</v>
      </c>
      <c r="P9" s="387">
        <v>14</v>
      </c>
      <c r="Q9" s="3">
        <v>15</v>
      </c>
      <c r="R9" s="3">
        <v>16</v>
      </c>
      <c r="S9" s="3">
        <v>17</v>
      </c>
      <c r="T9" s="3">
        <v>18</v>
      </c>
      <c r="U9" s="3">
        <v>19</v>
      </c>
      <c r="V9" s="3">
        <v>20</v>
      </c>
      <c r="W9" s="3">
        <v>21</v>
      </c>
      <c r="X9" s="3">
        <v>22</v>
      </c>
      <c r="Y9" s="3">
        <v>23</v>
      </c>
      <c r="Z9" s="3">
        <v>24</v>
      </c>
      <c r="AA9" s="3">
        <v>25</v>
      </c>
      <c r="AB9" s="3">
        <v>26</v>
      </c>
    </row>
    <row r="10" spans="1:28" x14ac:dyDescent="0.2">
      <c r="B10" t="s">
        <v>41</v>
      </c>
      <c r="C10" s="38">
        <f>'Лист2_прогнозные цены'!F6</f>
        <v>3997723.3119999999</v>
      </c>
      <c r="D10" s="62">
        <f>'Лист2_прогнозные цены'!G6</f>
        <v>4889123.3570296699</v>
      </c>
      <c r="E10" s="62">
        <f>'Лист2_прогнозные цены'!H6</f>
        <v>5867955.582852996</v>
      </c>
      <c r="F10" s="62">
        <f>'Лист2_прогнозные цены'!I6</f>
        <v>7007234.1475985004</v>
      </c>
      <c r="G10" s="62">
        <f>'Лист2_прогнозные цены'!J6</f>
        <v>7707776.8012107676</v>
      </c>
      <c r="H10" s="62">
        <f>'Лист2_прогнозные цены'!K6</f>
        <v>9130882.7854666337</v>
      </c>
      <c r="I10" s="62">
        <f>'Лист2_прогнозные цены'!L6</f>
        <v>9824039.7629310917</v>
      </c>
      <c r="J10" s="62">
        <f>'Лист2_прогнозные цены'!M6</f>
        <v>10128182.9378621</v>
      </c>
      <c r="K10" s="250">
        <f>'Лист2_прогнозные цены'!N6</f>
        <v>12930988.05730585</v>
      </c>
      <c r="L10" s="98">
        <f>'Лист2_прогнозные цены'!O6</f>
        <v>14746336.656715842</v>
      </c>
      <c r="M10" s="98">
        <f>'Лист2_прогнозные цены'!P6</f>
        <v>17229583.386639513</v>
      </c>
      <c r="N10" s="98">
        <f>'Лист2_прогнозные цены'!Q6</f>
        <v>20282538.020059045</v>
      </c>
      <c r="O10" s="98">
        <f>'Лист2_прогнозные цены'!R6</f>
        <v>23261147.44309843</v>
      </c>
      <c r="P10" s="389">
        <f>'Лист2_прогнозные цены'!S6</f>
        <v>26763670.300215431</v>
      </c>
      <c r="Q10" s="98">
        <f>'Лист2_прогнозные цены'!T6</f>
        <v>30220165.442651868</v>
      </c>
      <c r="R10" s="98">
        <f>'Лист2_прогнозные цены'!U6</f>
        <v>33784529.482887141</v>
      </c>
      <c r="S10" s="98">
        <f>'Лист2_прогнозные цены'!V6</f>
        <v>37492059.991663545</v>
      </c>
      <c r="T10" s="98">
        <f>'Лист2_прогнозные цены'!W6</f>
        <v>40781093.916084245</v>
      </c>
      <c r="U10" s="98">
        <f>'Лист2_прогнозные цены'!X6</f>
        <v>44594551.970814764</v>
      </c>
      <c r="V10" s="98">
        <f>'Лист2_прогнозные цены'!Y6</f>
        <v>49174628.762843773</v>
      </c>
      <c r="W10" s="98">
        <f>'Лист2_прогнозные цены'!Z6</f>
        <v>54705987.708984531</v>
      </c>
      <c r="X10" s="98">
        <f>'Лист2_прогнозные цены'!AA6</f>
        <v>59387583.147415146</v>
      </c>
      <c r="Y10" s="98">
        <f>'Лист2_прогнозные цены'!AB6</f>
        <v>64154274.478862472</v>
      </c>
      <c r="Z10" s="98">
        <f>'Лист2_прогнозные цены'!AC6</f>
        <v>69503699.006806448</v>
      </c>
      <c r="AA10" s="98">
        <f>'Лист2_прогнозные цены'!AD6</f>
        <v>75566834.900154933</v>
      </c>
      <c r="AB10" s="98">
        <f>'Лист2_прогнозные цены'!AE6</f>
        <v>81761033.634278774</v>
      </c>
    </row>
    <row r="11" spans="1:28" x14ac:dyDescent="0.2">
      <c r="B11" t="s">
        <v>3</v>
      </c>
      <c r="C11" s="62">
        <f>'Лист2_прогнозные цены'!F14</f>
        <v>517851.25999999995</v>
      </c>
      <c r="D11" s="62">
        <f>'Лист2_прогнозные цены'!G14</f>
        <v>574921.54836200003</v>
      </c>
      <c r="E11" s="62">
        <f>'Лист2_прогнозные цены'!H14</f>
        <v>833107.02980692452</v>
      </c>
      <c r="F11" s="62">
        <f>'Лист2_прогнозные цены'!I14</f>
        <v>961204.41795173066</v>
      </c>
      <c r="G11" s="62">
        <f>'Лист2_прогнозные цены'!J14</f>
        <v>707559.91504491819</v>
      </c>
      <c r="H11" s="62">
        <f>'Лист2_прогнозные цены'!K14</f>
        <v>1045387.6478586521</v>
      </c>
      <c r="I11" s="62">
        <f>'Лист2_прогнозные цены'!L14</f>
        <v>1262301.0564856397</v>
      </c>
      <c r="J11" s="62">
        <f>'Лист2_прогнозные цены'!M14</f>
        <v>1408768.1236271264</v>
      </c>
      <c r="K11" s="250">
        <f>'Лист2_прогнозные цены'!N14</f>
        <v>1874017.284698131</v>
      </c>
      <c r="L11" s="98">
        <f>'Лист2_прогнозные цены'!O14</f>
        <v>2135796.3070877576</v>
      </c>
      <c r="M11" s="98">
        <f>'Лист2_прогнозные цены'!P14</f>
        <v>2504873.9683319274</v>
      </c>
      <c r="N11" s="98">
        <f>'Лист2_прогнозные цены'!Q14</f>
        <v>2959575.5124150477</v>
      </c>
      <c r="O11" s="98">
        <f>'Лист2_прогнозные цены'!R14</f>
        <v>3403814.5609764922</v>
      </c>
      <c r="P11" s="389">
        <f>'Лист2_прогнозные цены'!S14</f>
        <v>3784434.6008744244</v>
      </c>
      <c r="Q11" s="98">
        <f>'Лист2_прогнозные цены'!T14</f>
        <v>4186584.2993653906</v>
      </c>
      <c r="R11" s="98">
        <f>'Лист2_прогнозные цены'!U14</f>
        <v>4636285.2974366238</v>
      </c>
      <c r="S11" s="98">
        <f>'Лист2_прогнозные цены'!V14</f>
        <v>5108905.6331047518</v>
      </c>
      <c r="T11" s="98">
        <f>'Лист2_прогнозные цены'!W14</f>
        <v>5498129.97045484</v>
      </c>
      <c r="U11" s="98">
        <f>'Лист2_прогнозные цены'!X14</f>
        <v>5952301.4020357113</v>
      </c>
      <c r="V11" s="98">
        <f>'Лист2_прогнозные цены'!Y14</f>
        <v>6514406.3995808233</v>
      </c>
      <c r="W11" s="98">
        <f>'Лист2_прогнозные цены'!Z14</f>
        <v>7244480.1293955855</v>
      </c>
      <c r="X11" s="98">
        <f>'Лист2_прогнозные цены'!AA14</f>
        <v>7744567.4311246937</v>
      </c>
      <c r="Y11" s="98">
        <f>'Лист2_прогнозные цены'!AB14</f>
        <v>8151128.4971611714</v>
      </c>
      <c r="Z11" s="98">
        <f>'Лист2_прогнозные цены'!AC14</f>
        <v>8566963.7132192161</v>
      </c>
      <c r="AA11" s="98">
        <f>'Лист2_прогнозные цены'!AD14</f>
        <v>9019622.4880685322</v>
      </c>
      <c r="AB11" s="98">
        <f>'Лист2_прогнозные цены'!AE14</f>
        <v>9538125.5823911689</v>
      </c>
    </row>
    <row r="12" spans="1:28" x14ac:dyDescent="0.2">
      <c r="B12" t="s">
        <v>29</v>
      </c>
      <c r="C12" s="62">
        <f>'Лист2_прогнозные цены'!F23</f>
        <v>2304677.8152000001</v>
      </c>
      <c r="D12" s="62">
        <f>'Лист2_прогнозные цены'!G23</f>
        <v>2703980.1055842899</v>
      </c>
      <c r="E12" s="62">
        <f>'Лист2_прогнозные цены'!H23</f>
        <v>2072488.8384396045</v>
      </c>
      <c r="F12" s="62">
        <f>'Лист2_прогнозные цены'!I23</f>
        <v>2527821.9119477458</v>
      </c>
      <c r="G12" s="62">
        <f>'Лист2_прогнозные цены'!J23</f>
        <v>3467046.7951236344</v>
      </c>
      <c r="H12" s="62">
        <f>'Лист2_прогнозные цены'!K23</f>
        <v>3334697.2693839096</v>
      </c>
      <c r="I12" s="62">
        <f>'Лист2_прогнозные цены'!L23</f>
        <v>14549681.201817384</v>
      </c>
      <c r="J12" s="62">
        <f>'Лист2_прогнозные цены'!M23</f>
        <v>14936288.688019773</v>
      </c>
      <c r="K12" s="250">
        <f>'Лист2_прогнозные цены'!N23</f>
        <v>13743180.417998951</v>
      </c>
      <c r="L12" s="98">
        <f>'Лист2_прогнозные цены'!O23</f>
        <v>15671265.640101366</v>
      </c>
      <c r="M12" s="98">
        <f>'Лист2_прогнозные цены'!P23</f>
        <v>18249320.967567526</v>
      </c>
      <c r="N12" s="98">
        <f>'Лист2_прогнозные цены'!Q23</f>
        <v>21402532.835208081</v>
      </c>
      <c r="O12" s="98">
        <f>'Лист2_прогнозные цены'!R23</f>
        <v>24459908.211608902</v>
      </c>
      <c r="P12" s="389">
        <f>'Лист2_прогнозные цены'!S23</f>
        <v>27667830.643323682</v>
      </c>
      <c r="Q12" s="98">
        <f>'Лист2_прогнозные цены'!T23</f>
        <v>31153864.083325144</v>
      </c>
      <c r="R12" s="98">
        <f>'Лист2_прогнозные цены'!U23</f>
        <v>34978940.155660242</v>
      </c>
      <c r="S12" s="98">
        <f>'Лист2_прогнозные цены'!V23</f>
        <v>39066909.117605746</v>
      </c>
      <c r="T12" s="98">
        <f>'Лист2_прогнозные цены'!W23</f>
        <v>42458924.943598807</v>
      </c>
      <c r="U12" s="98">
        <f>'Лист2_прогнозные цены'!X23</f>
        <v>46375857.969607837</v>
      </c>
      <c r="V12" s="98">
        <f>'Лист2_прогнозные цены'!Y23</f>
        <v>51003745.526263796</v>
      </c>
      <c r="W12" s="98">
        <f>'Лист2_прогнозные цены'!Z23</f>
        <v>56374879.17986457</v>
      </c>
      <c r="X12" s="98">
        <f>'Лист2_прогнозные цены'!AA23</f>
        <v>60364566.722023353</v>
      </c>
      <c r="Y12" s="98">
        <f>'Лист2_прогнозные цены'!AB23</f>
        <v>64473260.22036919</v>
      </c>
      <c r="Z12" s="98">
        <f>'Лист2_прогнозные цены'!AC23</f>
        <v>69306166.675556302</v>
      </c>
      <c r="AA12" s="98">
        <f>'Лист2_прогнозные цены'!AD23</f>
        <v>74538167.644120485</v>
      </c>
      <c r="AB12" s="98">
        <f>'Лист2_прогнозные цены'!AE23</f>
        <v>80754448.543603703</v>
      </c>
    </row>
    <row r="13" spans="1:28" x14ac:dyDescent="0.2">
      <c r="B13" t="s">
        <v>5</v>
      </c>
      <c r="C13" s="62">
        <f>'Лист2_прогнозные цены'!F32</f>
        <v>3589614.1999999997</v>
      </c>
      <c r="D13" s="62">
        <f>'Лист2_прогнозные цены'!G32</f>
        <v>4252787.9542679349</v>
      </c>
      <c r="E13" s="62">
        <f>'Лист2_прогнозные цены'!H32</f>
        <v>3113947.3132673013</v>
      </c>
      <c r="F13" s="62">
        <f>'Лист2_прогнозные цены'!I32</f>
        <v>1590849.5498618162</v>
      </c>
      <c r="G13" s="62">
        <f>'Лист2_прогнозные цены'!J32</f>
        <v>1990389.9448457144</v>
      </c>
      <c r="H13" s="62">
        <f>'Лист2_прогнозные цены'!K32</f>
        <v>2359133.1292728879</v>
      </c>
      <c r="I13" s="62">
        <f>'Лист2_прогнозные цены'!L32</f>
        <v>1936125.5565438024</v>
      </c>
      <c r="J13" s="62">
        <f>'Лист2_прогнозные цены'!M32</f>
        <v>1973739.5966344902</v>
      </c>
      <c r="K13" s="250">
        <f>'Лист2_прогнозные цены'!N32</f>
        <v>2340706.2726094564</v>
      </c>
      <c r="L13" s="98">
        <f>'Лист2_прогнозные цены'!O32</f>
        <v>2769973.5063384096</v>
      </c>
      <c r="M13" s="98">
        <f>'Лист2_прогнозные цены'!P32</f>
        <v>3306002.9990233909</v>
      </c>
      <c r="N13" s="98">
        <f>'Лист2_прогнозные цены'!Q32</f>
        <v>4100203.7285581501</v>
      </c>
      <c r="O13" s="98">
        <f>'Лист2_прогнозные цены'!R32</f>
        <v>4815707.6993479291</v>
      </c>
      <c r="P13" s="389">
        <f>'Лист2_прогнозные цены'!S32</f>
        <v>5592603.9973861407</v>
      </c>
      <c r="Q13" s="98">
        <f>'Лист2_прогнозные цены'!T32</f>
        <v>6533527.604713086</v>
      </c>
      <c r="R13" s="98">
        <f>'Лист2_прогнозные цены'!U32</f>
        <v>8371018.76743731</v>
      </c>
      <c r="S13" s="98">
        <f>'Лист2_прогнозные цены'!V32</f>
        <v>9244564.1684986558</v>
      </c>
      <c r="T13" s="98">
        <f>'Лист2_прогнозные цены'!W32</f>
        <v>10551120.856762458</v>
      </c>
      <c r="U13" s="98">
        <f>'Лист2_прогнозные цены'!X32</f>
        <v>11580740.56381572</v>
      </c>
      <c r="V13" s="98">
        <f>'Лист2_прогнозные цены'!Y32</f>
        <v>13265570.451155638</v>
      </c>
      <c r="W13" s="98">
        <f>'Лист2_прогнозные цены'!Z32</f>
        <v>14936613.899479462</v>
      </c>
      <c r="X13" s="98">
        <f>'Лист2_прогнозные цены'!AA32</f>
        <v>17475980.337106992</v>
      </c>
      <c r="Y13" s="98">
        <f>'Лист2_прогнозные цены'!AB32</f>
        <v>19289328.518992092</v>
      </c>
      <c r="Z13" s="98">
        <f>'Лист2_прогнозные цены'!AC32</f>
        <v>21249107.637727767</v>
      </c>
      <c r="AA13" s="98">
        <f>'Лист2_прогнозные цены'!AD32</f>
        <v>23501015.460754864</v>
      </c>
      <c r="AB13" s="98">
        <f>'Лист2_прогнозные цены'!AE32</f>
        <v>25900708.120472517</v>
      </c>
    </row>
    <row r="14" spans="1:28" x14ac:dyDescent="0.2">
      <c r="B14" t="s">
        <v>6</v>
      </c>
      <c r="C14" s="62">
        <f>'Лист2_прогнозные цены'!F41</f>
        <v>439706.81599999999</v>
      </c>
      <c r="D14" s="62">
        <f>'Лист2_прогнозные цены'!G41</f>
        <v>454880.56123087194</v>
      </c>
      <c r="E14" s="62">
        <f>'Лист2_прогнозные цены'!H41</f>
        <v>857865.65704467369</v>
      </c>
      <c r="F14" s="62">
        <f>'Лист2_прогнозные цены'!I41</f>
        <v>882565.03426563041</v>
      </c>
      <c r="G14" s="62">
        <f>'Лист2_прогнозные цены'!J41</f>
        <v>1057297.6209550046</v>
      </c>
      <c r="H14" s="62">
        <f>'Лист2_прогнозные цены'!K41</f>
        <v>1139677.0324450107</v>
      </c>
      <c r="I14" s="62">
        <f>'Лист2_прогнозные цены'!L41</f>
        <v>1279430.1218266645</v>
      </c>
      <c r="J14" s="62">
        <f>'Лист2_прогнозные цены'!M41</f>
        <v>1312767.7533331839</v>
      </c>
      <c r="K14" s="250">
        <f>'Лист2_прогнозные цены'!N41</f>
        <v>1478284.3864801116</v>
      </c>
      <c r="L14" s="98">
        <f>'Лист2_прогнозные цены'!O41</f>
        <v>1737560.5288213415</v>
      </c>
      <c r="M14" s="98">
        <f>'Лист2_прогнозные цены'!P41</f>
        <v>2088561.7168973666</v>
      </c>
      <c r="N14" s="98">
        <f>'Лист2_прогнозные цены'!Q41</f>
        <v>2527772.2397059775</v>
      </c>
      <c r="O14" s="98">
        <f>'Лист2_прогнозные цены'!R41</f>
        <v>2979675.5207864996</v>
      </c>
      <c r="P14" s="389">
        <f>'Лист2_прогнозные цены'!S41</f>
        <v>3317575.5386295682</v>
      </c>
      <c r="Q14" s="98">
        <f>'Лист2_прогнозные цены'!T41</f>
        <v>3753676.5963285575</v>
      </c>
      <c r="R14" s="98">
        <f>'Лист2_прогнозные цены'!U41</f>
        <v>4346637.4577874616</v>
      </c>
      <c r="S14" s="98">
        <f>'Лист2_прогнозные цены'!V41</f>
        <v>4936677.6970190238</v>
      </c>
      <c r="T14" s="98">
        <f>'Лист2_прогнозные цены'!W41</f>
        <v>5465244.6760823019</v>
      </c>
      <c r="U14" s="98">
        <f>'Лист2_прогнозные цены'!X41</f>
        <v>6089442.2004036568</v>
      </c>
      <c r="V14" s="98">
        <f>'Лист2_прогнозные цены'!Y41</f>
        <v>6856300.1113570333</v>
      </c>
      <c r="W14" s="98">
        <f>'Лист2_прогнозные цены'!Z41</f>
        <v>7792425.2940131389</v>
      </c>
      <c r="X14" s="98">
        <f>'Лист2_прогнозные цены'!AA41</f>
        <v>8816576.6586165521</v>
      </c>
      <c r="Y14" s="98">
        <f>'Лист2_прогнозные цены'!AB41</f>
        <v>9719438.2187878639</v>
      </c>
      <c r="Z14" s="98">
        <f>'Лист2_прогнозные цены'!AC41</f>
        <v>10659107.07451093</v>
      </c>
      <c r="AA14" s="98">
        <f>'Лист2_прогнозные цены'!AD41</f>
        <v>11741754.46000783</v>
      </c>
      <c r="AB14" s="98">
        <f>'Лист2_прогнозные цены'!AE41</f>
        <v>12897675.323666824</v>
      </c>
    </row>
    <row r="15" spans="1:28" x14ac:dyDescent="0.2">
      <c r="B15" t="s">
        <v>1</v>
      </c>
      <c r="C15" s="62">
        <f>'Лист2_прогнозные цены'!F51</f>
        <v>309721.45</v>
      </c>
      <c r="D15" s="62">
        <f>'Лист2_прогнозные цены'!G51</f>
        <v>365177.11183625</v>
      </c>
      <c r="E15" s="62">
        <f>'Лист2_прогнозные цены'!H51</f>
        <v>218329.04604963408</v>
      </c>
      <c r="F15" s="62">
        <f>'Лист2_прогнозные цены'!I51</f>
        <v>330170.93010414159</v>
      </c>
      <c r="G15" s="62">
        <f>'Лист2_прогнозные цены'!J51</f>
        <v>535675.99723214877</v>
      </c>
      <c r="H15" s="62">
        <f>'Лист2_прогнозные цены'!K51</f>
        <v>692414.86148757057</v>
      </c>
      <c r="I15" s="62">
        <f>'Лист2_прогнозные цены'!L51</f>
        <v>1761537.3524741437</v>
      </c>
      <c r="J15" s="62">
        <f>'Лист2_прогнозные цены'!M51</f>
        <v>2034440.3163366984</v>
      </c>
      <c r="K15" s="250">
        <f>'Лист2_прогнозные цены'!N51</f>
        <v>2325010.3127770172</v>
      </c>
      <c r="L15" s="98">
        <f>'Лист2_прогнозные цены'!O51</f>
        <v>2655033.9512657141</v>
      </c>
      <c r="M15" s="98">
        <f>'Лист2_прогнозные цены'!P51</f>
        <v>3223127.4701578221</v>
      </c>
      <c r="N15" s="98">
        <f>'Лист2_прогнозные цены'!Q51</f>
        <v>3803035.687981457</v>
      </c>
      <c r="O15" s="98">
        <f>'Лист2_прогнозные цены'!R51</f>
        <v>4483484.9977517631</v>
      </c>
      <c r="P15" s="389">
        <f>'Лист2_прогнозные цены'!S51</f>
        <v>5150906.9255590765</v>
      </c>
      <c r="Q15" s="98">
        <f>'Лист2_прогнозные цены'!T51</f>
        <v>6481380.8455274953</v>
      </c>
      <c r="R15" s="98">
        <f>'Лист2_прогнозные цены'!U51</f>
        <v>7218981.2734570177</v>
      </c>
      <c r="S15" s="98">
        <f>'Лист2_прогнозные цены'!V51</f>
        <v>8638554.4434751533</v>
      </c>
      <c r="T15" s="98">
        <f>'Лист2_прогнозные цены'!W51</f>
        <v>9271849.2326909881</v>
      </c>
      <c r="U15" s="98">
        <f>'Лист2_прогнозные цены'!X51</f>
        <v>10186003.829788724</v>
      </c>
      <c r="V15" s="98">
        <f>'Лист2_прогнозные цены'!Y51</f>
        <v>11318809.10159296</v>
      </c>
      <c r="W15" s="98">
        <f>'Лист2_прогнозные цены'!Z51</f>
        <v>13472299.896671062</v>
      </c>
      <c r="X15" s="98">
        <f>'Лист2_прогнозные цены'!AA51</f>
        <v>14541010.995605186</v>
      </c>
      <c r="Y15" s="98">
        <f>'Лист2_прогнозные цены'!AB51</f>
        <v>16370549.276674926</v>
      </c>
      <c r="Z15" s="98">
        <f>'Лист2_прогнозные цены'!AC51</f>
        <v>17917689.64644593</v>
      </c>
      <c r="AA15" s="98">
        <f>'Лист2_прогнозные цены'!AD51</f>
        <v>19686557.772159137</v>
      </c>
      <c r="AB15" s="98">
        <f>'Лист2_прогнозные цены'!AE51</f>
        <v>21583158.70656161</v>
      </c>
    </row>
    <row r="16" spans="1:28" x14ac:dyDescent="0.2">
      <c r="B16" t="s">
        <v>2</v>
      </c>
      <c r="C16" s="62">
        <f>'Лист2_прогнозные цены'!F61</f>
        <v>228924.55</v>
      </c>
      <c r="D16" s="62">
        <f>'Лист2_прогнозные цены'!G61</f>
        <v>248631.22508</v>
      </c>
      <c r="E16" s="62">
        <f>'Лист2_прогнозные цены'!H61</f>
        <v>240946.60875437205</v>
      </c>
      <c r="F16" s="62">
        <f>'Лист2_прогнозные цены'!I61</f>
        <v>184048.82579989612</v>
      </c>
      <c r="G16" s="62">
        <f>'Лист2_прогнозные цены'!J61</f>
        <v>170424.81881318954</v>
      </c>
      <c r="H16" s="62">
        <f>'Лист2_прогнозные цены'!K61</f>
        <v>212194.73192509729</v>
      </c>
      <c r="I16" s="62">
        <f>'Лист2_прогнозные цены'!L61</f>
        <v>319401.35096192331</v>
      </c>
      <c r="J16" s="62">
        <f>'Лист2_прогнозные цены'!M61</f>
        <v>384613.33578931098</v>
      </c>
      <c r="K16" s="250">
        <f>'Лист2_прогнозные цены'!N61</f>
        <v>579018.12809965538</v>
      </c>
      <c r="L16" s="98">
        <f>'Лист2_прогнозные цены'!O61</f>
        <v>665232.56630128599</v>
      </c>
      <c r="M16" s="98">
        <f>'Лист2_прогнозные цены'!P61</f>
        <v>786062.46298185829</v>
      </c>
      <c r="N16" s="98">
        <f>'Лист2_прогнозные цены'!Q61</f>
        <v>935398.17670023418</v>
      </c>
      <c r="O16" s="98">
        <f>'Лист2_прогнозные цены'!R61</f>
        <v>1084043.3318514989</v>
      </c>
      <c r="P16" s="389">
        <f>'Лист2_прогнозные цены'!S61</f>
        <v>1343039.2266391998</v>
      </c>
      <c r="Q16" s="98">
        <f>'Лист2_прогнозные цены'!T61</f>
        <v>1539716.741255638</v>
      </c>
      <c r="R16" s="98">
        <f>'Лист2_прогнозные цены'!U61</f>
        <v>1820807.1491440234</v>
      </c>
      <c r="S16" s="98">
        <f>'Лист2_прогнозные цены'!V61</f>
        <v>2038113.617178482</v>
      </c>
      <c r="T16" s="98">
        <f>'Лист2_прогнозные цены'!W61</f>
        <v>2244338.5666639018</v>
      </c>
      <c r="U16" s="98">
        <f>'Лист2_прогнозные цены'!X61</f>
        <v>2588020.304922109</v>
      </c>
      <c r="V16" s="98">
        <f>'Лист2_прогнозные цены'!Y61</f>
        <v>2827712.4905778556</v>
      </c>
      <c r="W16" s="98">
        <f>'Лист2_прогнозные цены'!Z61</f>
        <v>3179499.3725332217</v>
      </c>
      <c r="X16" s="98">
        <f>'Лист2_прогнозные цены'!AA61</f>
        <v>3571370.4944505743</v>
      </c>
      <c r="Y16" s="98">
        <f>'Лист2_прогнозные цены'!AB61</f>
        <v>3944026.9982900545</v>
      </c>
      <c r="Z16" s="98">
        <f>'Лист2_прогнозные цены'!AC61</f>
        <v>4310417.6531986259</v>
      </c>
      <c r="AA16" s="98">
        <f>'Лист2_прогнозные цены'!AD61</f>
        <v>4730889.3329343852</v>
      </c>
      <c r="AB16" s="98">
        <f>'Лист2_прогнозные цены'!AE61</f>
        <v>5180523.8688110495</v>
      </c>
    </row>
    <row r="19" spans="1:28" x14ac:dyDescent="0.2">
      <c r="L19" s="27"/>
    </row>
    <row r="20" spans="1:28" x14ac:dyDescent="0.2">
      <c r="A20" s="66" t="s">
        <v>53</v>
      </c>
    </row>
    <row r="22" spans="1:28" x14ac:dyDescent="0.2">
      <c r="C22" s="25">
        <v>2006</v>
      </c>
      <c r="D22" s="25">
        <v>2007</v>
      </c>
      <c r="E22" s="25">
        <v>2008</v>
      </c>
      <c r="F22" s="25">
        <v>2009</v>
      </c>
      <c r="G22" s="25">
        <v>2010</v>
      </c>
      <c r="H22" s="25">
        <v>2011</v>
      </c>
      <c r="I22" s="25">
        <v>2012</v>
      </c>
      <c r="J22" s="25">
        <v>2013</v>
      </c>
      <c r="K22" s="249">
        <v>2014</v>
      </c>
      <c r="L22" s="84">
        <v>2015</v>
      </c>
      <c r="M22" s="25">
        <v>2016</v>
      </c>
      <c r="N22" s="25">
        <v>2017</v>
      </c>
      <c r="O22" s="25">
        <v>2018</v>
      </c>
      <c r="P22" s="388">
        <v>2019</v>
      </c>
      <c r="Q22" s="25">
        <v>2020</v>
      </c>
      <c r="R22" s="25">
        <v>2021</v>
      </c>
      <c r="S22" s="25">
        <v>2022</v>
      </c>
      <c r="T22" s="25">
        <v>2023</v>
      </c>
      <c r="U22" s="25">
        <v>2024</v>
      </c>
      <c r="V22" s="25">
        <v>2025</v>
      </c>
      <c r="W22" s="25">
        <v>2026</v>
      </c>
      <c r="X22" s="25">
        <v>2027</v>
      </c>
      <c r="Y22" s="25">
        <v>2028</v>
      </c>
      <c r="Z22" s="25">
        <v>2029</v>
      </c>
      <c r="AA22" s="25">
        <v>2030</v>
      </c>
      <c r="AB22" s="25">
        <v>2031</v>
      </c>
    </row>
    <row r="23" spans="1:28" x14ac:dyDescent="0.2"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 s="248">
        <v>9</v>
      </c>
      <c r="L23" s="3">
        <v>10</v>
      </c>
      <c r="M23" s="3">
        <v>11</v>
      </c>
      <c r="N23" s="3">
        <v>12</v>
      </c>
      <c r="O23" s="3">
        <v>13</v>
      </c>
      <c r="P23" s="387">
        <v>14</v>
      </c>
      <c r="Q23" s="3">
        <v>15</v>
      </c>
      <c r="R23" s="3">
        <v>16</v>
      </c>
      <c r="S23" s="3">
        <v>17</v>
      </c>
      <c r="T23" s="3">
        <v>18</v>
      </c>
      <c r="U23" s="3">
        <v>19</v>
      </c>
      <c r="V23" s="3">
        <v>20</v>
      </c>
      <c r="W23" s="3">
        <v>21</v>
      </c>
      <c r="X23" s="3">
        <v>22</v>
      </c>
      <c r="Y23" s="3">
        <v>23</v>
      </c>
      <c r="Z23" s="3">
        <v>24</v>
      </c>
      <c r="AA23" s="3">
        <v>25</v>
      </c>
      <c r="AB23" s="3">
        <v>26</v>
      </c>
    </row>
    <row r="24" spans="1:28" s="3" customFormat="1" x14ac:dyDescent="0.2">
      <c r="A24" s="106"/>
      <c r="B24" s="3" t="s">
        <v>41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250">
        <v>0</v>
      </c>
      <c r="L24" s="98">
        <v>0</v>
      </c>
      <c r="M24" s="98">
        <v>0</v>
      </c>
      <c r="N24" s="98">
        <v>0</v>
      </c>
      <c r="O24" s="98">
        <v>0</v>
      </c>
      <c r="P24" s="389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</row>
    <row r="25" spans="1:28" x14ac:dyDescent="0.2">
      <c r="A25" s="106"/>
      <c r="B25" t="s">
        <v>3</v>
      </c>
      <c r="C25" s="62">
        <f>'Лист2_прогнозные цены'!F15</f>
        <v>332573.28000000003</v>
      </c>
      <c r="D25" s="62">
        <f>'Лист2_прогнозные цены'!G15</f>
        <v>408479.33510024438</v>
      </c>
      <c r="E25" s="62">
        <f>'Лист2_прогнозные цены'!H15</f>
        <v>526186.66606224701</v>
      </c>
      <c r="F25" s="62">
        <f>'Лист2_прогнозные цены'!I15</f>
        <v>585002.48398389819</v>
      </c>
      <c r="G25" s="62">
        <f>'Лист2_прогнозные цены'!J15</f>
        <v>625045.08736597991</v>
      </c>
      <c r="H25" s="62">
        <f>'Лист2_прогнозные цены'!K15</f>
        <v>642590.41175480746</v>
      </c>
      <c r="I25" s="62">
        <f>'Лист2_прогнозные цены'!L15</f>
        <v>906293.26735403202</v>
      </c>
      <c r="J25" s="62">
        <f>'Лист2_прогнозные цены'!M15</f>
        <v>1465083.2502922143</v>
      </c>
      <c r="K25" s="250">
        <f>'Лист2_прогнозные цены'!N15</f>
        <v>1709068.2096749849</v>
      </c>
      <c r="L25" s="296">
        <f>'Лист2_прогнозные цены'!O15</f>
        <v>1964891.7266209119</v>
      </c>
      <c r="M25" s="62">
        <f>'Лист2_прогнозные цены'!P15</f>
        <v>2294588.0938092633</v>
      </c>
      <c r="N25" s="62">
        <f>'Лист2_прогнозные цены'!Q15</f>
        <v>2688141.5648547388</v>
      </c>
      <c r="O25" s="62">
        <f>'Лист2_прогнозные цены'!R15</f>
        <v>3064753.9509344539</v>
      </c>
      <c r="P25" s="389">
        <f>'Лист2_прогнозные цены'!S15</f>
        <v>3347150.6649903115</v>
      </c>
      <c r="Q25" s="62">
        <f>'Лист2_прогнозные цены'!T15</f>
        <v>3636115.0535113239</v>
      </c>
      <c r="R25" s="62">
        <f>'Лист2_прогнозные цены'!U15</f>
        <v>3916868.7724053059</v>
      </c>
      <c r="S25" s="62">
        <f>'Лист2_прогнозные цены'!V15</f>
        <v>4159201.200332778</v>
      </c>
      <c r="T25" s="62">
        <f>'Лист2_прогнозные цены'!W15</f>
        <v>4517516.9763271613</v>
      </c>
      <c r="U25" s="62">
        <f>'Лист2_прогнозные цены'!X15</f>
        <v>4935553.8270917358</v>
      </c>
      <c r="V25" s="62">
        <f>'Лист2_прогнозные цены'!Y15</f>
        <v>5352536.527681632</v>
      </c>
      <c r="W25" s="62">
        <f>'Лист2_прогнозные цены'!Z15</f>
        <v>5808683.177594725</v>
      </c>
      <c r="X25" s="62">
        <f>'Лист2_прогнозные цены'!AA15</f>
        <v>6152160.4231925989</v>
      </c>
      <c r="Y25" s="62">
        <f>'Лист2_прогнозные цены'!AB15</f>
        <v>6414610.8309286078</v>
      </c>
      <c r="Z25" s="62">
        <f>'Лист2_прогнозные цены'!AC15</f>
        <v>6678848.4445332754</v>
      </c>
      <c r="AA25" s="62">
        <f>'Лист2_прогнозные цены'!AD15</f>
        <v>7005456.6339427857</v>
      </c>
      <c r="AB25" s="62">
        <f>'Лист2_прогнозные цены'!AE15</f>
        <v>7380479.0444676979</v>
      </c>
    </row>
    <row r="26" spans="1:28" x14ac:dyDescent="0.2">
      <c r="A26" s="106"/>
      <c r="B26" t="s">
        <v>29</v>
      </c>
      <c r="C26" s="62">
        <f>'Лист2_прогнозные цены'!F24</f>
        <v>2890680.0120000001</v>
      </c>
      <c r="D26" s="62">
        <f>'Лист2_прогнозные цены'!G24</f>
        <v>2841236.9321875609</v>
      </c>
      <c r="E26" s="62">
        <f>'Лист2_прогнозные цены'!H24</f>
        <v>3364512.5219734255</v>
      </c>
      <c r="F26" s="62">
        <f>'Лист2_прогнозные цены'!I24</f>
        <v>3449402.3802874475</v>
      </c>
      <c r="G26" s="62">
        <f>'Лист2_прогнозные цены'!J24</f>
        <v>3403998.8557136594</v>
      </c>
      <c r="H26" s="62">
        <f>'Лист2_прогнозные цены'!K24</f>
        <v>3783232.4805551497</v>
      </c>
      <c r="I26" s="62">
        <f>'Лист2_прогнозные цены'!L24</f>
        <v>3978430.9734983295</v>
      </c>
      <c r="J26" s="62">
        <f>'Лист2_прогнозные цены'!M24</f>
        <v>4085960.0071892161</v>
      </c>
      <c r="K26" s="250">
        <f>'Лист2_прогнозные цены'!N24</f>
        <v>4206781.6122447932</v>
      </c>
      <c r="L26" s="98">
        <f>'Лист2_прогнозные цены'!O24</f>
        <v>4839046.3328370862</v>
      </c>
      <c r="M26" s="98">
        <f>'Лист2_прогнозные цены'!P24</f>
        <v>5611028.5864500105</v>
      </c>
      <c r="N26" s="98">
        <f>'Лист2_прогнозные цены'!Q24</f>
        <v>6524763.8535928018</v>
      </c>
      <c r="O26" s="98">
        <f>'Лист2_прогнозные цены'!R24</f>
        <v>7391991.5219440749</v>
      </c>
      <c r="P26" s="389">
        <f>'Лист2_прогнозные цены'!S24</f>
        <v>8213462.5468952749</v>
      </c>
      <c r="Q26" s="98">
        <f>'Лист2_прогнозные цены'!T24</f>
        <v>9081688.7266433965</v>
      </c>
      <c r="R26" s="98">
        <f>'Лист2_прогнозные цены'!U24</f>
        <v>9918646.9169510994</v>
      </c>
      <c r="S26" s="98">
        <f>'Лист2_прогнозные цены'!V24</f>
        <v>10675003.26317797</v>
      </c>
      <c r="T26" s="98">
        <f>'Лист2_прогнозные цены'!W24</f>
        <v>11709293.726049967</v>
      </c>
      <c r="U26" s="98">
        <f>'Лист2_прогнозные цены'!X24</f>
        <v>12906837.766807303</v>
      </c>
      <c r="V26" s="98">
        <f>'Лист2_прогнозные цены'!Y24</f>
        <v>14065778.591640189</v>
      </c>
      <c r="W26" s="98">
        <f>'Лист2_прогнозные цены'!Z24</f>
        <v>15171656.57141502</v>
      </c>
      <c r="X26" s="98">
        <f>'Лист2_прогнозные цены'!AA24</f>
        <v>16094944.712603997</v>
      </c>
      <c r="Y26" s="98">
        <f>'Лист2_прогнозные цены'!AB24</f>
        <v>17029783.263087254</v>
      </c>
      <c r="Z26" s="98">
        <f>'Лист2_прогнозные цены'!AC24</f>
        <v>18135246.176588949</v>
      </c>
      <c r="AA26" s="98">
        <f>'Лист2_прогнозные цены'!AD24</f>
        <v>19453257.156975418</v>
      </c>
      <c r="AB26" s="98">
        <f>'Лист2_прогнозные цены'!AE24</f>
        <v>21020454.89298987</v>
      </c>
    </row>
    <row r="27" spans="1:28" x14ac:dyDescent="0.2">
      <c r="A27" s="106"/>
      <c r="B27" t="s">
        <v>5</v>
      </c>
      <c r="C27" s="62">
        <f>'Лист2_прогнозные цены'!F33</f>
        <v>1501118.1900000002</v>
      </c>
      <c r="D27" s="62">
        <f>'Лист2_прогнозные цены'!G33</f>
        <v>1826415.8397701744</v>
      </c>
      <c r="E27" s="62">
        <f>'Лист2_прогнозные цены'!H33</f>
        <v>2135906.8101700856</v>
      </c>
      <c r="F27" s="62">
        <f>'Лист2_прогнозные цены'!I33</f>
        <v>2145763.2855857653</v>
      </c>
      <c r="G27" s="62">
        <f>'Лист2_прогнозные цены'!J33</f>
        <v>2190588.5885242024</v>
      </c>
      <c r="H27" s="62">
        <f>'Лист2_прогнозные цены'!K33</f>
        <v>2224760.1969267209</v>
      </c>
      <c r="I27" s="62">
        <f>'Лист2_прогнозные цены'!L33</f>
        <v>2532237.3728219452</v>
      </c>
      <c r="J27" s="62">
        <f>'Лист2_прогнозные цены'!M33</f>
        <v>2995590.1382188783</v>
      </c>
      <c r="K27" s="250">
        <f>'Лист2_прогнозные цены'!N33</f>
        <v>3579505.2025673888</v>
      </c>
      <c r="L27" s="98">
        <f>'Лист2_прогнозные цены'!O33</f>
        <v>4273116.0071918843</v>
      </c>
      <c r="M27" s="98">
        <f>'Лист2_прогнозные цены'!P33</f>
        <v>5078230.0944436481</v>
      </c>
      <c r="N27" s="98">
        <f>'Лист2_прогнозные цены'!Q33</f>
        <v>6244798.395017691</v>
      </c>
      <c r="O27" s="98">
        <f>'Лист2_прогнозные цены'!R33</f>
        <v>7270765.1282159844</v>
      </c>
      <c r="P27" s="389">
        <f>'Лист2_прогнозные цены'!S33</f>
        <v>8294278.259646262</v>
      </c>
      <c r="Q27" s="98">
        <f>'Лист2_прогнозные цены'!T33</f>
        <v>9515153.1299965922</v>
      </c>
      <c r="R27" s="98">
        <f>'Лист2_прогнозные цены'!U33</f>
        <v>11858710.29924839</v>
      </c>
      <c r="S27" s="98">
        <f>'Лист2_прогнозные цены'!V33</f>
        <v>12619982.872345945</v>
      </c>
      <c r="T27" s="98">
        <f>'Лист2_прогнозные цены'!W33</f>
        <v>14536962.303994572</v>
      </c>
      <c r="U27" s="98">
        <f>'Лист2_прогнозные цены'!X33</f>
        <v>16101917.098471632</v>
      </c>
      <c r="V27" s="98">
        <f>'Лист2_прогнозные цены'!Y33</f>
        <v>18276835.248819802</v>
      </c>
      <c r="W27" s="98">
        <f>'Лист2_прогнозные цены'!Z33</f>
        <v>20082274.27172653</v>
      </c>
      <c r="X27" s="98">
        <f>'Лист2_прогнозные цены'!AA33</f>
        <v>23278892.177370664</v>
      </c>
      <c r="Y27" s="98">
        <f>'Лист2_прогнозные цены'!AB33</f>
        <v>25454229.68496225</v>
      </c>
      <c r="Z27" s="98">
        <f>'Лист2_прогнозные цены'!AC33</f>
        <v>27778298.022674266</v>
      </c>
      <c r="AA27" s="98">
        <f>'Лист2_прогнозные цены'!AD33</f>
        <v>30658980.102126718</v>
      </c>
      <c r="AB27" s="98">
        <f>'Лист2_прогнозные цены'!AE33</f>
        <v>33720099.850937888</v>
      </c>
    </row>
    <row r="28" spans="1:28" x14ac:dyDescent="0.2">
      <c r="A28" s="106"/>
      <c r="B28" t="s">
        <v>6</v>
      </c>
      <c r="C28" s="62">
        <f>'Лист2_прогнозные цены'!F42</f>
        <v>264903.21000000002</v>
      </c>
      <c r="D28" s="62">
        <f>'Лист2_прогнозные цены'!G42</f>
        <v>336601.64126553951</v>
      </c>
      <c r="E28" s="62">
        <f>'Лист2_прогнозные цены'!H42</f>
        <v>450609.8900702981</v>
      </c>
      <c r="F28" s="62">
        <f>'Лист2_прогнозные цены'!I42</f>
        <v>467960.59174344566</v>
      </c>
      <c r="G28" s="62">
        <f>'Лист2_прогнозные цены'!J42</f>
        <v>499020.43575285078</v>
      </c>
      <c r="H28" s="62">
        <f>'Лист2_прогнозные цены'!K42</f>
        <v>584794.28184821724</v>
      </c>
      <c r="I28" s="62">
        <f>'Лист2_прогнозные цены'!L42</f>
        <v>701081.90424695064</v>
      </c>
      <c r="J28" s="62">
        <f>'Лист2_прогнозные цены'!M42</f>
        <v>852611.55282000604</v>
      </c>
      <c r="K28" s="250">
        <f>'Лист2_прогнозные цены'!N42</f>
        <v>926497.78696357703</v>
      </c>
      <c r="L28" s="98">
        <f>'Лист2_прогнозные цены'!O42</f>
        <v>1098548.7336038675</v>
      </c>
      <c r="M28" s="98">
        <f>'Лист2_прогнозные цены'!P42</f>
        <v>1314821.3943265604</v>
      </c>
      <c r="N28" s="98">
        <f>'Лист2_прогнозные цены'!Q42</f>
        <v>1577833.7575232035</v>
      </c>
      <c r="O28" s="98">
        <f>'Лист2_прогнозные цены'!R42</f>
        <v>1843738.3428557885</v>
      </c>
      <c r="P28" s="389">
        <f>'Лист2_прогнозные цены'!S42</f>
        <v>2016488.1301078256</v>
      </c>
      <c r="Q28" s="98">
        <f>'Лист2_прогнозные цены'!T42</f>
        <v>2240449.8206653004</v>
      </c>
      <c r="R28" s="98">
        <f>'Лист2_прогнозные цены'!U42</f>
        <v>2523613.7189976783</v>
      </c>
      <c r="S28" s="98">
        <f>'Лист2_прогнозные цены'!V42</f>
        <v>2761960.1974385912</v>
      </c>
      <c r="T28" s="98">
        <f>'Лист2_прогнозные цены'!W42</f>
        <v>3085993.4064173033</v>
      </c>
      <c r="U28" s="98">
        <f>'Лист2_прогнозные цены'!X42</f>
        <v>3469996.8758005616</v>
      </c>
      <c r="V28" s="98">
        <f>'Лист2_прогнозные цены'!Y42</f>
        <v>3871463.8026477625</v>
      </c>
      <c r="W28" s="98">
        <f>'Лист2_прогнозные цены'!Z42</f>
        <v>4293818.7082739938</v>
      </c>
      <c r="X28" s="98">
        <f>'Лист2_прогнозные цены'!AA42</f>
        <v>4813168.5100800022</v>
      </c>
      <c r="Y28" s="98">
        <f>'Лист2_прогнозные цены'!AB42</f>
        <v>5256471.6907647131</v>
      </c>
      <c r="Z28" s="98">
        <f>'Лист2_прогнозные цены'!AC42</f>
        <v>5710788.5321544837</v>
      </c>
      <c r="AA28" s="98">
        <f>'Лист2_прогнозные цены'!AD42</f>
        <v>6281427.4754992062</v>
      </c>
      <c r="AB28" s="98">
        <f>'Лист2_прогнозные цены'!AE42</f>
        <v>6889487.1958031207</v>
      </c>
    </row>
    <row r="29" spans="1:28" x14ac:dyDescent="0.2">
      <c r="A29" s="106"/>
      <c r="B29" t="s">
        <v>1</v>
      </c>
      <c r="C29" s="62">
        <f>'Лист2_прогнозные цены'!F52</f>
        <v>229111.63199999998</v>
      </c>
      <c r="D29" s="62">
        <f>'Лист2_прогнозные цены'!G52</f>
        <v>250894.00262151388</v>
      </c>
      <c r="E29" s="62">
        <f>'Лист2_прогнозные цены'!H52</f>
        <v>323698.45984680468</v>
      </c>
      <c r="F29" s="62">
        <f>'Лист2_прогнозные цены'!I52</f>
        <v>341087.77471131715</v>
      </c>
      <c r="G29" s="62">
        <f>'Лист2_прогнозные цены'!J52</f>
        <v>356084.55919162557</v>
      </c>
      <c r="H29" s="62">
        <f>'Лист2_прогнозные цены'!K52</f>
        <v>413655.43343651976</v>
      </c>
      <c r="I29" s="62">
        <f>'Лист2_прогнозные цены'!L52</f>
        <v>473875.59760997968</v>
      </c>
      <c r="J29" s="62">
        <f>'Лист2_прогнозные цены'!M52</f>
        <v>539237.30055822025</v>
      </c>
      <c r="K29" s="250">
        <f>'Лист2_прогнозные цены'!N52</f>
        <v>610751.87932366738</v>
      </c>
      <c r="L29" s="98">
        <f>'Лист2_прогнозные цены'!O52</f>
        <v>703563.00706638023</v>
      </c>
      <c r="M29" s="62">
        <f>'Лист2_прогнозные цены'!P52</f>
        <v>850453.28427519382</v>
      </c>
      <c r="N29" s="62">
        <f>'Лист2_прогнозные цены'!Q52</f>
        <v>994963.70007085754</v>
      </c>
      <c r="O29" s="62">
        <f>'Лист2_прогнозные цены'!R52</f>
        <v>1162785.392688324</v>
      </c>
      <c r="P29" s="389">
        <f>'Лист2_прогнозные цены'!S52</f>
        <v>1312236.4114660809</v>
      </c>
      <c r="Q29" s="62">
        <f>'Лист2_прогнозные цены'!T52</f>
        <v>1621434.6224281604</v>
      </c>
      <c r="R29" s="62">
        <f>'Лист2_прогнозные цены'!U52</f>
        <v>1756705.2883305603</v>
      </c>
      <c r="S29" s="62">
        <f>'Лист2_прогнозные цены'!V52</f>
        <v>2025709.8891618024</v>
      </c>
      <c r="T29" s="62">
        <f>'Лист2_прогнозные цены'!W52</f>
        <v>2194346.8577915006</v>
      </c>
      <c r="U29" s="62">
        <f>'Лист2_прогнозные цены'!X52</f>
        <v>2432814.1793114296</v>
      </c>
      <c r="V29" s="62">
        <f>'Лист2_прогнозные цены'!Y52</f>
        <v>2678796.0591992647</v>
      </c>
      <c r="W29" s="62">
        <f>'Лист2_прогнозные цены'!Z52</f>
        <v>3111475.1036189357</v>
      </c>
      <c r="X29" s="62">
        <f>'Лист2_прогнозные цены'!AA52</f>
        <v>3327202.3463351787</v>
      </c>
      <c r="Y29" s="62">
        <f>'Лист2_прогнозные цены'!AB52</f>
        <v>3710820.5225115828</v>
      </c>
      <c r="Z29" s="62">
        <f>'Лист2_прогнозные цены'!AC52</f>
        <v>4023562.907454561</v>
      </c>
      <c r="AA29" s="62">
        <f>'Лист2_прогнозные цены'!AD52</f>
        <v>4416645.0616576308</v>
      </c>
      <c r="AB29" s="62">
        <f>'Лист2_прогнозные цены'!AE52</f>
        <v>4837618.8205196485</v>
      </c>
    </row>
    <row r="30" spans="1:28" x14ac:dyDescent="0.2">
      <c r="A30" s="106"/>
      <c r="B30" t="s">
        <v>2</v>
      </c>
      <c r="C30" s="62">
        <f>'Лист2_прогнозные цены'!F62</f>
        <v>188331.53039999999</v>
      </c>
      <c r="D30" s="62">
        <f>'Лист2_прогнозные цены'!G62</f>
        <v>237092.95404071725</v>
      </c>
      <c r="E30" s="62">
        <f>'Лист2_прогнозные цены'!H62</f>
        <v>306239.87459491414</v>
      </c>
      <c r="F30" s="62">
        <f>'Лист2_прогнозные цены'!I62</f>
        <v>320213.90182467608</v>
      </c>
      <c r="G30" s="62">
        <f>'Лист2_прогнозные цены'!J62</f>
        <v>422937.57205575565</v>
      </c>
      <c r="H30" s="62">
        <f>'Лист2_прогнозные цены'!K62</f>
        <v>462310.65059320448</v>
      </c>
      <c r="I30" s="62">
        <f>'Лист2_прогнозные цены'!L62</f>
        <v>518711.50757054106</v>
      </c>
      <c r="J30" s="62">
        <f>'Лист2_прогнозные цены'!M62</f>
        <v>617296.76131680701</v>
      </c>
      <c r="K30" s="250">
        <f>'Лист2_прогнозные цены'!N62</f>
        <v>721461.87230315071</v>
      </c>
      <c r="L30" s="98">
        <f>'Лист2_прогнозные цены'!O62</f>
        <v>836156.77768202929</v>
      </c>
      <c r="M30" s="98">
        <f>'Лист2_прогнозные цены'!P62</f>
        <v>983810.22950519598</v>
      </c>
      <c r="N30" s="98">
        <f>'Лист2_прогнозные цены'!Q62</f>
        <v>1160792.6502760076</v>
      </c>
      <c r="O30" s="98">
        <f>'Лист2_прогнозные цены'!R62</f>
        <v>1333557.6158050664</v>
      </c>
      <c r="P30" s="389">
        <f>'Лист2_прогнозные цены'!S62</f>
        <v>1622924.7161485292</v>
      </c>
      <c r="Q30" s="98">
        <f>'Лист2_прогнозные цены'!T62</f>
        <v>1827065.1251004054</v>
      </c>
      <c r="R30" s="98">
        <f>'Лист2_прогнозные цены'!U62</f>
        <v>2101687.9706618222</v>
      </c>
      <c r="S30" s="98">
        <f>'Лист2_прогнозные цены'!V62</f>
        <v>2266970.4509516084</v>
      </c>
      <c r="T30" s="98">
        <f>'Лист2_прогнозные цены'!W62</f>
        <v>2519466.4734137668</v>
      </c>
      <c r="U30" s="98">
        <f>'Лист2_прогнозные цены'!X62</f>
        <v>2931933.2434086115</v>
      </c>
      <c r="V30" s="98">
        <f>'Лист2_прогнозные цены'!Y62</f>
        <v>3174354.7619262324</v>
      </c>
      <c r="W30" s="98">
        <f>'Лист2_прогнозные цены'!Z62</f>
        <v>3483089.4458584166</v>
      </c>
      <c r="X30" s="98">
        <f>'Лист2_прогнозные цены'!AA62</f>
        <v>3876152.1158559541</v>
      </c>
      <c r="Y30" s="98">
        <f>'Лист2_прогнозные цены'!AB62</f>
        <v>4240605.503528513</v>
      </c>
      <c r="Z30" s="98">
        <f>'Лист2_прогнозные цены'!AC62</f>
        <v>4591234.0618349547</v>
      </c>
      <c r="AA30" s="98">
        <f>'Лист2_прогнозные цены'!AD62</f>
        <v>5037214.9840262309</v>
      </c>
      <c r="AB30" s="98">
        <f>'Лист2_прогнозные цены'!AE62</f>
        <v>5513901.3675731393</v>
      </c>
    </row>
    <row r="34" spans="1:28" x14ac:dyDescent="0.2">
      <c r="B34" s="4" t="s">
        <v>34</v>
      </c>
    </row>
    <row r="36" spans="1:28" x14ac:dyDescent="0.2">
      <c r="A36" s="25" t="s">
        <v>38</v>
      </c>
    </row>
    <row r="37" spans="1:28" s="25" customFormat="1" x14ac:dyDescent="0.2">
      <c r="C37" s="25">
        <v>2006</v>
      </c>
      <c r="D37" s="25">
        <v>2007</v>
      </c>
      <c r="E37" s="25">
        <v>2008</v>
      </c>
      <c r="F37" s="25">
        <v>2009</v>
      </c>
      <c r="G37" s="25">
        <v>2010</v>
      </c>
      <c r="H37" s="25">
        <v>2011</v>
      </c>
      <c r="I37" s="25">
        <v>2012</v>
      </c>
      <c r="J37" s="25">
        <v>2013</v>
      </c>
      <c r="K37" s="249">
        <v>2014</v>
      </c>
      <c r="L37" s="84">
        <v>2015</v>
      </c>
      <c r="M37" s="25">
        <v>2016</v>
      </c>
      <c r="N37" s="25">
        <v>2017</v>
      </c>
      <c r="O37" s="25">
        <v>2018</v>
      </c>
      <c r="P37" s="388">
        <v>2019</v>
      </c>
      <c r="Q37" s="25">
        <v>2020</v>
      </c>
      <c r="R37" s="25">
        <v>2021</v>
      </c>
      <c r="S37" s="25">
        <v>2022</v>
      </c>
      <c r="T37" s="25">
        <v>2023</v>
      </c>
      <c r="U37" s="25">
        <v>2024</v>
      </c>
      <c r="V37" s="25">
        <v>2025</v>
      </c>
      <c r="W37" s="25">
        <v>2026</v>
      </c>
      <c r="X37" s="25">
        <v>2027</v>
      </c>
      <c r="Y37" s="25">
        <v>2028</v>
      </c>
      <c r="Z37" s="25">
        <v>2029</v>
      </c>
      <c r="AA37" s="25">
        <v>2030</v>
      </c>
      <c r="AB37" s="25">
        <v>2031</v>
      </c>
    </row>
    <row r="38" spans="1:28" x14ac:dyDescent="0.2">
      <c r="B38" t="s">
        <v>43</v>
      </c>
      <c r="C38" s="105">
        <f>'Лист2_прогнозные цены'!F5</f>
        <v>21169000</v>
      </c>
      <c r="D38" s="38">
        <f>'Лист2_прогнозные цены'!G5</f>
        <v>21241429</v>
      </c>
      <c r="E38" s="38">
        <f>'Лист2_прогнозные цены'!H5</f>
        <v>21387661.283999998</v>
      </c>
      <c r="F38" s="38">
        <f>'Лист2_прогнозные цены'!I5</f>
        <v>21475591.993728001</v>
      </c>
      <c r="G38" s="38">
        <f>'Лист2_прогнозные цены'!J5</f>
        <v>21531013.073790722</v>
      </c>
      <c r="H38" s="38">
        <f>'Лист2_прогнозные цены'!K5</f>
        <v>21652238.982274186</v>
      </c>
      <c r="I38" s="38">
        <f>'Лист2_прогнозные цены'!L5</f>
        <v>21822583.787362814</v>
      </c>
      <c r="J38" s="38">
        <f>'Лист2_прогнозные цены'!M5</f>
        <v>21812319.606017236</v>
      </c>
      <c r="K38" s="251">
        <f>'Лист2_прогнозные цены'!N5</f>
        <v>22005299.007987153</v>
      </c>
      <c r="L38" s="76">
        <f>'Лист2_прогнозные цены'!O5</f>
        <v>22012778.153153867</v>
      </c>
      <c r="M38" s="76">
        <f>'Лист2_прогнозные цены'!P5</f>
        <v>21982628.814292572</v>
      </c>
      <c r="N38" s="76">
        <f>'Лист2_прогнозные цены'!Q5</f>
        <v>21930328.739728644</v>
      </c>
      <c r="O38" s="76">
        <f>'Лист2_прогнозные цены'!R5</f>
        <v>21870370.325704217</v>
      </c>
      <c r="P38" s="390">
        <f>'Лист2_прогнозные цены'!S5</f>
        <v>22268564.93662123</v>
      </c>
      <c r="Q38" s="76">
        <f>'Лист2_прогнозные цены'!T5</f>
        <v>22652723.192067247</v>
      </c>
      <c r="R38" s="76">
        <f>'Лист2_прогнозные цены'!U5</f>
        <v>23022303.254680354</v>
      </c>
      <c r="S38" s="76">
        <f>'Лист2_прогнозные цены'!V5</f>
        <v>23226165.347984858</v>
      </c>
      <c r="T38" s="76">
        <f>'Лист2_прогнозные цены'!W5</f>
        <v>23392321.590453926</v>
      </c>
      <c r="U38" s="76">
        <f>'Лист2_прогнозные цены'!X5</f>
        <v>23467658.610891886</v>
      </c>
      <c r="V38" s="76">
        <f>'Лист2_прогнозные цены'!Y5</f>
        <v>23525364.52677438</v>
      </c>
      <c r="W38" s="76">
        <f>'Лист2_прогнозные цены'!Z5</f>
        <v>23578010.479549527</v>
      </c>
      <c r="X38" s="76">
        <f>'Лист2_прогнозные цены'!AA5</f>
        <v>23699773.137530677</v>
      </c>
      <c r="Y38" s="76">
        <f>'Лист2_прогнозные цены'!AB5</f>
        <v>23927116.136268113</v>
      </c>
      <c r="Z38" s="76">
        <f>'Лист2_прогнозные цены'!AC5</f>
        <v>24226400.943038341</v>
      </c>
      <c r="AA38" s="76">
        <f>'Лист2_прогнозные цены'!AD5</f>
        <v>24616620.846448045</v>
      </c>
      <c r="AB38" s="76">
        <f>'Лист2_прогнозные цены'!AE5</f>
        <v>24892000.431018393</v>
      </c>
    </row>
    <row r="39" spans="1:28" x14ac:dyDescent="0.2">
      <c r="B39" t="s">
        <v>47</v>
      </c>
      <c r="C39" s="38">
        <f>'Лист2_прогнозные цены'!F13</f>
        <v>40900</v>
      </c>
      <c r="D39" s="38">
        <f>'Лист2_прогнозные цены'!G13</f>
        <v>43540</v>
      </c>
      <c r="E39" s="38">
        <f>'Лист2_прогнозные цены'!H13</f>
        <v>45250.22</v>
      </c>
      <c r="F39" s="38">
        <f>'Лист2_прогнозные цены'!I13</f>
        <v>45824.717800000006</v>
      </c>
      <c r="G39" s="38">
        <f>'Лист2_прогнозные цены'!J13</f>
        <v>46506.068364400009</v>
      </c>
      <c r="H39" s="38">
        <f>'Лист2_прогнозные цены'!K13</f>
        <v>47218.056227671208</v>
      </c>
      <c r="I39" s="38">
        <f>'Лист2_прогнозные цены'!L13</f>
        <v>48432.838171443538</v>
      </c>
      <c r="J39" s="38">
        <f>'Лист2_прогнозные цены'!M13</f>
        <v>50661.405333272101</v>
      </c>
      <c r="K39" s="251">
        <f>'Лист2_прогнозные цены'!N13</f>
        <v>53151.791279939374</v>
      </c>
      <c r="L39" s="76">
        <f>'Лист2_прогнозные цены'!O13</f>
        <v>53137.276715701468</v>
      </c>
      <c r="M39" s="76">
        <f>'Лист2_прогнозные цены'!P13</f>
        <v>53264.699283755705</v>
      </c>
      <c r="N39" s="76">
        <f>'Лист2_прогнозные цены'!Q13</f>
        <v>53333.614571249716</v>
      </c>
      <c r="O39" s="76">
        <f>'Лист2_прогнозные цены'!R13</f>
        <v>53338.358272223653</v>
      </c>
      <c r="P39" s="390">
        <f>'Лист2_прогнозные цены'!S13</f>
        <v>52480.300542143275</v>
      </c>
      <c r="Q39" s="76">
        <f>'Лист2_прогнозные цены'!T13</f>
        <v>52303.670890303394</v>
      </c>
      <c r="R39" s="76">
        <f>'Лист2_прогнозные цены'!U13</f>
        <v>52656.234340862924</v>
      </c>
      <c r="S39" s="76">
        <f>'Лист2_прогнозные цены'!V13</f>
        <v>52749.074074229153</v>
      </c>
      <c r="T39" s="76">
        <f>'Лист2_прогнозные цены'!W13</f>
        <v>52562.765432287168</v>
      </c>
      <c r="U39" s="76">
        <f>'Лист2_прогнозные цены'!X13</f>
        <v>52206.144427509935</v>
      </c>
      <c r="V39" s="76">
        <f>'Лист2_прогнозные цены'!Y13</f>
        <v>51942.024129554418</v>
      </c>
      <c r="W39" s="76">
        <f>'Лист2_прогнозные цены'!Z13</f>
        <v>52038.91918815946</v>
      </c>
      <c r="X39" s="76">
        <f>'Лист2_прогнозные цены'!AA13</f>
        <v>51510.34426123491</v>
      </c>
      <c r="Y39" s="76">
        <f>'Лист2_прогнозные цены'!AB13</f>
        <v>50667.706809746385</v>
      </c>
      <c r="Z39" s="76">
        <f>'Лист2_прогнозные цены'!AC13</f>
        <v>49768.741507456645</v>
      </c>
      <c r="AA39" s="76">
        <f>'Лист2_прогнозные цены'!AD13</f>
        <v>48970.474781308287</v>
      </c>
      <c r="AB39" s="76">
        <f>'Лист2_прогнозные цены'!AE13</f>
        <v>48397.75451999822</v>
      </c>
    </row>
    <row r="40" spans="1:28" x14ac:dyDescent="0.2">
      <c r="B40" t="s">
        <v>48</v>
      </c>
      <c r="C40" s="21">
        <f>'Лист2_прогнозные цены'!F22</f>
        <v>198878</v>
      </c>
      <c r="D40" s="21">
        <f>'Лист2_прогнозные цены'!G22</f>
        <v>190776.1</v>
      </c>
      <c r="E40" s="21">
        <f>'Лист2_прогнозные цены'!H22</f>
        <v>184004.17550000001</v>
      </c>
      <c r="F40" s="21">
        <f>'Лист2_прогнозные цены'!I22</f>
        <v>180768.09199000002</v>
      </c>
      <c r="G40" s="21">
        <f>'Лист2_прогнозные цены'!J22</f>
        <v>176089.04923030001</v>
      </c>
      <c r="H40" s="21">
        <f>'Лист2_прогнозные цены'!K22</f>
        <v>175725.158737997</v>
      </c>
      <c r="I40" s="21">
        <f>'Лист2_прогнозные цены'!L22</f>
        <v>170577.06431802158</v>
      </c>
      <c r="J40" s="21">
        <f>'Лист2_прогнозные цены'!M22</f>
        <v>162674.03403626775</v>
      </c>
      <c r="K40" s="252">
        <f>'Лист2_прогнозные цены'!N22</f>
        <v>150886.75312784433</v>
      </c>
      <c r="L40" s="77">
        <f>'Лист2_прогнозные цены'!O22</f>
        <v>150925.66090898652</v>
      </c>
      <c r="M40" s="27">
        <f>'Лист2_прогнозные цены'!P22</f>
        <v>150217.2689171964</v>
      </c>
      <c r="N40" s="27">
        <f>'Лист2_прогнозные цены'!Q22</f>
        <v>149298.79996813563</v>
      </c>
      <c r="O40" s="27">
        <f>'Лист2_прогнозные цены'!R22</f>
        <v>148370.69382483599</v>
      </c>
      <c r="P40" s="391">
        <f>'Лист2_прогнозные цены'!S22</f>
        <v>148521.71991048308</v>
      </c>
      <c r="Q40" s="27">
        <f>'Лист2_прогнозные цены'!T22</f>
        <v>150662.02598673329</v>
      </c>
      <c r="R40" s="27">
        <f>'Лист2_прогнозные цены'!U22</f>
        <v>153782.11997964108</v>
      </c>
      <c r="S40" s="27">
        <f>'Лист2_прогнозные цены'!V22</f>
        <v>156140.49946058518</v>
      </c>
      <c r="T40" s="27">
        <f>'Лист2_прогнозные цены'!W22</f>
        <v>157127.33702903311</v>
      </c>
      <c r="U40" s="27">
        <f>'Лист2_прогнозные цены'!X22</f>
        <v>157452.01245589936</v>
      </c>
      <c r="V40" s="27">
        <f>'Лист2_прогнозные цены'!Y22</f>
        <v>157422.07902383653</v>
      </c>
      <c r="W40" s="27">
        <f>'Лист2_прогнозные цены'!Z22</f>
        <v>156756.73845112318</v>
      </c>
      <c r="X40" s="27">
        <f>'Лист2_прогнозные цены'!AA22</f>
        <v>155417.14506170229</v>
      </c>
      <c r="Y40" s="27">
        <f>'Лист2_прогнозные цены'!AB22</f>
        <v>155136.03705944936</v>
      </c>
      <c r="Z40" s="27">
        <f>'Лист2_прогнозные цены'!AC22</f>
        <v>155855.15180047657</v>
      </c>
      <c r="AA40" s="27">
        <f>'Лист2_прогнозные цены'!AD22</f>
        <v>156654.98469078451</v>
      </c>
      <c r="AB40" s="27">
        <f>'Лист2_прогнозные цены'!AE22</f>
        <v>158616.43484387666</v>
      </c>
    </row>
    <row r="41" spans="1:28" x14ac:dyDescent="0.2">
      <c r="B41" t="s">
        <v>28</v>
      </c>
      <c r="C41" s="21">
        <f>'Лист2_прогнозные цены'!F31</f>
        <v>15560</v>
      </c>
      <c r="D41" s="21">
        <f>'Лист2_прогнозные цены'!G31</f>
        <v>15602.620564798397</v>
      </c>
      <c r="E41" s="21">
        <f>'Лист2_прогнозные цены'!H31</f>
        <v>14376.397816790533</v>
      </c>
      <c r="F41" s="21">
        <f>'Лист2_прогнозные цены'!I31</f>
        <v>13297.077304789347</v>
      </c>
      <c r="G41" s="21">
        <f>'Лист2_прогнозные цены'!J31</f>
        <v>12930.194212597775</v>
      </c>
      <c r="H41" s="21">
        <f>'Лист2_прогнозные цены'!K31</f>
        <v>12431.684501967888</v>
      </c>
      <c r="I41" s="21">
        <f>'Лист2_прогнозные цены'!L31</f>
        <v>12381.100276869494</v>
      </c>
      <c r="J41" s="21">
        <f>'Лист2_прогнозные цены'!M31</f>
        <v>12333.990249182545</v>
      </c>
      <c r="K41" s="252">
        <f>'Лист2_прогнозные цены'!N31</f>
        <v>13277.65034669072</v>
      </c>
      <c r="L41" s="77">
        <f>'Лист2_прогнозные цены'!O31</f>
        <v>13783.041782871485</v>
      </c>
      <c r="M41" s="27">
        <f>'Лист2_прогнозные цены'!P31</f>
        <v>14060.04915220875</v>
      </c>
      <c r="N41" s="27">
        <f>'Лист2_прогнозные цены'!Q31</f>
        <v>14777.706086916298</v>
      </c>
      <c r="O41" s="27">
        <f>'Лист2_прогнозные цены'!R31</f>
        <v>15092.593206865935</v>
      </c>
      <c r="P41" s="391">
        <f>'Лист2_прогнозные цены'!S31</f>
        <v>15510.984839225421</v>
      </c>
      <c r="Q41" s="27">
        <f>'Лист2_прогнозные цены'!T31</f>
        <v>16324.882202487845</v>
      </c>
      <c r="R41" s="27">
        <f>'Лист2_прогнозные цены'!U31</f>
        <v>19014.633380462965</v>
      </c>
      <c r="S41" s="27">
        <f>'Лист2_прогнозные цены'!V31</f>
        <v>19089.888720913928</v>
      </c>
      <c r="T41" s="27">
        <f>'Лист2_прогнозные цены'!W31</f>
        <v>20173.989833704789</v>
      </c>
      <c r="U41" s="27">
        <f>'Лист2_прогнозные цены'!X31</f>
        <v>20314.354855932383</v>
      </c>
      <c r="V41" s="27">
        <f>'Лист2_прогнозные цены'!Y31</f>
        <v>21154.362752393445</v>
      </c>
      <c r="W41" s="27">
        <f>'Лист2_прогнозные цены'!Z31</f>
        <v>21458.689368359155</v>
      </c>
      <c r="X41" s="27">
        <f>'Лист2_прогнозные цены'!AA31</f>
        <v>23247.102474675565</v>
      </c>
      <c r="Y41" s="27">
        <f>'Лист2_прогнозные цены'!AB31</f>
        <v>23980.631449928809</v>
      </c>
      <c r="Z41" s="27">
        <f>'Лист2_прогнозные цены'!AC31</f>
        <v>24688.825135429521</v>
      </c>
      <c r="AA41" s="27">
        <f>'Лист2_прогнозные цены'!AD31</f>
        <v>25518.936884075229</v>
      </c>
      <c r="AB41" s="27">
        <f>'Лист2_прогнозные цены'!AE31</f>
        <v>26284.747515234478</v>
      </c>
    </row>
    <row r="42" spans="1:28" x14ac:dyDescent="0.2">
      <c r="B42" t="s">
        <v>44</v>
      </c>
      <c r="C42" s="21">
        <f>'Лист2_прогнозные цены'!F40</f>
        <v>25612</v>
      </c>
      <c r="D42" s="21">
        <f>'Лист2_прогнозные цены'!G40</f>
        <v>26821.043999999998</v>
      </c>
      <c r="E42" s="21">
        <f>'Лист2_прогнозные цены'!H40</f>
        <v>28289.812433999996</v>
      </c>
      <c r="F42" s="21">
        <f>'Лист2_прогнозные цены'!I40</f>
        <v>27048.627439279993</v>
      </c>
      <c r="G42" s="21">
        <f>'Лист2_прогнозные цены'!J40</f>
        <v>27474.141164887194</v>
      </c>
      <c r="H42" s="21">
        <f>'Лист2_прогнозные цены'!K40</f>
        <v>28447.770459062762</v>
      </c>
      <c r="I42" s="21">
        <f>'Лист2_прогнозные цены'!L40</f>
        <v>28420.559879032771</v>
      </c>
      <c r="J42" s="21">
        <f>'Лист2_прогнозные цены'!M40</f>
        <v>27049.531885081135</v>
      </c>
      <c r="K42" s="252">
        <f>'Лист2_прогнозные цены'!N40</f>
        <v>26480.729692581252</v>
      </c>
      <c r="L42" s="77">
        <f>'Лист2_прогнозные цены'!O40</f>
        <v>27302.791294093044</v>
      </c>
      <c r="M42" s="27">
        <f>'Лист2_прогнозные цены'!P40</f>
        <v>28049.721805747828</v>
      </c>
      <c r="N42" s="27">
        <f>'Лист2_прогнозные цены'!Q40</f>
        <v>28769.822199344813</v>
      </c>
      <c r="O42" s="27">
        <f>'Лист2_прогнозные цены'!R40</f>
        <v>29489.701092187624</v>
      </c>
      <c r="P42" s="391">
        <f>'Лист2_прогнозные цены'!S40</f>
        <v>29056.531714904602</v>
      </c>
      <c r="Q42" s="27">
        <f>'Лист2_прогнозные цены'!T40</f>
        <v>29618.074952227507</v>
      </c>
      <c r="R42" s="27">
        <f>'Лист2_прогнозные цены'!U40</f>
        <v>31178.894202705233</v>
      </c>
      <c r="S42" s="27">
        <f>'Лист2_прогнозные цены'!V40</f>
        <v>32192.105260678181</v>
      </c>
      <c r="T42" s="27">
        <f>'Лист2_прогнозные цены'!W40</f>
        <v>32998.975688019898</v>
      </c>
      <c r="U42" s="27">
        <f>'Лист2_прогнозные цены'!X40</f>
        <v>33731.982324316334</v>
      </c>
      <c r="V42" s="27">
        <f>'Лист2_прогнозные цены'!Y40</f>
        <v>34527.209935310464</v>
      </c>
      <c r="W42" s="27">
        <f>'Лист2_прогнозные цены'!Z40</f>
        <v>35352.598006700864</v>
      </c>
      <c r="X42" s="27">
        <f>'Лист2_прогнозные цены'!AA40</f>
        <v>37036.072026633854</v>
      </c>
      <c r="Y42" s="27">
        <f>'Лист2_прогнозные цены'!AB40</f>
        <v>38157.711306367521</v>
      </c>
      <c r="Z42" s="27">
        <f>'Лист2_прогнозные цены'!AC40</f>
        <v>39109.134193303849</v>
      </c>
      <c r="AA42" s="27">
        <f>'Лист2_прогнозные цены'!AD40</f>
        <v>40263.04285137081</v>
      </c>
      <c r="AB42" s="27">
        <f>'Лист2_прогнозные цены'!AE40</f>
        <v>41333.412422857102</v>
      </c>
    </row>
    <row r="43" spans="1:28" x14ac:dyDescent="0.2">
      <c r="B43" t="s">
        <v>45</v>
      </c>
      <c r="C43" s="38">
        <f>'Лист2_прогнозные цены'!F50</f>
        <v>125500</v>
      </c>
      <c r="D43" s="38">
        <f>'Лист2_прогнозные цены'!G50</f>
        <v>128275</v>
      </c>
      <c r="E43" s="38">
        <f>'Лист2_прогнозные цены'!H50</f>
        <v>131475.17499999999</v>
      </c>
      <c r="F43" s="38">
        <f>'Лист2_прогнозные цены'!I50</f>
        <v>132811.79912500002</v>
      </c>
      <c r="G43" s="38">
        <f>'Лист2_прогнозные цены'!J50</f>
        <v>136033.17552675001</v>
      </c>
      <c r="H43" s="38">
        <f>'Лист2_прогнозные цены'!K50</f>
        <v>142777.1091756965</v>
      </c>
      <c r="I43" s="38">
        <f>'Лист2_прогнозные цены'!L50</f>
        <v>148693.33808393954</v>
      </c>
      <c r="J43" s="38">
        <f>'Лист2_прогнозные цены'!M50</f>
        <v>155102.40470310015</v>
      </c>
      <c r="K43" s="251">
        <f>'Лист2_прогнозные цены'!N50</f>
        <v>158263.38065606914</v>
      </c>
      <c r="L43" s="76">
        <f>'Лист2_прогнозные цены'!O50</f>
        <v>158533.40315999518</v>
      </c>
      <c r="M43" s="76">
        <f>'Лист2_прогнозные цены'!P50</f>
        <v>164491.06912839523</v>
      </c>
      <c r="N43" s="76">
        <f>'Лист2_прогнозные цены'!Q50</f>
        <v>164480.05227722609</v>
      </c>
      <c r="O43" s="76">
        <f>'Лист2_прогнозные цены'!R50</f>
        <v>168616.75029649184</v>
      </c>
      <c r="P43" s="390">
        <f>'Лист2_прогнозные цены'!S50</f>
        <v>171431.35312555547</v>
      </c>
      <c r="Q43" s="76">
        <f>'Лист2_прогнозные цены'!T50</f>
        <v>194335.03959429992</v>
      </c>
      <c r="R43" s="76">
        <f>'Лист2_прогнозные цены'!U50</f>
        <v>196773.58674072404</v>
      </c>
      <c r="S43" s="76">
        <f>'Лист2_прогнозные цены'!V50</f>
        <v>214061.85087331678</v>
      </c>
      <c r="T43" s="76">
        <f>'Лист2_прогнозные цены'!W50</f>
        <v>212735.9108469316</v>
      </c>
      <c r="U43" s="76">
        <f>'Лист2_прогнозные цены'!X50</f>
        <v>214413.33070744757</v>
      </c>
      <c r="V43" s="76">
        <f>'Лист2_прогнозные цены'!Y50</f>
        <v>216598.77609499785</v>
      </c>
      <c r="W43" s="76">
        <f>'Лист2_прогнозные цены'!Z50</f>
        <v>232259.78833404789</v>
      </c>
      <c r="X43" s="76">
        <f>'Лист2_прогнозные цены'!AA50</f>
        <v>232114.95974217405</v>
      </c>
      <c r="Y43" s="76">
        <f>'Лист2_прогнозные цены'!AB50</f>
        <v>244223.81014475229</v>
      </c>
      <c r="Z43" s="76">
        <f>'Лист2_прогнозные цены'!AC50</f>
        <v>249817.5720433048</v>
      </c>
      <c r="AA43" s="76">
        <f>'Лист2_прогнозные цены'!AD50</f>
        <v>256523.39632287176</v>
      </c>
      <c r="AB43" s="76">
        <f>'Лист2_прогнозные цены'!AE50</f>
        <v>262838.16235964303</v>
      </c>
    </row>
    <row r="44" spans="1:28" x14ac:dyDescent="0.2">
      <c r="B44" t="s">
        <v>46</v>
      </c>
      <c r="C44" s="21">
        <f>'Лист2_прогнозные цены'!F60</f>
        <v>125500</v>
      </c>
      <c r="D44" s="21">
        <f>'Лист2_прогнозные цены'!G60</f>
        <v>128275</v>
      </c>
      <c r="E44" s="21">
        <f>'Лист2_прогнозные цены'!H60</f>
        <v>128353.45</v>
      </c>
      <c r="F44" s="21">
        <f>'Лист2_прогнозные цены'!I60</f>
        <v>128754.68275000001</v>
      </c>
      <c r="G44" s="21">
        <f>'Лист2_прогнозные цены'!J60</f>
        <v>136019.1733845</v>
      </c>
      <c r="H44" s="21">
        <f>'Лист2_прогнозные цены'!K60</f>
        <v>143766.135037731</v>
      </c>
      <c r="I44" s="21">
        <f>'Лист2_прогнозные цены'!L60</f>
        <v>149783.47368735369</v>
      </c>
      <c r="J44" s="21">
        <f>'Лист2_прогнозные цены'!M60</f>
        <v>155969.63895048015</v>
      </c>
      <c r="K44" s="252">
        <f>'Лист2_прогнозные цены'!N60</f>
        <v>164223.94256097535</v>
      </c>
      <c r="L44" s="77">
        <f>'Лист2_прогнозные цены'!O60</f>
        <v>165505.70313536559</v>
      </c>
      <c r="M44" s="27">
        <f>'Лист2_прогнозные цены'!P60</f>
        <v>167151.64610401192</v>
      </c>
      <c r="N44" s="27">
        <f>'Лист2_прогнозные цены'!Q60</f>
        <v>168565.27436960279</v>
      </c>
      <c r="O44" s="27">
        <f>'Лист2_прогнозные цены'!R60</f>
        <v>169871.45034223745</v>
      </c>
      <c r="P44" s="391">
        <f>'Лист2_прогнозные цены'!S60</f>
        <v>186244.73583881508</v>
      </c>
      <c r="Q44" s="27">
        <f>'Лист2_прогнозные цены'!T60</f>
        <v>192359.28848042694</v>
      </c>
      <c r="R44" s="27">
        <f>'Лист2_прогнозные цены'!U60</f>
        <v>206796.69559562267</v>
      </c>
      <c r="S44" s="27">
        <f>'Лист2_прогнозные цены'!V60</f>
        <v>210433.72863966646</v>
      </c>
      <c r="T44" s="27">
        <f>'Лист2_прогнозные цены'!W60</f>
        <v>214561.39135326978</v>
      </c>
      <c r="U44" s="27">
        <f>'Лист2_прогнозные цены'!X60</f>
        <v>226988.77743973711</v>
      </c>
      <c r="V44" s="27">
        <f>'Лист2_прогнозные цены'!Y60</f>
        <v>225465.07142460189</v>
      </c>
      <c r="W44" s="27">
        <f>'Лист2_прогнозные цены'!Z60</f>
        <v>228391.42071035586</v>
      </c>
      <c r="X44" s="27">
        <f>'Лист2_прогнозные цены'!AA60</f>
        <v>237537.50650325231</v>
      </c>
      <c r="Y44" s="27">
        <f>'Лист2_прогнозные цены'!AB60</f>
        <v>245162.13143821977</v>
      </c>
      <c r="Z44" s="27">
        <f>'Лист2_прогнозные цены'!AC60</f>
        <v>250408.51012383759</v>
      </c>
      <c r="AA44" s="27">
        <f>'Лист2_прогнозные цены'!AD60</f>
        <v>256855.42502259923</v>
      </c>
      <c r="AB44" s="27">
        <f>'Лист2_прогнозные цены'!AE60</f>
        <v>262866.87077237322</v>
      </c>
    </row>
    <row r="46" spans="1:28" x14ac:dyDescent="0.2">
      <c r="L46" s="27"/>
    </row>
    <row r="47" spans="1:28" x14ac:dyDescent="0.2">
      <c r="A47" s="25" t="s">
        <v>214</v>
      </c>
    </row>
    <row r="48" spans="1:28" ht="13.5" thickBot="1" x14ac:dyDescent="0.25"/>
    <row r="49" spans="1:29" ht="13.5" thickBot="1" x14ac:dyDescent="0.25">
      <c r="A49">
        <v>1</v>
      </c>
      <c r="B49" t="s">
        <v>43</v>
      </c>
      <c r="K49" s="355">
        <f>K38*INDEX(vibofnepr_NORM,$A49,K$9)*0.01</f>
        <v>220052.99007987152</v>
      </c>
      <c r="L49" s="355">
        <f t="shared" ref="L49:AA49" si="0">L38*INDEX(vibofnepr_NORM,$A49,L$9)*0.01</f>
        <v>220127.78153153867</v>
      </c>
      <c r="M49" s="355">
        <f t="shared" si="0"/>
        <v>219826.28814292574</v>
      </c>
      <c r="N49" s="355">
        <f t="shared" si="0"/>
        <v>219303.28739728645</v>
      </c>
      <c r="O49" s="355">
        <f t="shared" si="0"/>
        <v>218703.70325704219</v>
      </c>
      <c r="P49" s="392">
        <f t="shared" si="0"/>
        <v>222685.64936621231</v>
      </c>
      <c r="Q49" s="355">
        <f t="shared" si="0"/>
        <v>226527.23192067246</v>
      </c>
      <c r="R49" s="355">
        <f t="shared" si="0"/>
        <v>230223.03254680356</v>
      </c>
      <c r="S49" s="355">
        <f t="shared" si="0"/>
        <v>232261.65347984858</v>
      </c>
      <c r="T49" s="355">
        <f t="shared" si="0"/>
        <v>233923.21590453928</v>
      </c>
      <c r="U49" s="355">
        <f t="shared" si="0"/>
        <v>234676.58610891885</v>
      </c>
      <c r="V49" s="355">
        <f t="shared" si="0"/>
        <v>235253.64526774382</v>
      </c>
      <c r="W49" s="355">
        <f t="shared" si="0"/>
        <v>235780.10479549528</v>
      </c>
      <c r="X49" s="355">
        <f t="shared" si="0"/>
        <v>236997.73137530679</v>
      </c>
      <c r="Y49" s="355">
        <f t="shared" si="0"/>
        <v>239271.16136268113</v>
      </c>
      <c r="Z49" s="355">
        <f t="shared" si="0"/>
        <v>242264.00943038342</v>
      </c>
      <c r="AA49" s="355">
        <f t="shared" si="0"/>
        <v>246166.20846448047</v>
      </c>
      <c r="AB49" s="355">
        <f t="shared" ref="AB49" si="1">AB38*INDEX(vibofnepr_NORM,$A49,AB$9)*0.01</f>
        <v>248920.00431018393</v>
      </c>
    </row>
    <row r="50" spans="1:29" ht="13.5" thickBot="1" x14ac:dyDescent="0.25">
      <c r="A50">
        <v>2</v>
      </c>
      <c r="B50" t="s">
        <v>47</v>
      </c>
      <c r="K50" s="355">
        <f t="shared" ref="K50:AA50" si="2">K39*INDEX(vibofnepr_NORM,$A50,K$9)*0.01</f>
        <v>531.5179127993938</v>
      </c>
      <c r="L50" s="355">
        <f t="shared" si="2"/>
        <v>531.37276715701466</v>
      </c>
      <c r="M50" s="355">
        <f t="shared" si="2"/>
        <v>532.64699283755704</v>
      </c>
      <c r="N50" s="355">
        <f t="shared" si="2"/>
        <v>533.33614571249723</v>
      </c>
      <c r="O50" s="355">
        <f t="shared" si="2"/>
        <v>533.3835827222365</v>
      </c>
      <c r="P50" s="392">
        <f t="shared" si="2"/>
        <v>524.80300542143277</v>
      </c>
      <c r="Q50" s="355">
        <f t="shared" si="2"/>
        <v>523.03670890303397</v>
      </c>
      <c r="R50" s="355">
        <f t="shared" si="2"/>
        <v>526.5623434086292</v>
      </c>
      <c r="S50" s="355">
        <f t="shared" si="2"/>
        <v>527.49074074229156</v>
      </c>
      <c r="T50" s="355">
        <f t="shared" si="2"/>
        <v>525.62765432287165</v>
      </c>
      <c r="U50" s="355">
        <f t="shared" si="2"/>
        <v>522.06144427509935</v>
      </c>
      <c r="V50" s="355">
        <f t="shared" si="2"/>
        <v>519.4202412955442</v>
      </c>
      <c r="W50" s="355">
        <f t="shared" si="2"/>
        <v>520.38919188159457</v>
      </c>
      <c r="X50" s="355">
        <f t="shared" si="2"/>
        <v>515.10344261234911</v>
      </c>
      <c r="Y50" s="355">
        <f t="shared" si="2"/>
        <v>506.67706809746386</v>
      </c>
      <c r="Z50" s="355">
        <f t="shared" si="2"/>
        <v>497.68741507456645</v>
      </c>
      <c r="AA50" s="355">
        <f t="shared" si="2"/>
        <v>489.70474781308286</v>
      </c>
      <c r="AB50" s="355">
        <f t="shared" ref="AB50" si="3">AB39*INDEX(vibofnepr_NORM,$A50,AB$9)*0.01</f>
        <v>483.97754519998222</v>
      </c>
    </row>
    <row r="51" spans="1:29" ht="13.5" thickBot="1" x14ac:dyDescent="0.25">
      <c r="A51">
        <v>3</v>
      </c>
      <c r="B51" t="s">
        <v>48</v>
      </c>
      <c r="K51" s="355">
        <f t="shared" ref="K51:AA51" si="4">K40*INDEX(vibofnepr_NORM,$A51,K$9)*0.01</f>
        <v>1508.8675312784433</v>
      </c>
      <c r="L51" s="355">
        <f t="shared" si="4"/>
        <v>1509.2566090898652</v>
      </c>
      <c r="M51" s="355">
        <f t="shared" si="4"/>
        <v>1502.1726891719641</v>
      </c>
      <c r="N51" s="355">
        <f t="shared" si="4"/>
        <v>1492.9879996813563</v>
      </c>
      <c r="O51" s="355">
        <f t="shared" si="4"/>
        <v>1483.7069382483601</v>
      </c>
      <c r="P51" s="392">
        <f t="shared" si="4"/>
        <v>1485.2171991048308</v>
      </c>
      <c r="Q51" s="355">
        <f t="shared" si="4"/>
        <v>1506.6202598673331</v>
      </c>
      <c r="R51" s="355">
        <f t="shared" si="4"/>
        <v>1537.8211997964108</v>
      </c>
      <c r="S51" s="355">
        <f t="shared" si="4"/>
        <v>1561.4049946058519</v>
      </c>
      <c r="T51" s="355">
        <f t="shared" si="4"/>
        <v>1571.2733702903311</v>
      </c>
      <c r="U51" s="355">
        <f t="shared" si="4"/>
        <v>1574.5201245589935</v>
      </c>
      <c r="V51" s="355">
        <f t="shared" si="4"/>
        <v>1574.2207902383652</v>
      </c>
      <c r="W51" s="355">
        <f t="shared" si="4"/>
        <v>1567.5673845112319</v>
      </c>
      <c r="X51" s="355">
        <f t="shared" si="4"/>
        <v>1554.1714506170229</v>
      </c>
      <c r="Y51" s="355">
        <f t="shared" si="4"/>
        <v>1551.3603705944936</v>
      </c>
      <c r="Z51" s="355">
        <f t="shared" si="4"/>
        <v>1558.5515180047657</v>
      </c>
      <c r="AA51" s="355">
        <f t="shared" si="4"/>
        <v>1566.549846907845</v>
      </c>
      <c r="AB51" s="355">
        <f t="shared" ref="AB51" si="5">AB40*INDEX(vibofnepr_NORM,$A51,AB$9)*0.01</f>
        <v>1586.1643484387666</v>
      </c>
    </row>
    <row r="52" spans="1:29" ht="13.5" thickBot="1" x14ac:dyDescent="0.25">
      <c r="A52">
        <v>4</v>
      </c>
      <c r="B52" t="s">
        <v>28</v>
      </c>
      <c r="K52" s="355">
        <f t="shared" ref="K52:AA52" si="6">K41*INDEX(vibofnepr_NORM,$A52,K$9)*0.01</f>
        <v>132.7765034669072</v>
      </c>
      <c r="L52" s="355">
        <f t="shared" si="6"/>
        <v>137.83041782871484</v>
      </c>
      <c r="M52" s="355">
        <f t="shared" si="6"/>
        <v>140.60049152208751</v>
      </c>
      <c r="N52" s="355">
        <f t="shared" si="6"/>
        <v>147.77706086916299</v>
      </c>
      <c r="O52" s="355">
        <f t="shared" si="6"/>
        <v>150.92593206865936</v>
      </c>
      <c r="P52" s="392">
        <f t="shared" si="6"/>
        <v>155.10984839225421</v>
      </c>
      <c r="Q52" s="355">
        <f t="shared" si="6"/>
        <v>163.24882202487845</v>
      </c>
      <c r="R52" s="355">
        <f t="shared" si="6"/>
        <v>190.14633380462965</v>
      </c>
      <c r="S52" s="355">
        <f t="shared" si="6"/>
        <v>190.89888720913928</v>
      </c>
      <c r="T52" s="355">
        <f t="shared" si="6"/>
        <v>201.73989833704789</v>
      </c>
      <c r="U52" s="355">
        <f t="shared" si="6"/>
        <v>203.14354855932382</v>
      </c>
      <c r="V52" s="355">
        <f t="shared" si="6"/>
        <v>211.54362752393445</v>
      </c>
      <c r="W52" s="355">
        <f t="shared" si="6"/>
        <v>214.58689368359157</v>
      </c>
      <c r="X52" s="355">
        <f t="shared" si="6"/>
        <v>232.47102474675566</v>
      </c>
      <c r="Y52" s="355">
        <f t="shared" si="6"/>
        <v>239.80631449928811</v>
      </c>
      <c r="Z52" s="355">
        <f t="shared" si="6"/>
        <v>246.88825135429522</v>
      </c>
      <c r="AA52" s="355">
        <f t="shared" si="6"/>
        <v>255.18936884075228</v>
      </c>
      <c r="AB52" s="355">
        <f t="shared" ref="AB52" si="7">AB41*INDEX(vibofnepr_NORM,$A52,AB$9)*0.01</f>
        <v>262.84747515234477</v>
      </c>
    </row>
    <row r="53" spans="1:29" ht="13.5" thickBot="1" x14ac:dyDescent="0.25">
      <c r="A53">
        <v>5</v>
      </c>
      <c r="B53" t="s">
        <v>44</v>
      </c>
      <c r="K53" s="355">
        <f t="shared" ref="K53:AA53" si="8">K42*INDEX(vibofnepr_NORM,$A53,K$9)*0.01</f>
        <v>264.80729692581252</v>
      </c>
      <c r="L53" s="355">
        <f t="shared" si="8"/>
        <v>273.02791294093043</v>
      </c>
      <c r="M53" s="355">
        <f t="shared" si="8"/>
        <v>280.49721805747828</v>
      </c>
      <c r="N53" s="355">
        <f t="shared" si="8"/>
        <v>287.69822199344816</v>
      </c>
      <c r="O53" s="355">
        <f t="shared" si="8"/>
        <v>294.89701092187624</v>
      </c>
      <c r="P53" s="392">
        <f t="shared" si="8"/>
        <v>290.56531714904605</v>
      </c>
      <c r="Q53" s="355">
        <f t="shared" si="8"/>
        <v>296.18074952227511</v>
      </c>
      <c r="R53" s="355">
        <f t="shared" si="8"/>
        <v>311.78894202705231</v>
      </c>
      <c r="S53" s="355">
        <f t="shared" si="8"/>
        <v>321.92105260678181</v>
      </c>
      <c r="T53" s="355">
        <f t="shared" si="8"/>
        <v>329.98975688019897</v>
      </c>
      <c r="U53" s="355">
        <f t="shared" si="8"/>
        <v>337.31982324316334</v>
      </c>
      <c r="V53" s="355">
        <f t="shared" si="8"/>
        <v>345.27209935310464</v>
      </c>
      <c r="W53" s="355">
        <f t="shared" si="8"/>
        <v>353.52598006700867</v>
      </c>
      <c r="X53" s="355">
        <f t="shared" si="8"/>
        <v>370.36072026633855</v>
      </c>
      <c r="Y53" s="355">
        <f t="shared" si="8"/>
        <v>381.5771130636752</v>
      </c>
      <c r="Z53" s="355">
        <f t="shared" si="8"/>
        <v>391.09134193303851</v>
      </c>
      <c r="AA53" s="355">
        <f t="shared" si="8"/>
        <v>402.63042851370813</v>
      </c>
      <c r="AB53" s="355">
        <f t="shared" ref="AB53" si="9">AB42*INDEX(vibofnepr_NORM,$A53,AB$9)*0.01</f>
        <v>413.334124228571</v>
      </c>
    </row>
    <row r="54" spans="1:29" ht="13.5" thickBot="1" x14ac:dyDescent="0.25">
      <c r="A54">
        <v>6</v>
      </c>
      <c r="B54" t="s">
        <v>45</v>
      </c>
      <c r="K54" s="355">
        <f t="shared" ref="K54:AA54" si="10">K43*INDEX(vibofnepr_NORM,$A54,K$9)*0.01</f>
        <v>1582.6338065606915</v>
      </c>
      <c r="L54" s="355">
        <f t="shared" si="10"/>
        <v>1585.3340315999519</v>
      </c>
      <c r="M54" s="355">
        <f t="shared" si="10"/>
        <v>1644.9106912839525</v>
      </c>
      <c r="N54" s="355">
        <f t="shared" si="10"/>
        <v>1644.8005227722608</v>
      </c>
      <c r="O54" s="355">
        <f t="shared" si="10"/>
        <v>1686.1675029649184</v>
      </c>
      <c r="P54" s="392">
        <f t="shared" si="10"/>
        <v>1714.3135312555548</v>
      </c>
      <c r="Q54" s="355">
        <f t="shared" si="10"/>
        <v>1943.3503959429993</v>
      </c>
      <c r="R54" s="355">
        <f t="shared" si="10"/>
        <v>1967.7358674072404</v>
      </c>
      <c r="S54" s="355">
        <f t="shared" si="10"/>
        <v>2140.6185087331678</v>
      </c>
      <c r="T54" s="355">
        <f t="shared" si="10"/>
        <v>2127.3591084693162</v>
      </c>
      <c r="U54" s="355">
        <f t="shared" si="10"/>
        <v>2144.1333070744759</v>
      </c>
      <c r="V54" s="355">
        <f t="shared" si="10"/>
        <v>2165.9877609499786</v>
      </c>
      <c r="W54" s="355">
        <f t="shared" si="10"/>
        <v>2322.5978833404788</v>
      </c>
      <c r="X54" s="355">
        <f t="shared" si="10"/>
        <v>2321.1495974217405</v>
      </c>
      <c r="Y54" s="355">
        <f t="shared" si="10"/>
        <v>2442.2381014475231</v>
      </c>
      <c r="Z54" s="355">
        <f t="shared" si="10"/>
        <v>2498.1757204330479</v>
      </c>
      <c r="AA54" s="355">
        <f t="shared" si="10"/>
        <v>2565.2339632287176</v>
      </c>
      <c r="AB54" s="355">
        <f t="shared" ref="AB54" si="11">AB43*INDEX(vibofnepr_NORM,$A54,AB$9)*0.01</f>
        <v>2628.3816235964305</v>
      </c>
    </row>
    <row r="55" spans="1:29" ht="13.5" thickBot="1" x14ac:dyDescent="0.25">
      <c r="A55">
        <v>7</v>
      </c>
      <c r="B55" t="s">
        <v>46</v>
      </c>
      <c r="K55" s="355">
        <f t="shared" ref="K55:AA55" si="12">K44*INDEX(vibofnepr_NORM,$A55,K$9)*0.01</f>
        <v>1642.2394256097537</v>
      </c>
      <c r="L55" s="355">
        <f t="shared" si="12"/>
        <v>1655.0570313536559</v>
      </c>
      <c r="M55" s="355">
        <f t="shared" si="12"/>
        <v>1671.5164610401191</v>
      </c>
      <c r="N55" s="355">
        <f t="shared" si="12"/>
        <v>1685.652743696028</v>
      </c>
      <c r="O55" s="355">
        <f t="shared" si="12"/>
        <v>1698.7145034223745</v>
      </c>
      <c r="P55" s="392">
        <f t="shared" si="12"/>
        <v>1862.4473583881509</v>
      </c>
      <c r="Q55" s="355">
        <f t="shared" si="12"/>
        <v>1923.5928848042695</v>
      </c>
      <c r="R55" s="355">
        <f t="shared" si="12"/>
        <v>2067.9669559562267</v>
      </c>
      <c r="S55" s="355">
        <f t="shared" si="12"/>
        <v>2104.3372863966647</v>
      </c>
      <c r="T55" s="355">
        <f t="shared" si="12"/>
        <v>2145.613913532698</v>
      </c>
      <c r="U55" s="355">
        <f t="shared" si="12"/>
        <v>2269.8877743973712</v>
      </c>
      <c r="V55" s="355">
        <f t="shared" si="12"/>
        <v>2254.6507142460191</v>
      </c>
      <c r="W55" s="355">
        <f t="shared" si="12"/>
        <v>2283.9142071035585</v>
      </c>
      <c r="X55" s="355">
        <f t="shared" si="12"/>
        <v>2375.3750650325233</v>
      </c>
      <c r="Y55" s="355">
        <f t="shared" si="12"/>
        <v>2451.6213143821979</v>
      </c>
      <c r="Z55" s="355">
        <f t="shared" si="12"/>
        <v>2504.085101238376</v>
      </c>
      <c r="AA55" s="355">
        <f t="shared" si="12"/>
        <v>2568.5542502259923</v>
      </c>
      <c r="AB55" s="355">
        <f t="shared" ref="AB55" si="13">AB44*INDEX(vibofnepr_NORM,$A55,AB$9)*0.01</f>
        <v>2628.6687077237325</v>
      </c>
    </row>
    <row r="57" spans="1:29" x14ac:dyDescent="0.2">
      <c r="A57" s="25" t="s">
        <v>49</v>
      </c>
    </row>
    <row r="58" spans="1:29" s="25" customFormat="1" x14ac:dyDescent="0.2">
      <c r="C58" s="25">
        <v>2006</v>
      </c>
      <c r="D58" s="25">
        <v>2007</v>
      </c>
      <c r="E58" s="25">
        <v>2008</v>
      </c>
      <c r="F58" s="25">
        <v>2009</v>
      </c>
      <c r="G58" s="25">
        <v>2010</v>
      </c>
      <c r="H58" s="25">
        <v>2011</v>
      </c>
      <c r="I58" s="25">
        <v>2012</v>
      </c>
      <c r="J58" s="25">
        <v>2013</v>
      </c>
      <c r="K58" s="249">
        <v>2014</v>
      </c>
      <c r="L58" s="84">
        <v>2015</v>
      </c>
      <c r="M58" s="25">
        <v>2016</v>
      </c>
      <c r="N58" s="25">
        <v>2017</v>
      </c>
      <c r="O58" s="25">
        <v>2018</v>
      </c>
      <c r="P58" s="388">
        <v>2019</v>
      </c>
      <c r="Q58" s="25">
        <v>2020</v>
      </c>
      <c r="R58" s="25">
        <v>2021</v>
      </c>
      <c r="S58" s="25">
        <v>2022</v>
      </c>
      <c r="T58" s="25">
        <v>2023</v>
      </c>
      <c r="U58" s="25">
        <v>2024</v>
      </c>
      <c r="V58" s="25">
        <v>2025</v>
      </c>
      <c r="W58" s="25">
        <v>2026</v>
      </c>
      <c r="X58" s="25">
        <v>2027</v>
      </c>
      <c r="Y58" s="25">
        <v>2028</v>
      </c>
      <c r="Z58" s="25">
        <v>2029</v>
      </c>
      <c r="AA58" s="25">
        <v>2030</v>
      </c>
      <c r="AB58" s="25">
        <v>2031</v>
      </c>
    </row>
    <row r="59" spans="1:29" x14ac:dyDescent="0.2"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 s="248">
        <v>9</v>
      </c>
      <c r="L59" s="98">
        <v>10</v>
      </c>
      <c r="M59">
        <v>11</v>
      </c>
      <c r="N59">
        <v>12</v>
      </c>
      <c r="O59">
        <v>13</v>
      </c>
      <c r="P59" s="387">
        <v>14</v>
      </c>
      <c r="Q59">
        <v>15</v>
      </c>
      <c r="R59">
        <v>16</v>
      </c>
      <c r="S59">
        <v>17</v>
      </c>
      <c r="T59">
        <v>18</v>
      </c>
      <c r="U59">
        <v>19</v>
      </c>
      <c r="V59">
        <v>20</v>
      </c>
      <c r="W59">
        <v>21</v>
      </c>
      <c r="X59">
        <v>22</v>
      </c>
      <c r="Y59">
        <v>23</v>
      </c>
      <c r="Z59">
        <v>24</v>
      </c>
      <c r="AA59">
        <v>25</v>
      </c>
      <c r="AB59">
        <v>26</v>
      </c>
    </row>
    <row r="60" spans="1:29" x14ac:dyDescent="0.2">
      <c r="A60">
        <v>1</v>
      </c>
      <c r="B60" t="s">
        <v>42</v>
      </c>
      <c r="C60" s="16">
        <f t="shared" ref="C60:L62" si="14">INDEX(demograf,$A60,C$59)</f>
        <v>1134.087</v>
      </c>
      <c r="D60" s="16">
        <f t="shared" si="14"/>
        <v>1124.873</v>
      </c>
      <c r="E60" s="16">
        <f t="shared" si="14"/>
        <v>1117.0160000000001</v>
      </c>
      <c r="F60" s="16">
        <f t="shared" si="14"/>
        <v>1112.3920000000001</v>
      </c>
      <c r="G60" s="16">
        <f t="shared" si="14"/>
        <v>1106.271</v>
      </c>
      <c r="H60" s="16">
        <f t="shared" si="14"/>
        <v>1099.616</v>
      </c>
      <c r="I60" s="16">
        <f t="shared" si="14"/>
        <v>1095.7</v>
      </c>
      <c r="J60" s="16">
        <f t="shared" si="14"/>
        <v>1090.7329999999999</v>
      </c>
      <c r="K60" s="253">
        <f t="shared" si="14"/>
        <v>1084.335</v>
      </c>
      <c r="L60" s="76">
        <f t="shared" si="14"/>
        <v>1077.701</v>
      </c>
      <c r="M60" s="16">
        <f t="shared" ref="M60:AB62" si="15">INDEX(demograf,$A60,M$59)</f>
        <v>1068.9639999999999</v>
      </c>
      <c r="N60" s="16">
        <f t="shared" si="15"/>
        <v>1059.835</v>
      </c>
      <c r="O60" s="16">
        <f t="shared" si="15"/>
        <v>1049.913</v>
      </c>
      <c r="P60" s="393">
        <f t="shared" si="15"/>
        <v>1038.808</v>
      </c>
      <c r="Q60" s="16">
        <f t="shared" si="15"/>
        <v>1026.4010000000001</v>
      </c>
      <c r="R60" s="16">
        <f t="shared" si="15"/>
        <v>1013.885</v>
      </c>
      <c r="S60" s="16">
        <f t="shared" si="15"/>
        <v>999.85299999999995</v>
      </c>
      <c r="T60" s="16">
        <f t="shared" si="15"/>
        <v>984.61300000000006</v>
      </c>
      <c r="U60" s="16">
        <f t="shared" si="15"/>
        <v>967.98599999999999</v>
      </c>
      <c r="V60" s="16">
        <f t="shared" si="15"/>
        <v>949.79499999999996</v>
      </c>
      <c r="W60" s="16">
        <f t="shared" si="15"/>
        <v>931.62300000000005</v>
      </c>
      <c r="X60" s="16">
        <f t="shared" si="15"/>
        <v>920</v>
      </c>
      <c r="Y60" s="16">
        <f t="shared" si="15"/>
        <v>910</v>
      </c>
      <c r="Z60" s="16">
        <f t="shared" si="15"/>
        <v>900</v>
      </c>
      <c r="AA60" s="16">
        <f t="shared" si="15"/>
        <v>895</v>
      </c>
      <c r="AB60" s="16">
        <f t="shared" si="15"/>
        <v>889</v>
      </c>
      <c r="AC60" s="16">
        <v>889</v>
      </c>
    </row>
    <row r="61" spans="1:29" x14ac:dyDescent="0.2">
      <c r="A61">
        <v>2</v>
      </c>
      <c r="B61" t="s">
        <v>39</v>
      </c>
      <c r="C61" s="16">
        <f t="shared" si="14"/>
        <v>71.260000000000005</v>
      </c>
      <c r="D61" s="16">
        <f t="shared" si="14"/>
        <v>72.281000000000006</v>
      </c>
      <c r="E61" s="16">
        <f t="shared" si="14"/>
        <v>73.811000000000007</v>
      </c>
      <c r="F61" s="16">
        <f t="shared" si="14"/>
        <v>75.459999999999994</v>
      </c>
      <c r="G61" s="16">
        <f t="shared" si="14"/>
        <v>77.623000000000005</v>
      </c>
      <c r="H61" s="16">
        <f t="shared" si="14"/>
        <v>79.673000000000002</v>
      </c>
      <c r="I61" s="16">
        <f t="shared" si="14"/>
        <v>81.594999999999999</v>
      </c>
      <c r="J61" s="16">
        <f t="shared" si="14"/>
        <v>84.296000000000006</v>
      </c>
      <c r="K61" s="253">
        <f t="shared" si="14"/>
        <v>84.784000000000006</v>
      </c>
      <c r="L61" s="76">
        <f t="shared" si="14"/>
        <v>86.933999999999997</v>
      </c>
      <c r="M61" s="16">
        <f t="shared" si="15"/>
        <v>87.866</v>
      </c>
      <c r="N61" s="16">
        <f t="shared" si="15"/>
        <v>88.234999999999999</v>
      </c>
      <c r="O61" s="16">
        <f t="shared" si="15"/>
        <v>88.094999999999999</v>
      </c>
      <c r="P61" s="393">
        <f t="shared" si="15"/>
        <v>87.552999999999997</v>
      </c>
      <c r="Q61" s="16">
        <f t="shared" si="15"/>
        <v>86.563999999999993</v>
      </c>
      <c r="R61" s="16">
        <f t="shared" si="15"/>
        <v>85.331999999999994</v>
      </c>
      <c r="S61" s="16">
        <f t="shared" si="15"/>
        <v>82.918000000000006</v>
      </c>
      <c r="T61" s="16">
        <f t="shared" si="15"/>
        <v>81.412000000000006</v>
      </c>
      <c r="U61" s="16">
        <f t="shared" si="15"/>
        <v>79.072000000000003</v>
      </c>
      <c r="V61" s="16">
        <f t="shared" si="15"/>
        <v>77.801000000000002</v>
      </c>
      <c r="W61" s="16">
        <f t="shared" si="15"/>
        <v>76.623000000000005</v>
      </c>
      <c r="X61" s="16">
        <f t="shared" si="15"/>
        <v>72.600999999999999</v>
      </c>
      <c r="Y61" s="16">
        <f t="shared" si="15"/>
        <v>67.599999999999994</v>
      </c>
      <c r="Z61" s="16">
        <f t="shared" si="15"/>
        <v>66</v>
      </c>
      <c r="AA61" s="16">
        <f t="shared" si="15"/>
        <v>65</v>
      </c>
      <c r="AB61" s="16">
        <f t="shared" si="15"/>
        <v>64</v>
      </c>
      <c r="AC61" s="16">
        <v>61</v>
      </c>
    </row>
    <row r="62" spans="1:29" x14ac:dyDescent="0.2">
      <c r="A62">
        <v>3</v>
      </c>
      <c r="B62" t="s">
        <v>40</v>
      </c>
      <c r="C62" s="16">
        <f t="shared" si="14"/>
        <v>217.089</v>
      </c>
      <c r="D62" s="16">
        <f t="shared" si="14"/>
        <v>207.30099999999999</v>
      </c>
      <c r="E62" s="16">
        <f t="shared" si="14"/>
        <v>196.72900000000001</v>
      </c>
      <c r="F62" s="16">
        <f t="shared" si="14"/>
        <v>186.20500000000001</v>
      </c>
      <c r="G62" s="16">
        <f t="shared" si="14"/>
        <v>178.25200000000001</v>
      </c>
      <c r="H62" s="16">
        <f t="shared" si="14"/>
        <v>171.684</v>
      </c>
      <c r="I62" s="16">
        <f t="shared" si="14"/>
        <v>168.673</v>
      </c>
      <c r="J62" s="16">
        <f t="shared" si="14"/>
        <v>164.65100000000001</v>
      </c>
      <c r="K62" s="253">
        <f t="shared" si="14"/>
        <v>160.673</v>
      </c>
      <c r="L62" s="76">
        <f t="shared" si="14"/>
        <v>159.684</v>
      </c>
      <c r="M62" s="16">
        <f t="shared" si="15"/>
        <v>160.63399999999999</v>
      </c>
      <c r="N62" s="16">
        <f t="shared" si="15"/>
        <v>161.75299999999999</v>
      </c>
      <c r="O62" s="16">
        <f t="shared" si="15"/>
        <v>162.98400000000001</v>
      </c>
      <c r="P62" s="393">
        <f t="shared" si="15"/>
        <v>165.45599999999999</v>
      </c>
      <c r="Q62" s="16">
        <f t="shared" si="15"/>
        <v>167.501</v>
      </c>
      <c r="R62" s="16">
        <f t="shared" si="15"/>
        <v>168.833</v>
      </c>
      <c r="S62" s="16">
        <f t="shared" si="15"/>
        <v>169.46600000000001</v>
      </c>
      <c r="T62" s="16">
        <f t="shared" si="15"/>
        <v>169.67500000000001</v>
      </c>
      <c r="U62" s="16">
        <f t="shared" si="15"/>
        <v>169.364</v>
      </c>
      <c r="V62" s="16">
        <f t="shared" si="15"/>
        <v>167.91200000000001</v>
      </c>
      <c r="W62" s="16">
        <f t="shared" si="15"/>
        <v>165.03100000000001</v>
      </c>
      <c r="X62" s="16">
        <f t="shared" si="15"/>
        <v>161.654</v>
      </c>
      <c r="Y62" s="16">
        <f t="shared" si="15"/>
        <v>161.5</v>
      </c>
      <c r="Z62" s="16">
        <f t="shared" si="15"/>
        <v>161.30000000000001</v>
      </c>
      <c r="AA62" s="16">
        <f t="shared" si="15"/>
        <v>161.19999999999999</v>
      </c>
      <c r="AB62" s="16">
        <f t="shared" si="15"/>
        <v>161.1</v>
      </c>
      <c r="AC62" s="16">
        <v>161.1</v>
      </c>
    </row>
    <row r="63" spans="1:29" x14ac:dyDescent="0.2">
      <c r="C63" s="16"/>
      <c r="D63" s="16"/>
      <c r="E63" s="16"/>
      <c r="F63" s="16"/>
      <c r="G63" s="16"/>
      <c r="H63" s="16"/>
      <c r="I63" s="16"/>
      <c r="J63" s="16"/>
      <c r="K63" s="253"/>
      <c r="L63" s="76"/>
      <c r="M63" s="16"/>
      <c r="N63" s="16"/>
      <c r="O63" s="16"/>
      <c r="P63" s="393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9" s="109" customFormat="1" ht="15.75" x14ac:dyDescent="0.25">
      <c r="C64" s="153"/>
      <c r="D64" s="153"/>
      <c r="E64" s="153"/>
      <c r="F64" s="153"/>
      <c r="G64" s="153"/>
      <c r="H64" s="153"/>
      <c r="I64" s="153"/>
      <c r="J64" s="153"/>
      <c r="K64" s="254"/>
      <c r="N64" s="173"/>
      <c r="O64" s="173"/>
      <c r="P64" s="394"/>
    </row>
    <row r="65" spans="1:28" s="109" customFormat="1" x14ac:dyDescent="0.2">
      <c r="C65" s="154"/>
      <c r="D65" s="154"/>
      <c r="E65" s="154"/>
      <c r="F65" s="154"/>
      <c r="G65" s="154"/>
      <c r="H65" s="154"/>
      <c r="I65" s="154"/>
      <c r="J65" s="154"/>
      <c r="K65" s="255"/>
      <c r="P65" s="394"/>
    </row>
    <row r="66" spans="1:28" s="109" customFormat="1" ht="15.75" x14ac:dyDescent="0.25">
      <c r="C66" s="153"/>
      <c r="D66" s="153"/>
      <c r="E66" s="153"/>
      <c r="F66" s="153"/>
      <c r="G66" s="153"/>
      <c r="H66" s="153"/>
      <c r="I66" s="153"/>
      <c r="J66" s="153"/>
      <c r="K66" s="254"/>
      <c r="P66" s="394"/>
    </row>
    <row r="67" spans="1:28" x14ac:dyDescent="0.2">
      <c r="A67" s="25" t="s">
        <v>75</v>
      </c>
      <c r="C67" s="130"/>
    </row>
    <row r="68" spans="1:28" s="25" customFormat="1" x14ac:dyDescent="0.2">
      <c r="C68" s="25">
        <v>2006</v>
      </c>
      <c r="D68" s="25">
        <v>2007</v>
      </c>
      <c r="E68" s="25">
        <v>2008</v>
      </c>
      <c r="F68" s="25">
        <v>2009</v>
      </c>
      <c r="G68" s="25">
        <v>2010</v>
      </c>
      <c r="H68" s="25">
        <v>2011</v>
      </c>
      <c r="I68" s="25">
        <v>2012</v>
      </c>
      <c r="J68" s="25">
        <v>2013</v>
      </c>
      <c r="K68" s="249">
        <v>2014</v>
      </c>
      <c r="L68" s="84">
        <v>2015</v>
      </c>
      <c r="M68" s="25">
        <v>2016</v>
      </c>
      <c r="N68" s="25">
        <v>2017</v>
      </c>
      <c r="O68" s="25">
        <v>2018</v>
      </c>
      <c r="P68" s="394">
        <v>2019</v>
      </c>
      <c r="Q68" s="25">
        <v>2020</v>
      </c>
      <c r="R68" s="25">
        <v>2021</v>
      </c>
      <c r="S68" s="25">
        <v>2022</v>
      </c>
      <c r="T68" s="25">
        <v>2023</v>
      </c>
      <c r="U68" s="25">
        <v>2024</v>
      </c>
      <c r="V68" s="25">
        <v>2025</v>
      </c>
      <c r="W68" s="25">
        <v>2026</v>
      </c>
      <c r="X68" s="25">
        <v>2027</v>
      </c>
      <c r="Y68" s="25">
        <v>2028</v>
      </c>
      <c r="Z68" s="25">
        <v>2029</v>
      </c>
      <c r="AA68" s="25">
        <v>2030</v>
      </c>
      <c r="AB68" s="25">
        <v>2031</v>
      </c>
    </row>
    <row r="69" spans="1:28" x14ac:dyDescent="0.2">
      <c r="B69" t="s">
        <v>69</v>
      </c>
      <c r="C69" s="38">
        <f t="shared" ref="C69:K69" si="16">C38/C60*0.001</f>
        <v>18.666116444329226</v>
      </c>
      <c r="D69" s="38">
        <f t="shared" si="16"/>
        <v>18.883401948486629</v>
      </c>
      <c r="E69" s="38">
        <f t="shared" si="16"/>
        <v>19.147139596926092</v>
      </c>
      <c r="F69" s="38">
        <f t="shared" si="16"/>
        <v>19.305777094520636</v>
      </c>
      <c r="G69" s="38">
        <f t="shared" si="16"/>
        <v>19.462693204278811</v>
      </c>
      <c r="H69" s="38">
        <f t="shared" si="16"/>
        <v>19.690727474203889</v>
      </c>
      <c r="I69" s="38">
        <f t="shared" si="16"/>
        <v>19.916568209695001</v>
      </c>
      <c r="J69" s="38">
        <f t="shared" si="16"/>
        <v>19.997854292496182</v>
      </c>
      <c r="K69" s="251">
        <f t="shared" si="16"/>
        <v>20.293819721753106</v>
      </c>
      <c r="L69" s="76">
        <f t="shared" ref="L69:AB69" si="17">L38/L60*0.001</f>
        <v>20.425682219051357</v>
      </c>
      <c r="M69" s="76">
        <f t="shared" si="17"/>
        <v>20.564423885455987</v>
      </c>
      <c r="N69" s="76">
        <f t="shared" si="17"/>
        <v>20.692210334371524</v>
      </c>
      <c r="O69" s="76">
        <f t="shared" si="17"/>
        <v>20.830650087868438</v>
      </c>
      <c r="P69" s="444">
        <f t="shared" si="17"/>
        <v>21.436651370244771</v>
      </c>
      <c r="Q69" s="76">
        <f t="shared" si="17"/>
        <v>22.070051755665911</v>
      </c>
      <c r="R69" s="76">
        <f t="shared" si="17"/>
        <v>22.707016332898064</v>
      </c>
      <c r="S69" s="76">
        <f t="shared" si="17"/>
        <v>23.229580096259006</v>
      </c>
      <c r="T69" s="76">
        <f t="shared" si="17"/>
        <v>23.757884153930451</v>
      </c>
      <c r="U69" s="76">
        <f t="shared" si="17"/>
        <v>24.243799611659558</v>
      </c>
      <c r="V69" s="76">
        <f t="shared" si="17"/>
        <v>24.768886472106491</v>
      </c>
      <c r="W69" s="76">
        <f t="shared" si="17"/>
        <v>25.308531970066785</v>
      </c>
      <c r="X69" s="76">
        <f t="shared" si="17"/>
        <v>25.760622975576823</v>
      </c>
      <c r="Y69" s="76">
        <f t="shared" si="17"/>
        <v>26.293534215679244</v>
      </c>
      <c r="Z69" s="76">
        <f t="shared" si="17"/>
        <v>26.918223270042599</v>
      </c>
      <c r="AA69" s="76">
        <f t="shared" si="17"/>
        <v>27.504604297707314</v>
      </c>
      <c r="AB69" s="76">
        <f t="shared" si="17"/>
        <v>28.000000484835088</v>
      </c>
    </row>
    <row r="70" spans="1:28" x14ac:dyDescent="0.2">
      <c r="B70" t="s">
        <v>70</v>
      </c>
      <c r="C70" s="38">
        <f t="shared" ref="C70:K70" si="18">C39/C61*0.001</f>
        <v>0.57395453269716534</v>
      </c>
      <c r="D70" s="38">
        <f t="shared" si="18"/>
        <v>0.6023713008951177</v>
      </c>
      <c r="E70" s="38">
        <f t="shared" si="18"/>
        <v>0.61305523566948017</v>
      </c>
      <c r="F70" s="38">
        <f t="shared" si="18"/>
        <v>0.60727163795388295</v>
      </c>
      <c r="G70" s="38">
        <f t="shared" si="18"/>
        <v>0.59912742826739507</v>
      </c>
      <c r="H70" s="38">
        <f t="shared" si="18"/>
        <v>0.59264815216787636</v>
      </c>
      <c r="I70" s="38">
        <f t="shared" si="18"/>
        <v>0.59357605455534701</v>
      </c>
      <c r="J70" s="38">
        <f t="shared" si="18"/>
        <v>0.60099417924067688</v>
      </c>
      <c r="K70" s="251">
        <f t="shared" si="18"/>
        <v>0.62690827608911326</v>
      </c>
      <c r="L70" s="76">
        <f t="shared" ref="L70:N70" si="19">L39/L61*0.001</f>
        <v>0.61123699261165343</v>
      </c>
      <c r="M70" s="76">
        <f t="shared" si="19"/>
        <v>0.60620375667215654</v>
      </c>
      <c r="N70" s="76">
        <f t="shared" si="19"/>
        <v>0.60444964663965217</v>
      </c>
      <c r="O70" s="76">
        <f>(O39+рынок!R8)/O61*0.001</f>
        <v>0.67357237382625179</v>
      </c>
      <c r="P70" s="76">
        <f>(P39+рынок!S8)/P61*0.001</f>
        <v>0.66451521412336845</v>
      </c>
      <c r="Q70" s="76">
        <f>(Q39+рынок!T8)/Q61*0.001</f>
        <v>0.66677453549169863</v>
      </c>
      <c r="R70" s="76">
        <f>(R39+рынок!U8)/R61*0.001</f>
        <v>0.67736000961963772</v>
      </c>
      <c r="S70" s="76">
        <f>(S39+рынок!V8)/S61*0.001</f>
        <v>0.69509770585673969</v>
      </c>
      <c r="T70" s="76">
        <f>(T39+рынок!W8)/T61*0.001</f>
        <v>0.70266608187106527</v>
      </c>
      <c r="U70" s="76">
        <f>(U39+рынок!X8)/U61*0.001</f>
        <v>0.71601446493398335</v>
      </c>
      <c r="V70" s="76">
        <f>(V39+рынок!Y8)/V61*0.001</f>
        <v>0.72148234477856221</v>
      </c>
      <c r="W70" s="76">
        <f>(W39+рынок!Z8)/W61*0.001</f>
        <v>0.7311047828444962</v>
      </c>
      <c r="X70" s="76">
        <f>(X39+рынок!AA8)/X61*0.001</f>
        <v>0.76158511204504853</v>
      </c>
      <c r="Y70" s="76">
        <f>(Y39+рынок!AB8)/Y61*0.001</f>
        <v>0.80266462197006894</v>
      </c>
      <c r="Z70" s="76">
        <f>(Z39+рынок!AC8)/Z61*0.001</f>
        <v>0.80578094031993031</v>
      </c>
      <c r="AA70" s="76">
        <f>(AA39+рынок!AD8)/AA61*0.001</f>
        <v>0.80327131241975558</v>
      </c>
      <c r="AB70" s="76">
        <f>(AB39+рынок!AE8)/AB61*0.001</f>
        <v>0.80434073468242584</v>
      </c>
    </row>
    <row r="71" spans="1:28" x14ac:dyDescent="0.2">
      <c r="B71" t="s">
        <v>29</v>
      </c>
      <c r="C71" s="38">
        <f t="shared" ref="C71:K71" si="20">C40/C62*0.001</f>
        <v>0.91611274638512319</v>
      </c>
      <c r="D71" s="38">
        <f t="shared" si="20"/>
        <v>0.92028547860357657</v>
      </c>
      <c r="E71" s="38">
        <f t="shared" si="20"/>
        <v>0.93531800344636529</v>
      </c>
      <c r="F71" s="38">
        <f t="shared" si="20"/>
        <v>0.97080149292446505</v>
      </c>
      <c r="G71" s="38">
        <f t="shared" si="20"/>
        <v>0.98786576997901843</v>
      </c>
      <c r="H71" s="38">
        <f t="shared" si="20"/>
        <v>1.0235383538244507</v>
      </c>
      <c r="I71" s="38">
        <f t="shared" si="20"/>
        <v>1.0112884950052563</v>
      </c>
      <c r="J71" s="38">
        <f t="shared" si="20"/>
        <v>0.98799299145627872</v>
      </c>
      <c r="K71" s="251">
        <f t="shared" si="20"/>
        <v>0.93909215069018648</v>
      </c>
      <c r="L71" s="76">
        <f t="shared" ref="L71:N71" si="21">L40/L62*0.001</f>
        <v>0.94515205599174956</v>
      </c>
      <c r="M71" s="76">
        <f t="shared" si="21"/>
        <v>0.93515238938952172</v>
      </c>
      <c r="N71" s="76">
        <f t="shared" si="21"/>
        <v>0.92300482815240303</v>
      </c>
      <c r="O71" s="76">
        <f>(O40+рынок!R9)/O62*0.001</f>
        <v>0.92997284288541204</v>
      </c>
      <c r="P71" s="76">
        <f>(P40+рынок!S9)/P62*0.001</f>
        <v>0.91660453480371273</v>
      </c>
      <c r="Q71" s="76">
        <f>(Q40+рынок!T9)/Q62*0.001</f>
        <v>0.91781724280292831</v>
      </c>
      <c r="R71" s="76">
        <f>(R40+рынок!U9)/R62*0.001</f>
        <v>0.92869246166117458</v>
      </c>
      <c r="S71" s="76">
        <f>(S40+рынок!V9)/S62*0.001</f>
        <v>0.93878463864483241</v>
      </c>
      <c r="T71" s="76">
        <f>(T40+рынок!W9)/T62*0.001</f>
        <v>0.94309641124970156</v>
      </c>
      <c r="U71" s="76">
        <f>(U40+рынок!X9)/U62*0.001</f>
        <v>0.94640365174809371</v>
      </c>
      <c r="V71" s="76">
        <f>(V40+рынок!Y9)/V62*0.001</f>
        <v>0.95407166093088069</v>
      </c>
      <c r="W71" s="76">
        <f>(W40+рынок!Z9)/W62*0.001</f>
        <v>0.96635892725236405</v>
      </c>
      <c r="X71" s="76">
        <f>(X40+рынок!AA9)/X62*0.001</f>
        <v>0.97792283457581497</v>
      </c>
      <c r="Y71" s="76">
        <f>(Y40+рынок!AB9)/Y62*0.001</f>
        <v>0.97678433462222602</v>
      </c>
      <c r="Z71" s="76">
        <f>(Z40+рынок!AC9)/Z62*0.001</f>
        <v>0.98212952339042714</v>
      </c>
      <c r="AA71" s="76">
        <f>(AA40+рынок!AD9)/AA62*0.001</f>
        <v>0.98738261914848557</v>
      </c>
      <c r="AB71" s="76">
        <f>(AB40+рынок!AE9)/AB62*0.001</f>
        <v>0.99985913401309134</v>
      </c>
    </row>
    <row r="72" spans="1:28" x14ac:dyDescent="0.2">
      <c r="B72" t="s">
        <v>5</v>
      </c>
      <c r="C72" s="132">
        <f t="shared" ref="C72:K72" si="22">C41/C60*0.001</f>
        <v>1.3720287773336613E-2</v>
      </c>
      <c r="D72" s="130">
        <f t="shared" si="22"/>
        <v>1.3870561889918592E-2</v>
      </c>
      <c r="E72" s="130">
        <f t="shared" si="22"/>
        <v>1.2870359795016842E-2</v>
      </c>
      <c r="F72" s="130">
        <f t="shared" si="22"/>
        <v>1.1953589476362061E-2</v>
      </c>
      <c r="G72" s="130">
        <f t="shared" si="22"/>
        <v>1.1688089277037701E-2</v>
      </c>
      <c r="H72" s="130">
        <f t="shared" si="22"/>
        <v>1.1305478005019833E-2</v>
      </c>
      <c r="I72" s="130">
        <f t="shared" si="22"/>
        <v>1.1299717328529246E-2</v>
      </c>
      <c r="J72" s="130">
        <f t="shared" si="22"/>
        <v>1.1307983025344009E-2</v>
      </c>
      <c r="K72" s="256">
        <f t="shared" si="22"/>
        <v>1.2244970739384711E-2</v>
      </c>
      <c r="L72" s="76">
        <f t="shared" ref="L72:N72" si="23">L41/L60*0.001</f>
        <v>1.2789300355916423E-2</v>
      </c>
      <c r="M72" s="76">
        <f t="shared" si="23"/>
        <v>1.3152967875633559E-2</v>
      </c>
      <c r="N72" s="76">
        <f t="shared" si="23"/>
        <v>1.3943402592777458E-2</v>
      </c>
      <c r="O72" s="76">
        <f>(O41+рынок!R10)/O$60*0.001</f>
        <v>1.5327549241571384E-2</v>
      </c>
      <c r="P72" s="76">
        <f>(P41+рынок!S10)/P$60*0.001</f>
        <v>1.5836405610300867E-2</v>
      </c>
      <c r="Q72" s="76">
        <f>(Q41+рынок!T10)/Q$60*0.001</f>
        <v>1.6765847073890072E-2</v>
      </c>
      <c r="R72" s="76">
        <f>(R41+рынок!U10)/R$60*0.001</f>
        <v>1.9573440163788758E-2</v>
      </c>
      <c r="S72" s="76">
        <f>(S41+рынок!V10)/S$60*0.001</f>
        <v>1.9873559094100764E-2</v>
      </c>
      <c r="T72" s="76">
        <f>(T41+рынок!W10)/T$60*0.001</f>
        <v>2.1234631125228682E-2</v>
      </c>
      <c r="U72" s="76">
        <f>(U41+рынок!X10)/U$60*0.001</f>
        <v>2.1698892997407383E-2</v>
      </c>
      <c r="V72" s="76">
        <f>(V41+рынок!Y10)/V$60*0.001</f>
        <v>2.2955311774210313E-2</v>
      </c>
      <c r="W72" s="76">
        <f>(W41+рынок!Z10)/W$60*0.001</f>
        <v>2.3687970677946157E-2</v>
      </c>
      <c r="X72" s="76">
        <f>(X41+рынок!AA10)/X$60*0.001</f>
        <v>2.5891410083591498E-2</v>
      </c>
      <c r="Y72" s="76">
        <f>(Y41+рынок!AB10)/Y$60*0.001</f>
        <v>2.6944226993432647E-2</v>
      </c>
      <c r="Z72" s="76">
        <f>(Z41+рынок!AC10)/Z$60*0.001</f>
        <v>2.7994581491865251E-2</v>
      </c>
      <c r="AA72" s="76">
        <f>(AA41+рынок!AD10)/AA$60*0.001</f>
        <v>2.9044533183116738E-2</v>
      </c>
      <c r="AB72" s="76">
        <f>(AB41+рынок!AE10)/AB$60*0.001</f>
        <v>3.0069867954060601E-2</v>
      </c>
    </row>
    <row r="73" spans="1:28" x14ac:dyDescent="0.2">
      <c r="B73" t="s">
        <v>6</v>
      </c>
      <c r="C73" s="132">
        <f t="shared" ref="C73:K73" si="24">C42/C60*0.001</f>
        <v>2.2583805298888007E-2</v>
      </c>
      <c r="D73" s="38">
        <f t="shared" si="24"/>
        <v>2.3843619679732732E-2</v>
      </c>
      <c r="E73" s="38">
        <f t="shared" si="24"/>
        <v>2.5326237434378732E-2</v>
      </c>
      <c r="F73" s="38">
        <f t="shared" si="24"/>
        <v>2.4315733517752725E-2</v>
      </c>
      <c r="G73" s="38">
        <f t="shared" si="24"/>
        <v>2.4834910401598881E-2</v>
      </c>
      <c r="H73" s="38">
        <f t="shared" si="24"/>
        <v>2.5870640713724392E-2</v>
      </c>
      <c r="I73" s="38">
        <f t="shared" si="24"/>
        <v>2.5938267663623959E-2</v>
      </c>
      <c r="J73" s="38">
        <f t="shared" si="24"/>
        <v>2.4799407265647173E-2</v>
      </c>
      <c r="K73" s="251">
        <f t="shared" si="24"/>
        <v>2.4421170295693906E-2</v>
      </c>
      <c r="L73" s="76">
        <f t="shared" ref="L73:N73" si="25">L42/L60*0.001</f>
        <v>2.533429150951242E-2</v>
      </c>
      <c r="M73" s="453">
        <f t="shared" si="25"/>
        <v>2.6240099578421563E-2</v>
      </c>
      <c r="N73" s="452">
        <f t="shared" si="25"/>
        <v>2.7145567186727004E-2</v>
      </c>
      <c r="O73" s="453">
        <f>(O42+рынок!R11)/O$60*0.001</f>
        <v>3.1897596364829868E-2</v>
      </c>
      <c r="P73" s="76">
        <f>(P42+рынок!S11)/P$60*0.001</f>
        <v>3.1744587753371752E-2</v>
      </c>
      <c r="Q73" s="76">
        <f>(Q42+рынок!T11)/Q$60*0.001</f>
        <v>3.2599028013639411E-2</v>
      </c>
      <c r="R73" s="76">
        <f>(R42+рынок!U11)/R$60*0.001</f>
        <v>3.4465114093516755E-2</v>
      </c>
      <c r="S73" s="76">
        <f>(S42+рынок!V11)/S$60*0.001</f>
        <v>3.5886853268108594E-2</v>
      </c>
      <c r="T73" s="76">
        <f>(T42+рынок!W11)/T$60*0.001</f>
        <v>3.718685298205477E-2</v>
      </c>
      <c r="U73" s="76">
        <f>(U42+рынок!X11)/U$60*0.001</f>
        <v>3.8508151820142375E-2</v>
      </c>
      <c r="V73" s="76">
        <f>(V42+рынок!Y11)/V$60*0.001</f>
        <v>4.0008330290533585E-2</v>
      </c>
      <c r="W73" s="76">
        <f>(W42+рынок!Z11)/W$60*0.001</f>
        <v>4.1600143080439189E-2</v>
      </c>
      <c r="X73" s="76">
        <f>(X42+рынок!AA11)/X$60*0.001</f>
        <v>4.3881590299080925E-2</v>
      </c>
      <c r="Y73" s="76">
        <f>(Y42+рынок!AB11)/Y$60*0.001</f>
        <v>4.5523079707601881E-2</v>
      </c>
      <c r="Z73" s="76">
        <f>(Z42+рынок!AC11)/Z$60*0.001</f>
        <v>4.7013399551447822E-2</v>
      </c>
      <c r="AA73" s="76">
        <f>(AA42+рынок!AD11)/AA$60*0.001</f>
        <v>4.8493753906491632E-2</v>
      </c>
      <c r="AB73" s="76">
        <f>(AB42+рынок!AE11)/AB$60*0.001</f>
        <v>4.9954445421706996E-2</v>
      </c>
    </row>
    <row r="74" spans="1:28" x14ac:dyDescent="0.2">
      <c r="B74" t="s">
        <v>1</v>
      </c>
      <c r="C74" s="38">
        <f t="shared" ref="C74:K74" si="26">C43/C60*0.001</f>
        <v>0.11066170408443091</v>
      </c>
      <c r="D74" s="38">
        <f t="shared" si="26"/>
        <v>0.11403509551744952</v>
      </c>
      <c r="E74" s="38">
        <f t="shared" si="26"/>
        <v>0.11770214124059099</v>
      </c>
      <c r="F74" s="38">
        <f t="shared" si="26"/>
        <v>0.11939298298171869</v>
      </c>
      <c r="G74" s="38">
        <f t="shared" si="26"/>
        <v>0.12296550802357652</v>
      </c>
      <c r="H74" s="38">
        <f t="shared" si="26"/>
        <v>0.12984269888369804</v>
      </c>
      <c r="I74" s="38">
        <f t="shared" si="26"/>
        <v>0.13570624996252581</v>
      </c>
      <c r="J74" s="38">
        <f t="shared" si="26"/>
        <v>0.14220015778664455</v>
      </c>
      <c r="K74" s="251">
        <f t="shared" si="26"/>
        <v>0.14595432283940771</v>
      </c>
      <c r="L74" s="76">
        <f t="shared" ref="L74:N74" si="27">L43/L60*0.001</f>
        <v>0.14710332750920263</v>
      </c>
      <c r="M74" s="76">
        <f t="shared" si="27"/>
        <v>0.15387896049670077</v>
      </c>
      <c r="N74" s="76">
        <f t="shared" si="27"/>
        <v>0.15519401819832909</v>
      </c>
      <c r="O74" s="76">
        <f>(O43+рынок!R12)/O$60*0.001</f>
        <v>0.1653629875013376</v>
      </c>
      <c r="P74" s="76">
        <f>(P43+рынок!S12)/P$60*0.001</f>
        <v>0.16974393066433399</v>
      </c>
      <c r="Q74" s="76">
        <f>(Q43+рынок!T12)/Q$60*0.001</f>
        <v>0.19401485344840846</v>
      </c>
      <c r="R74" s="76">
        <f>(R43+рынок!U12)/R$60*0.001</f>
        <v>0.19872031516466271</v>
      </c>
      <c r="S74" s="76">
        <f>(S43+рынок!V12)/S$60*0.001</f>
        <v>0.2187058414320073</v>
      </c>
      <c r="T74" s="76">
        <f>(T43+рынок!W12)/T$60*0.001</f>
        <v>0.22065066663849814</v>
      </c>
      <c r="U74" s="76">
        <f>(U43+рынок!X12)/U$60*0.001</f>
        <v>0.22608027658640473</v>
      </c>
      <c r="V74" s="76">
        <f>(V43+рынок!Y12)/V$60*0.001</f>
        <v>0.23261798994649527</v>
      </c>
      <c r="W74" s="76">
        <f>(W43+рынок!Z12)/W$60*0.001</f>
        <v>0.25387265390287361</v>
      </c>
      <c r="X74" s="76">
        <f>(X43+рынок!AA12)/X$60*0.001</f>
        <v>0.25683010712263565</v>
      </c>
      <c r="Y74" s="76">
        <f>(Y43+рынок!AB12)/Y$60*0.001</f>
        <v>0.27286722437273631</v>
      </c>
      <c r="Z74" s="76">
        <f>(Z43+рынок!AC12)/Z$60*0.001</f>
        <v>0.28202358755228196</v>
      </c>
      <c r="AA74" s="76">
        <f>(AA43+рынок!AD12)/AA$60*0.001</f>
        <v>0.29100221222519079</v>
      </c>
      <c r="AB74" s="76">
        <f>(AB43+рынок!AE12)/AB$60*0.001</f>
        <v>0.29998118594594325</v>
      </c>
    </row>
    <row r="75" spans="1:28" x14ac:dyDescent="0.2">
      <c r="B75" t="s">
        <v>2</v>
      </c>
      <c r="C75" s="130">
        <f t="shared" ref="C75:K75" si="28">C44/C60*0.001</f>
        <v>0.11066170408443091</v>
      </c>
      <c r="D75" s="38">
        <f t="shared" si="28"/>
        <v>0.11403509551744952</v>
      </c>
      <c r="E75" s="38">
        <f t="shared" si="28"/>
        <v>0.11490744089610175</v>
      </c>
      <c r="F75" s="38">
        <f t="shared" si="28"/>
        <v>0.11574578273666118</v>
      </c>
      <c r="G75" s="38">
        <f t="shared" si="28"/>
        <v>0.12295285096011738</v>
      </c>
      <c r="H75" s="38">
        <f t="shared" si="28"/>
        <v>0.13074212728600801</v>
      </c>
      <c r="I75" s="38">
        <f t="shared" si="28"/>
        <v>0.13670117156827022</v>
      </c>
      <c r="J75" s="38">
        <f t="shared" si="28"/>
        <v>0.14299525085468226</v>
      </c>
      <c r="K75" s="251">
        <f t="shared" si="28"/>
        <v>0.15145129739515498</v>
      </c>
      <c r="L75" s="76">
        <f t="shared" ref="L75:N75" si="29">L44/L60*0.001</f>
        <v>0.15357293269224542</v>
      </c>
      <c r="M75" s="76">
        <f t="shared" si="29"/>
        <v>0.15636789087753369</v>
      </c>
      <c r="N75" s="76">
        <f t="shared" si="29"/>
        <v>0.15904860131020659</v>
      </c>
      <c r="O75" s="76">
        <f>(O44+рынок!R13)/O$60*0.001</f>
        <v>0.16655803894440535</v>
      </c>
      <c r="P75" s="76">
        <f>(P44+рынок!S13)/P$60*0.001</f>
        <v>0.1840039120211002</v>
      </c>
      <c r="Q75" s="76">
        <f>(Q44+рынок!T13)/Q$60*0.001</f>
        <v>0.19208992243813766</v>
      </c>
      <c r="R75" s="76">
        <f>(R44+рынок!U13)/R$60*0.001</f>
        <v>0.20860615907684074</v>
      </c>
      <c r="S75" s="76">
        <f>(S44+рынок!V13)/S$60*0.001</f>
        <v>0.21507718578597701</v>
      </c>
      <c r="T75" s="76">
        <f>(T44+рынок!W13)/T$60*0.001</f>
        <v>0.22250467476792379</v>
      </c>
      <c r="U75" s="76">
        <f>(U44+рынок!X13)/U$60*0.001</f>
        <v>0.23907162845749538</v>
      </c>
      <c r="V75" s="76">
        <f>(V44+рынок!Y13)/V$60*0.001</f>
        <v>0.2419529467841329</v>
      </c>
      <c r="W75" s="76">
        <f>(W44+рынок!Z13)/W$60*0.001</f>
        <v>0.24972036523708066</v>
      </c>
      <c r="X75" s="76">
        <f>(X44+рынок!AA13)/X$60*0.001</f>
        <v>0.26272417968902506</v>
      </c>
      <c r="Y75" s="76">
        <f>(Y44+рынок!AB13)/Y$60*0.001</f>
        <v>0.27389834667324997</v>
      </c>
      <c r="Z75" s="76">
        <f>(Z44+рынок!AC13)/Z$60*0.001</f>
        <v>0.28268018541954065</v>
      </c>
      <c r="AA75" s="76">
        <f>(AA44+рынок!AD13)/AA$60*0.001</f>
        <v>0.29137319401259576</v>
      </c>
      <c r="AB75" s="76">
        <f>(AB44+рынок!AE13)/AB$60*0.001</f>
        <v>0.30001347887364882</v>
      </c>
    </row>
    <row r="76" spans="1:28" x14ac:dyDescent="0.2">
      <c r="P76" s="394"/>
    </row>
    <row r="77" spans="1:28" x14ac:dyDescent="0.2">
      <c r="C77" s="21"/>
      <c r="K77" s="270"/>
      <c r="L77" s="3">
        <f>INDEX(INDPLAN_2030,1,K$9-7)</f>
        <v>21.190313235294116</v>
      </c>
      <c r="W77" s="27"/>
    </row>
    <row r="79" spans="1:28" x14ac:dyDescent="0.2">
      <c r="A79" s="80" t="s">
        <v>63</v>
      </c>
      <c r="C79">
        <v>1</v>
      </c>
      <c r="D79">
        <v>2</v>
      </c>
      <c r="E79">
        <v>3</v>
      </c>
      <c r="F79">
        <v>4</v>
      </c>
      <c r="G79">
        <v>5</v>
      </c>
      <c r="H79">
        <v>6</v>
      </c>
      <c r="I79">
        <v>7</v>
      </c>
      <c r="J79">
        <v>8</v>
      </c>
      <c r="K79" s="248">
        <v>9</v>
      </c>
      <c r="L79" s="3">
        <v>10</v>
      </c>
      <c r="M79">
        <v>11</v>
      </c>
      <c r="N79">
        <v>12</v>
      </c>
      <c r="O79">
        <v>13</v>
      </c>
      <c r="P79" s="387">
        <v>14</v>
      </c>
      <c r="Q79">
        <v>15</v>
      </c>
      <c r="R79">
        <v>16</v>
      </c>
      <c r="S79">
        <v>17</v>
      </c>
      <c r="T79">
        <v>18</v>
      </c>
      <c r="U79">
        <v>19</v>
      </c>
      <c r="V79">
        <v>20</v>
      </c>
      <c r="W79">
        <v>21</v>
      </c>
      <c r="X79">
        <v>22</v>
      </c>
      <c r="Y79">
        <v>23</v>
      </c>
      <c r="Z79">
        <v>24</v>
      </c>
      <c r="AA79">
        <v>25</v>
      </c>
      <c r="AB79">
        <v>26</v>
      </c>
    </row>
    <row r="80" spans="1:28" s="25" customFormat="1" ht="13.5" thickBot="1" x14ac:dyDescent="0.25">
      <c r="C80" s="25">
        <v>2006</v>
      </c>
      <c r="D80" s="25">
        <v>2007</v>
      </c>
      <c r="E80" s="25">
        <v>2008</v>
      </c>
      <c r="F80" s="25">
        <v>2009</v>
      </c>
      <c r="G80" s="25">
        <v>2010</v>
      </c>
      <c r="H80" s="25">
        <v>2011</v>
      </c>
      <c r="I80" s="25">
        <v>2012</v>
      </c>
      <c r="J80" s="25">
        <v>2013</v>
      </c>
      <c r="K80" s="249">
        <v>2014</v>
      </c>
      <c r="L80" s="84">
        <v>2015</v>
      </c>
      <c r="M80" s="25">
        <v>2016</v>
      </c>
      <c r="N80" s="25">
        <v>2017</v>
      </c>
      <c r="O80" s="25">
        <v>2018</v>
      </c>
      <c r="P80" s="388">
        <v>2019</v>
      </c>
      <c r="Q80" s="25">
        <v>2020</v>
      </c>
      <c r="R80" s="25">
        <v>2021</v>
      </c>
      <c r="S80" s="25">
        <v>2022</v>
      </c>
      <c r="T80" s="25">
        <v>2023</v>
      </c>
      <c r="U80" s="25">
        <v>2024</v>
      </c>
      <c r="V80" s="25">
        <v>2025</v>
      </c>
      <c r="W80" s="25">
        <v>2026</v>
      </c>
      <c r="X80" s="25">
        <v>2027</v>
      </c>
      <c r="Y80" s="25">
        <v>2028</v>
      </c>
      <c r="Z80" s="25">
        <v>2029</v>
      </c>
      <c r="AA80" s="25">
        <v>2030</v>
      </c>
      <c r="AB80" s="25">
        <v>2031</v>
      </c>
    </row>
    <row r="81" spans="1:28" s="75" customFormat="1" ht="21" thickBot="1" x14ac:dyDescent="0.35">
      <c r="A81" s="131">
        <v>0</v>
      </c>
      <c r="B81" s="356" t="s">
        <v>215</v>
      </c>
      <c r="C81" s="100">
        <f t="shared" ref="C81:J81" si="30">MAX((INDEX(INDPLAN_2014,1,C$9)-C69)*D60*1000,0)</f>
        <v>178273.87271805032</v>
      </c>
      <c r="D81" s="100">
        <f t="shared" si="30"/>
        <v>231198.35369725799</v>
      </c>
      <c r="E81" s="100">
        <f t="shared" si="30"/>
        <v>259032.04949618981</v>
      </c>
      <c r="F81" s="100">
        <f t="shared" si="30"/>
        <v>270176.71786756255</v>
      </c>
      <c r="G81" s="100">
        <f t="shared" si="30"/>
        <v>271942.50948375236</v>
      </c>
      <c r="H81" s="100">
        <f t="shared" si="30"/>
        <v>278606.40651479876</v>
      </c>
      <c r="I81" s="100">
        <f t="shared" si="30"/>
        <v>341870.39693474321</v>
      </c>
      <c r="J81" s="100">
        <f t="shared" si="30"/>
        <v>308494.07467115123</v>
      </c>
      <c r="K81" s="353">
        <f t="shared" ref="K81:AB81" si="31">MAX(INDEX(INDPLAN_2030,1,K$79-8)*L60*1000-K38+K49,0)</f>
        <v>562321.99701506936</v>
      </c>
      <c r="L81" s="353">
        <f t="shared" si="31"/>
        <v>859031.62563060957</v>
      </c>
      <c r="M81" s="353">
        <f t="shared" si="31"/>
        <v>1176576.0597297649</v>
      </c>
      <c r="N81" s="353">
        <f t="shared" si="31"/>
        <v>1490237.0421683476</v>
      </c>
      <c r="O81" s="353">
        <f t="shared" si="31"/>
        <v>1775791.7066163525</v>
      </c>
      <c r="P81" s="395">
        <f t="shared" si="31"/>
        <v>1567737.8890923348</v>
      </c>
      <c r="Q81" s="353">
        <f t="shared" si="31"/>
        <v>1359757.8628975395</v>
      </c>
      <c r="R81" s="353">
        <f t="shared" si="31"/>
        <v>1118592.3334155644</v>
      </c>
      <c r="S81" s="353">
        <f t="shared" si="31"/>
        <v>999310.37778440164</v>
      </c>
      <c r="T81" s="353">
        <f t="shared" si="31"/>
        <v>869091.61422766908</v>
      </c>
      <c r="U81" s="353">
        <f t="shared" si="31"/>
        <v>774155.39894350211</v>
      </c>
      <c r="V81" s="353">
        <f t="shared" si="31"/>
        <v>680646.18089483329</v>
      </c>
      <c r="W81" s="353">
        <f t="shared" si="31"/>
        <v>747126.47230478958</v>
      </c>
      <c r="X81" s="353">
        <f t="shared" si="31"/>
        <v>777861.60266815871</v>
      </c>
      <c r="Y81" s="353">
        <f t="shared" si="31"/>
        <v>694992.61332986085</v>
      </c>
      <c r="Z81" s="353">
        <f t="shared" si="31"/>
        <v>669551.75609792501</v>
      </c>
      <c r="AA81" s="353">
        <f t="shared" si="31"/>
        <v>521545.36201643525</v>
      </c>
      <c r="AB81" s="353">
        <f t="shared" si="31"/>
        <v>248919.57329179044</v>
      </c>
    </row>
    <row r="82" spans="1:28" x14ac:dyDescent="0.2">
      <c r="A82" s="3"/>
      <c r="B82" s="81" t="s">
        <v>60</v>
      </c>
      <c r="C82" s="100">
        <f>INDEX([1]!ScenVvodGKHNaselen,NScenVvodNaselGKH,C97)</f>
        <v>45327</v>
      </c>
      <c r="D82" s="100">
        <f>INDEX([1]!ScenVvodGKHNaselen,NScenVvodNaselGKH,D97)</f>
        <v>57390</v>
      </c>
      <c r="E82" s="100">
        <f>INDEX([1]!ScenVvodGKHNaselen,NScenVvodNaselGKH,E97)</f>
        <v>64558</v>
      </c>
      <c r="F82" s="100">
        <f>INDEX([1]!ScenVvodGKHNaselen,NScenVvodNaselGKH,F97)</f>
        <v>79561</v>
      </c>
      <c r="G82" s="100">
        <f>INDEX([1]!ScenVvodGKHNaselen,NScenVvodNaselGKH,G97)</f>
        <v>76798</v>
      </c>
      <c r="H82" s="100">
        <f>INDEX([1]!ScenVvodGKHNaselen,NScenVvodNaselGKH,H97)</f>
        <v>102700</v>
      </c>
      <c r="I82" s="100">
        <f>INDEX([1]!ScenVvodGKHNaselen,NScenVvodNaselGKH,I97)</f>
        <v>87400</v>
      </c>
      <c r="J82" s="100">
        <f>INDEX([1]!ScenVvodGKHNaselen,NScenVvodNaselGKH,J97)</f>
        <v>111900</v>
      </c>
      <c r="K82" s="100">
        <f>INDEX([1]!ScenVvodGKHNaselen,NScenVvodNaselGKH,K97)</f>
        <v>155652.9</v>
      </c>
      <c r="L82" s="100">
        <f>INDEX([1]!ScenVvodGKHNaselen,NScenVvodNaselGKH,L97)</f>
        <v>79382.978999999992</v>
      </c>
      <c r="M82" s="100">
        <f>INDEX([1]!ScenVvodGKHNaselen,NScenVvodNaselGKH,M97)</f>
        <v>51598.936349999989</v>
      </c>
      <c r="N82" s="100">
        <f>INDEX([1]!ScenVvodGKHNaselen,NScenVvodNaselGKH,N97)</f>
        <v>41279.149079999996</v>
      </c>
      <c r="O82" s="100">
        <f>INDEX([1]!ScenVvodGKHNaselen,NScenVvodNaselGKH,O97)</f>
        <v>358705.31417405262</v>
      </c>
      <c r="P82" s="396">
        <f>INDEX([1]!ScenVvodGKHNaselen,NScenVvodNaselGKH,P97)</f>
        <v>230114.90481222825</v>
      </c>
      <c r="Q82" s="100">
        <f>INDEX([1]!ScenVvodGKHNaselen,NScenVvodNaselGKH,Q97)</f>
        <v>167921.29453377827</v>
      </c>
      <c r="R82" s="100">
        <f>INDEX([1]!ScenVvodGKHNaselen,NScenVvodNaselGKH,R97)</f>
        <v>78789.125851305231</v>
      </c>
      <c r="S82" s="100">
        <f>INDEX([1]!ScenVvodGKHNaselen,NScenVvodNaselGKH,S97)</f>
        <v>117986.89594891602</v>
      </c>
      <c r="T82" s="100">
        <f>INDEX([1]!ScenVvodGKHNaselen,NScenVvodNaselGKH,T97)</f>
        <v>74244.236342498218</v>
      </c>
      <c r="U82" s="100">
        <f>INDEX([1]!ScenVvodGKHNaselen,NScenVvodNaselGKH,U97)</f>
        <v>67361.501991412762</v>
      </c>
      <c r="V82" s="100">
        <f>INDEX([1]!ScenVvodGKHNaselen,NScenVvodNaselGKH,V97)</f>
        <v>61991.598042885198</v>
      </c>
      <c r="W82" s="100">
        <f>INDEX([1]!ScenVvodGKHNaselen,NScenVvodNaselGKH,W97)</f>
        <v>65341.762776644195</v>
      </c>
      <c r="X82" s="100">
        <f>INDEX([1]!ScenVvodGKHNaselen,NScenVvodNaselGKH,X97)</f>
        <v>94798.730112738034</v>
      </c>
      <c r="Y82" s="100">
        <f>INDEX([1]!ScenVvodGKHNaselen,NScenVvodNaselGKH,Y97)</f>
        <v>51566.968132905859</v>
      </c>
      <c r="Z82" s="100">
        <f>INDEX([1]!ScenVvodGKHNaselen,NScenVvodNaselGKH,Z97)</f>
        <v>95344.912840090255</v>
      </c>
      <c r="AA82" s="100">
        <f>INDEX([1]!ScenVvodGKHNaselen,NScenVvodNaselGKH,AA97)</f>
        <v>169766.79303483054</v>
      </c>
      <c r="AB82" s="100">
        <f>INDEX([1]!ScenVvodGKHNaselen,NScenVvodNaselGKH,AB97)</f>
        <v>0</v>
      </c>
    </row>
    <row r="83" spans="1:28" x14ac:dyDescent="0.2">
      <c r="A83" s="3"/>
      <c r="B83" s="81" t="s">
        <v>65</v>
      </c>
      <c r="C83" s="100">
        <f>MAX(C81-C82,0)</f>
        <v>132946.87271805032</v>
      </c>
      <c r="D83" s="100">
        <f t="shared" ref="D83:AA83" si="32">MAX(D81-D82,0)</f>
        <v>173808.35369725799</v>
      </c>
      <c r="E83" s="100">
        <f t="shared" si="32"/>
        <v>194474.04949618981</v>
      </c>
      <c r="F83" s="100">
        <f t="shared" si="32"/>
        <v>190615.71786756255</v>
      </c>
      <c r="G83" s="100">
        <f t="shared" si="32"/>
        <v>195144.50948375236</v>
      </c>
      <c r="H83" s="100">
        <f t="shared" si="32"/>
        <v>175906.40651479876</v>
      </c>
      <c r="I83" s="100">
        <f t="shared" si="32"/>
        <v>254470.39693474321</v>
      </c>
      <c r="J83" s="100">
        <f t="shared" si="32"/>
        <v>196594.07467115123</v>
      </c>
      <c r="K83" s="257">
        <f t="shared" si="32"/>
        <v>406669.09701506933</v>
      </c>
      <c r="L83" s="102">
        <f t="shared" si="32"/>
        <v>779648.64663060964</v>
      </c>
      <c r="M83" s="102">
        <f t="shared" si="32"/>
        <v>1124977.1233797648</v>
      </c>
      <c r="N83" s="102">
        <f t="shared" si="32"/>
        <v>1448957.8930883477</v>
      </c>
      <c r="O83" s="102">
        <f t="shared" si="32"/>
        <v>1417086.3924423</v>
      </c>
      <c r="P83" s="397">
        <f t="shared" si="32"/>
        <v>1337622.9842801066</v>
      </c>
      <c r="Q83" s="102">
        <f t="shared" si="32"/>
        <v>1191836.5683637613</v>
      </c>
      <c r="R83" s="102">
        <f t="shared" si="32"/>
        <v>1039803.2075642592</v>
      </c>
      <c r="S83" s="102">
        <f t="shared" si="32"/>
        <v>881323.48183548567</v>
      </c>
      <c r="T83" s="102">
        <f t="shared" si="32"/>
        <v>794847.37788517086</v>
      </c>
      <c r="U83" s="102">
        <f t="shared" si="32"/>
        <v>706793.89695208939</v>
      </c>
      <c r="V83" s="102">
        <f t="shared" si="32"/>
        <v>618654.5828519481</v>
      </c>
      <c r="W83" s="102">
        <f t="shared" si="32"/>
        <v>681784.70952814538</v>
      </c>
      <c r="X83" s="102">
        <f t="shared" si="32"/>
        <v>683062.87255542073</v>
      </c>
      <c r="Y83" s="102">
        <f t="shared" si="32"/>
        <v>643425.64519695495</v>
      </c>
      <c r="Z83" s="102">
        <f t="shared" si="32"/>
        <v>574206.84325783479</v>
      </c>
      <c r="AA83" s="102">
        <f t="shared" si="32"/>
        <v>351778.56898160471</v>
      </c>
      <c r="AB83" s="102">
        <f t="shared" ref="AB83" si="33">MAX(AB81-AB82,0)</f>
        <v>248919.57329179044</v>
      </c>
    </row>
    <row r="84" spans="1:28" ht="22.5" x14ac:dyDescent="0.55000000000000004">
      <c r="B84" s="3"/>
      <c r="C84" s="129"/>
      <c r="D84" s="38"/>
      <c r="E84" s="38"/>
      <c r="F84" s="38"/>
      <c r="G84" s="38"/>
      <c r="H84" s="38"/>
      <c r="I84" s="38"/>
      <c r="J84" s="38"/>
      <c r="K84" s="251"/>
      <c r="L84" s="306"/>
      <c r="M84" s="349"/>
      <c r="N84" s="76"/>
      <c r="O84" s="76"/>
      <c r="P84" s="390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</row>
    <row r="85" spans="1:28" x14ac:dyDescent="0.2">
      <c r="A85" s="80" t="s">
        <v>64</v>
      </c>
      <c r="B85" s="3"/>
      <c r="C85" s="38"/>
      <c r="D85" s="38"/>
      <c r="E85" s="38"/>
      <c r="F85" s="38"/>
      <c r="G85" s="38"/>
      <c r="H85" s="38"/>
      <c r="I85" s="38"/>
      <c r="J85" s="38"/>
      <c r="K85" s="251"/>
      <c r="L85" s="76"/>
      <c r="M85" s="76"/>
      <c r="N85" s="76"/>
      <c r="O85" s="76"/>
      <c r="P85" s="390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</row>
    <row r="86" spans="1:28" ht="13.5" thickBot="1" x14ac:dyDescent="0.25">
      <c r="B86" s="3"/>
      <c r="C86" s="25">
        <v>2006</v>
      </c>
      <c r="D86" s="25">
        <v>2007</v>
      </c>
      <c r="E86" s="25">
        <v>2008</v>
      </c>
      <c r="F86" s="25">
        <v>2009</v>
      </c>
      <c r="G86" s="25">
        <v>2010</v>
      </c>
      <c r="H86" s="25">
        <v>2011</v>
      </c>
      <c r="I86" s="25">
        <v>2012</v>
      </c>
      <c r="J86" s="25">
        <v>2013</v>
      </c>
      <c r="K86" s="249">
        <v>2014</v>
      </c>
      <c r="L86" s="84">
        <v>2015</v>
      </c>
      <c r="M86" s="25">
        <v>2016</v>
      </c>
      <c r="N86" s="25">
        <v>2017</v>
      </c>
      <c r="O86" s="25">
        <v>2018</v>
      </c>
      <c r="P86" s="388">
        <v>2019</v>
      </c>
      <c r="Q86" s="25">
        <v>2020</v>
      </c>
      <c r="R86" s="25">
        <v>2021</v>
      </c>
      <c r="S86" s="25">
        <v>2022</v>
      </c>
      <c r="T86" s="25">
        <v>2023</v>
      </c>
      <c r="U86" s="25">
        <v>2024</v>
      </c>
      <c r="V86" s="25">
        <v>2025</v>
      </c>
      <c r="W86" s="25">
        <v>2026</v>
      </c>
      <c r="X86" s="25">
        <v>2027</v>
      </c>
      <c r="Y86" s="25">
        <v>2028</v>
      </c>
      <c r="Z86" s="25">
        <v>2029</v>
      </c>
      <c r="AA86" s="25">
        <v>2030</v>
      </c>
      <c r="AB86" s="25">
        <v>2031</v>
      </c>
    </row>
    <row r="87" spans="1:28" ht="13.5" thickBot="1" x14ac:dyDescent="0.25">
      <c r="A87">
        <v>2</v>
      </c>
      <c r="B87" t="s">
        <v>3</v>
      </c>
      <c r="C87" s="83">
        <f t="shared" ref="C87:J87" si="34">MAX((INDEX(INDPLAN_2014,$A87,C$9)-C70)*D61*1000,0)</f>
        <v>2999.3338721161958</v>
      </c>
      <c r="D87" s="83">
        <f t="shared" si="34"/>
        <v>1965.4909096304677</v>
      </c>
      <c r="E87" s="83">
        <f t="shared" si="34"/>
        <v>976.81191638102644</v>
      </c>
      <c r="F87" s="83">
        <f t="shared" si="34"/>
        <v>723.31921710574181</v>
      </c>
      <c r="G87" s="83">
        <f t="shared" si="34"/>
        <v>754.7082076518351</v>
      </c>
      <c r="H87" s="83">
        <f t="shared" si="34"/>
        <v>1211.8365238621313</v>
      </c>
      <c r="I87" s="83">
        <f t="shared" si="34"/>
        <v>2227.4329052024682</v>
      </c>
      <c r="J87" s="83">
        <f t="shared" si="34"/>
        <v>2946.7375072584546</v>
      </c>
      <c r="K87" s="353">
        <f t="shared" ref="K87:N87" si="35">MAX(INDEX(INDPLAN_2030,$A87,K$9-8)*L$61*1000-K39+K50,0)</f>
        <v>3487.9529858011915</v>
      </c>
      <c r="L87" s="353">
        <f t="shared" si="35"/>
        <v>4952.7867867496598</v>
      </c>
      <c r="M87" s="353">
        <f t="shared" si="35"/>
        <v>5920.8663855524337</v>
      </c>
      <c r="N87" s="353">
        <f t="shared" si="35"/>
        <v>6610.7304715215923</v>
      </c>
      <c r="O87" s="353">
        <f>MAX(INDEX(INDPLAN_2030,$A87,O$9-8)*P$61*1000-O39-рынок!R8+O50,0)</f>
        <v>1086.4274869691517</v>
      </c>
      <c r="P87" s="353">
        <f>MAX(INDEX(INDPLAN_2030,$A87,P$9-8)*Q$61*1000-P39-рынок!S8+P50,0)</f>
        <v>2395.7314632781349</v>
      </c>
      <c r="Q87" s="353">
        <f>MAX(INDEX(INDPLAN_2030,$A87,Q$9-8)*R$61*1000-Q39-рынок!T8+Q50,0)</f>
        <v>2825.3887597760922</v>
      </c>
      <c r="R87" s="353">
        <f>MAX(INDEX(INDPLAN_2030,$A87,R$9-8)*S$61*1000-R39-рынок!U8+R50,0)</f>
        <v>1850.2701496045256</v>
      </c>
      <c r="S87" s="353">
        <f>MAX(INDEX(INDPLAN_2030,$A87,S$9-8)*T$61*1000-S39-рынок!V8+S50,0)</f>
        <v>1728.3104606307861</v>
      </c>
      <c r="T87" s="353">
        <f>MAX(INDEX(INDPLAN_2030,$A87,T$9-8)*U$61*1000-T39-рынок!W8+T50,0)</f>
        <v>1229.951185270995</v>
      </c>
      <c r="U87" s="353">
        <f>MAX(INDEX(INDPLAN_2030,$A87,U$9-8)*V$61*1000-U39-рынок!X8+U50,0)</f>
        <v>1635.9959377210416</v>
      </c>
      <c r="V87" s="353">
        <f>MAX(INDEX(INDPLAN_2030,$A87,V$9-8)*W$61*1000-V39-рынок!Y8+V50,0)</f>
        <v>1984.2053498845148</v>
      </c>
      <c r="W87" s="353">
        <f>MAX(INDEX(INDPLAN_2030,$A87,W$9-8)*X$61*1000-W39-рынок!Z8+W50,0)</f>
        <v>0</v>
      </c>
      <c r="X87" s="353">
        <f>MAX(INDEX(INDPLAN_2030,$A87,X$9-8)*Y$61*1000-X39-рынок!AA8+X50,0)</f>
        <v>0</v>
      </c>
      <c r="Y87" s="353">
        <f>MAX(INDEX(INDPLAN_2030,$A87,Y$9-8)*Z$61*1000-Y39-рынок!AB8+Y50,0)</f>
        <v>0</v>
      </c>
      <c r="Z87" s="353">
        <f>MAX(INDEX(INDPLAN_2030,$A87,Z$9-8)*AA$61*1000-Z39-рынок!AC8+Z50,0)</f>
        <v>0</v>
      </c>
      <c r="AA87" s="353">
        <f>MAX(INDEX(INDPLAN_2030,$A87,AA$9-8)*AB$61*1000-AA39-рынок!AD8+AA50,0)</f>
        <v>0</v>
      </c>
      <c r="AB87" s="353">
        <f>MAX(INDEX(INDPLAN_2030,$A87,AB$9-8)*AC$61*1000-AB39-рынок!AE8+AB50,0)</f>
        <v>0</v>
      </c>
    </row>
    <row r="88" spans="1:28" ht="13.5" thickBot="1" x14ac:dyDescent="0.25">
      <c r="A88">
        <v>3</v>
      </c>
      <c r="B88" t="s">
        <v>29</v>
      </c>
      <c r="C88" s="83">
        <f t="shared" ref="C88:J88" si="36">MAX((INDEX(INDPLAN_2014,$A88,C$9)-C71)*D62*1000,0)</f>
        <v>1842.3365616175868</v>
      </c>
      <c r="D88" s="83">
        <f t="shared" si="36"/>
        <v>1812.763579796984</v>
      </c>
      <c r="E88" s="83">
        <f t="shared" si="36"/>
        <v>443.53966826954763</v>
      </c>
      <c r="F88" s="83">
        <f t="shared" si="36"/>
        <v>744.29248722825309</v>
      </c>
      <c r="G88" s="83">
        <f t="shared" si="36"/>
        <v>1396.5171469221998</v>
      </c>
      <c r="H88" s="83">
        <f t="shared" si="36"/>
        <v>0</v>
      </c>
      <c r="I88" s="83">
        <f t="shared" si="36"/>
        <v>339.4288588895397</v>
      </c>
      <c r="J88" s="83">
        <f t="shared" si="36"/>
        <v>1913.1347837453302</v>
      </c>
      <c r="K88" s="353">
        <f t="shared" ref="K88:N88" si="37">MAX(INDEX(INDPLAN_2030,$A88,K$9-8)*L$62*1000-K40+K51,0)</f>
        <v>10291.085321081173</v>
      </c>
      <c r="L88" s="353">
        <f t="shared" si="37"/>
        <v>11203.422111868062</v>
      </c>
      <c r="M88" s="353">
        <f t="shared" si="37"/>
        <v>13024.582936681449</v>
      </c>
      <c r="N88" s="353">
        <f t="shared" si="37"/>
        <v>15165.724549192821</v>
      </c>
      <c r="O88" s="353">
        <f>MAX(INDEX(INDPLAN_2030,$A88,O$9-8)*P$62*1000-O40-рынок!R9+O51,0)</f>
        <v>15357.333866353525</v>
      </c>
      <c r="P88" s="353">
        <f>MAX(INDEX(INDPLAN_2030,$A88,P$9-8)*Q$62*1000-P40-рынок!S9+P51,0)</f>
        <v>17317.658988621777</v>
      </c>
      <c r="Q88" s="353">
        <f>MAX(INDEX(INDPLAN_2030,$A88,Q$9-8)*R$62*1000-Q40-рынок!T9+Q51,0)</f>
        <v>16594.382920192897</v>
      </c>
      <c r="R88" s="353">
        <f>MAX(INDEX(INDPLAN_2030,$A88,R$9-8)*S$62*1000-R40-рынок!U9+R51,0)</f>
        <v>14200.915090743587</v>
      </c>
      <c r="S88" s="353">
        <f>MAX(INDEX(INDPLAN_2030,$A88,S$9-8)*T$62*1000-S40-рынок!V9+S51,0)</f>
        <v>12136.342716138348</v>
      </c>
      <c r="T88" s="353">
        <f>MAX(INDEX(INDPLAN_2030,$A88,T$9-8)*U$62*1000-T40-рынок!W9+T51,0)</f>
        <v>10908.415979732546</v>
      </c>
      <c r="U88" s="353">
        <f>MAX(INDEX(INDPLAN_2030,$A88,U$9-8)*V$62*1000-U40-рынок!X9+U51,0)</f>
        <v>9193.8857440125266</v>
      </c>
      <c r="V88" s="353">
        <f>MAX(INDEX(INDPLAN_2030,$A88,V$9-8)*W$62*1000-V40-рынок!Y9+V51,0)</f>
        <v>6400.2862070711717</v>
      </c>
      <c r="W88" s="353">
        <f>MAX(INDEX(INDPLAN_2030,$A88,W$9-8)*X$62*1000-W40-рынок!Z9+W51,0)</f>
        <v>3738.5836375969548</v>
      </c>
      <c r="X88" s="353">
        <f>MAX(INDEX(INDPLAN_2030,$A88,X$9-8)*Y$62*1000-X40-рынок!AA9+X51,0)</f>
        <v>4966.1835500982743</v>
      </c>
      <c r="Y88" s="353">
        <f>MAX(INDEX(INDPLAN_2030,$A88,Y$9-8)*Z$62*1000-Y40-рынок!AB9+Y51,0)</f>
        <v>5098.7926820461907</v>
      </c>
      <c r="Z88" s="353">
        <f>MAX(INDEX(INDPLAN_2030,$A88,Z$9-8)*AA$62*1000-Z40-рынок!AC9+Z51,0)</f>
        <v>4340.1111598347097</v>
      </c>
      <c r="AA88" s="353">
        <f>MAX(INDEX(INDPLAN_2030,$A88,AA$9-8)*AB$62*1000-AA40-рынок!AD9+AA51,0)</f>
        <v>3500.4716401719797</v>
      </c>
      <c r="AB88" s="353">
        <f>MAX(INDEX(INDPLAN_2030,$A88,AB$9-8)*AC$62*1000-AB40-рынок!AE9+AB51,0)</f>
        <v>1608.8578589297733</v>
      </c>
    </row>
    <row r="89" spans="1:28" ht="13.5" thickBot="1" x14ac:dyDescent="0.25">
      <c r="A89">
        <v>4</v>
      </c>
      <c r="B89" t="s">
        <v>5</v>
      </c>
      <c r="C89" s="83">
        <f t="shared" ref="C89:J89" si="38">MAX((INDEX(INDPLAN_2014,$A89,C$9)-C72)*D$60*1000,0)</f>
        <v>99.789988543524331</v>
      </c>
      <c r="D89" s="83">
        <f t="shared" si="38"/>
        <v>0</v>
      </c>
      <c r="E89" s="83">
        <f t="shared" si="38"/>
        <v>0</v>
      </c>
      <c r="F89" s="83">
        <f t="shared" si="38"/>
        <v>64.617868395466004</v>
      </c>
      <c r="G89" s="83">
        <f t="shared" si="38"/>
        <v>101.06650154091248</v>
      </c>
      <c r="H89" s="83">
        <f t="shared" si="38"/>
        <v>470.62724989977022</v>
      </c>
      <c r="I89" s="83">
        <f t="shared" si="38"/>
        <v>1091.0413191013097</v>
      </c>
      <c r="J89" s="83">
        <f t="shared" si="38"/>
        <v>967.24522621360506</v>
      </c>
      <c r="K89" s="353">
        <f t="shared" ref="K89:N89" si="39">MAX(INDEX(INDPLAN_2030,$A89,K$9-8)*L$60*1000-K41+K52,0)</f>
        <v>1131.4946979526583</v>
      </c>
      <c r="L89" s="353">
        <f t="shared" si="39"/>
        <v>1634.685811427817</v>
      </c>
      <c r="M89" s="353">
        <f t="shared" si="39"/>
        <v>2339.6671040192196</v>
      </c>
      <c r="N89" s="353">
        <f t="shared" si="39"/>
        <v>2576.2922563058059</v>
      </c>
      <c r="O89" s="353">
        <f>MAX(INDEX(INDPLAN_2030,$A89,O$9-8)*P$60*1000-O41-рынок!R10+O52,0)</f>
        <v>2170.25573696743</v>
      </c>
      <c r="P89" s="353">
        <f>MAX(INDEX(INDPLAN_2030,$A89,P$9-8)*Q$60*1000-P41-рынок!S10+P52,0)</f>
        <v>2674.4305503433061</v>
      </c>
      <c r="Q89" s="353">
        <f>MAX(INDEX(INDPLAN_2030,$A89,Q$9-8)*R$60*1000-Q41-рынок!T10+Q52,0)</f>
        <v>2755.3442665958582</v>
      </c>
      <c r="R89" s="353">
        <f>MAX(INDEX(INDPLAN_2030,$A89,R$9-8)*S$60*1000-R41-рынок!U10+R52,0)</f>
        <v>918.37480040048649</v>
      </c>
      <c r="S89" s="353">
        <f>MAX(INDEX(INDPLAN_2030,$A89,S$9-8)*T$60*1000-S41-рынок!V10+S52,0)</f>
        <v>1611.0693710010935</v>
      </c>
      <c r="T89" s="353">
        <f>MAX(INDEX(INDPLAN_2030,$A89,T$9-8)*U$60*1000-T41-рынок!W10+T52,0)</f>
        <v>1238.6580657616673</v>
      </c>
      <c r="U89" s="353">
        <f>MAX(INDEX(INDPLAN_2030,$A89,U$9-8)*V$60*1000-U41-рынок!X10+U52,0)</f>
        <v>1725.8214998062322</v>
      </c>
      <c r="V89" s="353">
        <f>MAX(INDEX(INDPLAN_2030,$A89,V$9-8)*W$60*1000-V41-рынок!Y10+V52,0)</f>
        <v>1480.0728691731415</v>
      </c>
      <c r="W89" s="353">
        <f>MAX(INDEX(INDPLAN_2030,$A89,W$9-8)*X$60*1000-W41-рынок!Z10+W52,0)</f>
        <v>1893.1521161951173</v>
      </c>
      <c r="X89" s="353">
        <f>MAX(INDEX(INDPLAN_2030,$A89,X$9-8)*Y$60*1000-X41-рынок!AA10+X52,0)</f>
        <v>853.9031596072773</v>
      </c>
      <c r="Y89" s="353">
        <f>MAX(INDEX(INDPLAN_2030,$A89,Y$9-8)*Z$60*1000-Y41-рынок!AB10+Y52,0)</f>
        <v>835.85386812263539</v>
      </c>
      <c r="Z89" s="353">
        <f>MAX(INDEX(INDPLAN_2030,$A89,Z$9-8)*AA$60*1000-Z41-рынок!AC10+Z52,0)</f>
        <v>964.64726161674025</v>
      </c>
      <c r="AA89" s="353">
        <f>MAX(INDEX(INDPLAN_2030,$A89,AA$9-8)*AB$60*1000-AA41-рынок!AD10+AA52,0)</f>
        <v>930.33216995126702</v>
      </c>
      <c r="AB89" s="353">
        <f>MAX(INDEX(INDPLAN_2030,$A89,AB$9-8)*AC$60*1000-AB41-рынок!AE10+AB52,0)</f>
        <v>200.73486399246559</v>
      </c>
    </row>
    <row r="90" spans="1:28" ht="13.5" thickBot="1" x14ac:dyDescent="0.25">
      <c r="A90">
        <v>5</v>
      </c>
      <c r="B90" t="s">
        <v>6</v>
      </c>
      <c r="C90" s="83">
        <f t="shared" ref="C90:J90" si="40">MAX((INDEX(INDPLAN_2014,$A90,C$9)-C73)*D$60*1000,0)</f>
        <v>1491.8006120239522</v>
      </c>
      <c r="D90" s="83">
        <f t="shared" si="40"/>
        <v>1459.2477198236616</v>
      </c>
      <c r="E90" s="83">
        <f t="shared" si="40"/>
        <v>971.96648789657434</v>
      </c>
      <c r="F90" s="83">
        <f t="shared" si="40"/>
        <v>646.35706558217328</v>
      </c>
      <c r="G90" s="83">
        <f t="shared" si="40"/>
        <v>1061.2279638354448</v>
      </c>
      <c r="H90" s="83">
        <f t="shared" si="40"/>
        <v>70.518469972182956</v>
      </c>
      <c r="I90" s="83">
        <f t="shared" si="40"/>
        <v>0</v>
      </c>
      <c r="J90" s="83">
        <f t="shared" si="40"/>
        <v>109.07622260447063</v>
      </c>
      <c r="K90" s="353">
        <f t="shared" ref="K90:N90" si="41">MAX(INDEX(INDPLAN_2030,$A90,K$9-8)*L$60*1000-K42+K53,0)</f>
        <v>2210.0263337563251</v>
      </c>
      <c r="L90" s="353">
        <f t="shared" si="41"/>
        <v>2744.0280306125883</v>
      </c>
      <c r="M90" s="353">
        <f t="shared" si="41"/>
        <v>3315.1125299567116</v>
      </c>
      <c r="N90" s="353">
        <f t="shared" si="41"/>
        <v>3861.3723814721643</v>
      </c>
      <c r="O90" s="353">
        <f>MAX(INDEX(INDPLAN_2030,$A90,O$9-8)*P$60*1000-O42-рынок!R11+O53,0)</f>
        <v>340.36241285190135</v>
      </c>
      <c r="P90" s="353">
        <f>MAX(INDEX(INDPLAN_2030,$A90,P$9-8)*Q$60*1000-P42-рынок!S11+P53,0)</f>
        <v>1964.1238316562133</v>
      </c>
      <c r="Q90" s="353">
        <f>MAX(INDEX(INDPLAN_2030,$A90,Q$9-8)*R$60*1000-Q42-рынок!T11+Q53,0)</f>
        <v>2561.0419737653565</v>
      </c>
      <c r="R90" s="353">
        <f>MAX(INDEX(INDPLAN_2030,$A90,R$9-8)*S$60*1000-R42-рынок!U11+R53,0)</f>
        <v>2074.4948157924055</v>
      </c>
      <c r="S90" s="353">
        <f>MAX(INDEX(INDPLAN_2030,$A90,S$9-8)*T$60*1000-S42-рынок!V11+S53,0)</f>
        <v>2040.9760695756613</v>
      </c>
      <c r="T90" s="353">
        <f>MAX(INDEX(INDPLAN_2030,$A90,T$9-8)*U$60*1000-T42-рынок!W11+T53,0)</f>
        <v>2110.2108698955985</v>
      </c>
      <c r="U90" s="353">
        <f>MAX(INDEX(INDPLAN_2030,$A90,U$9-8)*V$60*1000-U42-рынок!X11+U53,0)</f>
        <v>2137.6516813531885</v>
      </c>
      <c r="V90" s="353">
        <f>MAX(INDEX(INDPLAN_2030,$A90,V$9-8)*W$60*1000-V42-рынок!Y11+V53,0)</f>
        <v>2049.1402369381149</v>
      </c>
      <c r="W90" s="353">
        <f>MAX(INDEX(INDPLAN_2030,$A90,W$9-8)*X$60*1000-W42-рынок!Z11+W53,0)</f>
        <v>2164.4641183331219</v>
      </c>
      <c r="X90" s="353">
        <f>MAX(INDEX(INDPLAN_2030,$A90,X$9-8)*Y$60*1000-X42-рынок!AA11+X53,0)</f>
        <v>1468.5329392295364</v>
      </c>
      <c r="Y90" s="353">
        <f>MAX(INDEX(INDPLAN_2030,$A90,Y$9-8)*Z$60*1000-Y42-рынок!AB11+Y53,0)</f>
        <v>1297.9275203224363</v>
      </c>
      <c r="Z90" s="353">
        <f>MAX(INDEX(INDPLAN_2030,$A90,Z$9-8)*AA$60*1000-Z42-рынок!AC11+Z53,0)</f>
        <v>1507.5905691594189</v>
      </c>
      <c r="AA90" s="353">
        <f>MAX(INDEX(INDPLAN_2030,$A90,AA$9-8)*AB$60*1000-AA42-рынок!AD11+AA53,0)</f>
        <v>1450.7206822036983</v>
      </c>
      <c r="AB90" s="353">
        <f>MAX(INDEX(INDPLAN_2030,$A90,AB$9-8)*AC$60*1000-AB42-рынок!AE11+AB53,0)</f>
        <v>453.83214433105377</v>
      </c>
    </row>
    <row r="91" spans="1:28" ht="13.5" thickBot="1" x14ac:dyDescent="0.25">
      <c r="A91">
        <v>6</v>
      </c>
      <c r="B91" t="s">
        <v>1</v>
      </c>
      <c r="C91" s="83">
        <f t="shared" ref="C91:J91" si="42">MAX((INDEX(INDPLAN_2014,$A91,C$9)-C74)*D$60*1000,0)</f>
        <v>3980.1335414339487</v>
      </c>
      <c r="D91" s="83">
        <f t="shared" si="42"/>
        <v>3535.2489454806091</v>
      </c>
      <c r="E91" s="83">
        <f t="shared" si="42"/>
        <v>1944.3041010965107</v>
      </c>
      <c r="F91" s="83">
        <f t="shared" si="42"/>
        <v>3437.2028238310836</v>
      </c>
      <c r="G91" s="83">
        <f t="shared" si="42"/>
        <v>6965.5087291468835</v>
      </c>
      <c r="H91" s="83">
        <f t="shared" si="42"/>
        <v>7294.4048331320719</v>
      </c>
      <c r="I91" s="83">
        <f t="shared" si="42"/>
        <v>7846.4605596243337</v>
      </c>
      <c r="J91" s="83">
        <f t="shared" si="42"/>
        <v>4662.4694064187743</v>
      </c>
      <c r="K91" s="353">
        <f t="shared" ref="K91:N91" si="43">MAX(INDEX(INDPLAN_2030,$A91,K$9-8)*L$60*1000-K43+K54,0)</f>
        <v>10933.455738726836</v>
      </c>
      <c r="L91" s="353">
        <f t="shared" si="43"/>
        <v>18959.38910689886</v>
      </c>
      <c r="M91" s="353">
        <f t="shared" si="43"/>
        <v>21128.72891582987</v>
      </c>
      <c r="N91" s="353">
        <f t="shared" si="43"/>
        <v>28897.389922016722</v>
      </c>
      <c r="O91" s="353">
        <f>MAX(INDEX(INDPLAN_2030,$A91,O$9-8)*P$60*1000-O43-рынок!R12+O54,0)</f>
        <v>27153.91508882599</v>
      </c>
      <c r="P91" s="353">
        <f>MAX(INDEX(INDPLAN_2030,$A91,P$9-8)*Q$60*1000-P43-рынок!S12+P54,0)</f>
        <v>31357.490493935387</v>
      </c>
      <c r="Q91" s="353">
        <f>MAX(INDEX(INDPLAN_2030,$A91,Q$9-8)*R$60*1000-Q43-рынок!T12+Q54,0)</f>
        <v>15423.959331054843</v>
      </c>
      <c r="R91" s="353">
        <f>MAX(INDEX(INDPLAN_2030,$A91,R$9-8)*S$60*1000-R43-рынок!U12+R54,0)</f>
        <v>19191.329156094904</v>
      </c>
      <c r="S91" s="353">
        <f>MAX(INDEX(INDPLAN_2030,$A91,S$9-8)*T$60*1000-S43-рынок!V12+S54,0)</f>
        <v>7727.0171883575722</v>
      </c>
      <c r="T91" s="353">
        <f>MAX(INDEX(INDPLAN_2030,$A91,T$9-8)*U$60*1000-T43-рынок!W12+T54,0)</f>
        <v>14085.235042243583</v>
      </c>
      <c r="U91" s="353">
        <f>MAX(INDEX(INDPLAN_2030,$A91,U$9-8)*V$60*1000-U43-рынок!X12+U54,0)</f>
        <v>16783.54981295393</v>
      </c>
      <c r="V91" s="353">
        <f>MAX(INDEX(INDPLAN_2030,$A91,V$9-8)*W$60*1000-V43-рынок!Y12+V54,0)</f>
        <v>18653.445617365545</v>
      </c>
      <c r="W91" s="353">
        <f>MAX(INDEX(INDPLAN_2030,$A91,W$9-8)*X$60*1000-W43-рынок!Z12+W54,0)</f>
        <v>8580.7591422659825</v>
      </c>
      <c r="X91" s="353">
        <f>MAX(INDEX(INDPLAN_2030,$A91,X$9-8)*Y$60*1000-X43-рынок!AA12+X54,0)</f>
        <v>14387.156926949865</v>
      </c>
      <c r="Y91" s="353">
        <f>MAX(INDEX(INDPLAN_2030,$A91,Y$9-8)*Z$60*1000-Y43-рынок!AB12+Y54,0)</f>
        <v>7880.1227457869227</v>
      </c>
      <c r="Z91" s="353">
        <f>MAX(INDEX(INDPLAN_2030,$A91,Z$9-8)*AA$60*1000-Z43-рынок!AC12+Z54,0)</f>
        <v>9095.6233939674657</v>
      </c>
      <c r="AA91" s="353">
        <f>MAX(INDEX(INDPLAN_2030,$A91,AA$9-8)*AB$60*1000-AA43-рынок!AD12+AA54,0)</f>
        <v>8818.2540216829548</v>
      </c>
      <c r="AB91" s="353">
        <f>MAX(INDEX(INDPLAN_2030,$A91,AB$9-8)*AC$60*1000-AB43-рынок!AE12+AB54,0)</f>
        <v>2645.1073176528816</v>
      </c>
    </row>
    <row r="92" spans="1:28" ht="13.5" thickBot="1" x14ac:dyDescent="0.25">
      <c r="A92">
        <v>7</v>
      </c>
      <c r="B92" t="s">
        <v>2</v>
      </c>
      <c r="C92" s="83">
        <f t="shared" ref="C92:J92" si="44">MAX((INDEX(INDPLAN_2014,$A92,C$9)-C75)*D$60*1000,0)</f>
        <v>3980.1335414339487</v>
      </c>
      <c r="D92" s="83">
        <f t="shared" si="44"/>
        <v>284.73238548061357</v>
      </c>
      <c r="E92" s="83">
        <f t="shared" si="44"/>
        <v>992.87560670358471</v>
      </c>
      <c r="F92" s="83">
        <f t="shared" si="44"/>
        <v>7471.9946861310946</v>
      </c>
      <c r="G92" s="83">
        <f t="shared" si="44"/>
        <v>7969.0810386395815</v>
      </c>
      <c r="H92" s="83">
        <f t="shared" si="44"/>
        <v>7404.6011327210372</v>
      </c>
      <c r="I92" s="83">
        <f t="shared" si="44"/>
        <v>7633.8531318259129</v>
      </c>
      <c r="J92" s="83">
        <f t="shared" si="44"/>
        <v>9764.1646644881075</v>
      </c>
      <c r="K92" s="353">
        <f t="shared" ref="K92:N92" si="45">MAX(INDEX(INDPLAN_2030,$A92,K$9-8)*L$60*1000-K44+K55,0)</f>
        <v>10611.18698228147</v>
      </c>
      <c r="L92" s="353">
        <f t="shared" si="45"/>
        <v>17244.431543046881</v>
      </c>
      <c r="M92" s="353">
        <f t="shared" si="45"/>
        <v>23295.18682761641</v>
      </c>
      <c r="N92" s="353">
        <f t="shared" si="45"/>
        <v>29268.830609387365</v>
      </c>
      <c r="O92" s="353">
        <f>MAX(INDEX(INDPLAN_2030,$A92,O$9-8)*P$60*1000-O44-рынок!R13+O55,0)</f>
        <v>29944.781337655495</v>
      </c>
      <c r="P92" s="353">
        <f>MAX(INDEX(INDPLAN_2030,$A92,P$9-8)*Q$60*1000-P44-рынок!S13+P55,0.1)</f>
        <v>20345.021637220128</v>
      </c>
      <c r="Q92" s="353">
        <f>MAX(INDEX(INDPLAN_2030,$A92,Q$9-8)*R$60*1000-Q44-рынок!T13+Q55,0.1)</f>
        <v>20660.169110259681</v>
      </c>
      <c r="R92" s="353">
        <f>MAX(INDEX(INDPLAN_2030,$A92,R$9-8)*S$60*1000-R44-рынок!U13+R55,0.1)</f>
        <v>12179.788066215873</v>
      </c>
      <c r="S92" s="353">
        <f>MAX(INDEX(INDPLAN_2030,$A92,S$9-8)*T$60*1000-S44-рынок!V13+S55,0.1)</f>
        <v>13867.268317318425</v>
      </c>
      <c r="T92" s="353">
        <f>MAX(INDEX(INDPLAN_2030,$A92,T$9-8)*U$60*1000-T44-рынок!W13+T55,0.1)</f>
        <v>14470.212929204064</v>
      </c>
      <c r="U92" s="353">
        <f>MAX(INDEX(INDPLAN_2030,$A92,U$9-8)*V$60*1000-U44-рынок!X13+U55,0.1)</f>
        <v>6177.5772538696547</v>
      </c>
      <c r="V92" s="353">
        <f>MAX(INDEX(INDPLAN_2030,$A92,V$9-8)*W$60*1000-V44-рынок!Y13+V55,0.1)</f>
        <v>11382.850446939952</v>
      </c>
      <c r="W92" s="353">
        <f>MAX(INDEX(INDPLAN_2030,$A92,W$9-8)*X$60*1000-W44-рынок!Z13+W55,0.1)</f>
        <v>13601.031325015249</v>
      </c>
      <c r="X92" s="353">
        <f>MAX(INDEX(INDPLAN_2030,$A92,X$9-8)*Y$60*1000-X44-рынок!AA13+X55,0.1)</f>
        <v>9902.0709276000343</v>
      </c>
      <c r="Y92" s="353">
        <f>MAX(INDEX(INDPLAN_2030,$A92,Y$9-8)*Z$60*1000-Y44-рынок!AB13+Y55,0.1)</f>
        <v>7533.5376064305628</v>
      </c>
      <c r="Z92" s="353">
        <f>MAX(INDEX(INDPLAN_2030,$A92,Z$9-8)*AA$60*1000-Z44-рынок!AC13+Z55,0.1)</f>
        <v>8800.1535177694241</v>
      </c>
      <c r="AA92" s="353">
        <f>MAX(INDEX(INDPLAN_2030,$A92,AA$9-8)*AB$60*1000-AA44-рынок!AD13+AA55,0.1)</f>
        <v>8489.5456089527634</v>
      </c>
      <c r="AB92" s="353">
        <f>MAX(INDEX(INDPLAN_2030,$A92,AB$9-8)*AC$60*1000-AB44-рынок!AE13+AB55,0.1)</f>
        <v>2616.6859890499904</v>
      </c>
    </row>
    <row r="93" spans="1:28" x14ac:dyDescent="0.2">
      <c r="B93" s="3"/>
      <c r="C93" s="38"/>
      <c r="D93" s="38"/>
      <c r="E93" s="38"/>
      <c r="F93" s="38"/>
      <c r="G93" s="38"/>
      <c r="H93" s="38"/>
      <c r="I93" s="38"/>
      <c r="J93" s="38"/>
      <c r="K93" s="251"/>
      <c r="L93" s="76"/>
      <c r="M93" s="76"/>
      <c r="N93" s="76"/>
      <c r="O93" s="76"/>
      <c r="P93" s="390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</row>
    <row r="94" spans="1:28" x14ac:dyDescent="0.2">
      <c r="B94" s="3"/>
      <c r="C94" s="132"/>
      <c r="D94" s="38"/>
      <c r="E94" s="38"/>
      <c r="F94" s="38"/>
      <c r="G94" s="38"/>
      <c r="H94" s="38"/>
      <c r="I94" s="38"/>
      <c r="J94" s="38"/>
      <c r="K94" s="251"/>
      <c r="L94" s="76"/>
      <c r="M94" s="76"/>
      <c r="N94" s="76"/>
      <c r="O94" s="76"/>
      <c r="P94" s="390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</row>
    <row r="96" spans="1:28" x14ac:dyDescent="0.2">
      <c r="C96" s="25">
        <v>2006</v>
      </c>
      <c r="D96" s="25">
        <v>2007</v>
      </c>
      <c r="E96" s="25">
        <v>2008</v>
      </c>
      <c r="F96" s="25">
        <v>2009</v>
      </c>
      <c r="G96" s="25">
        <v>2010</v>
      </c>
      <c r="H96" s="25">
        <v>2011</v>
      </c>
      <c r="I96" s="25">
        <v>2012</v>
      </c>
      <c r="J96" s="25">
        <v>2013</v>
      </c>
      <c r="K96" s="249">
        <v>2014</v>
      </c>
      <c r="L96" s="84">
        <v>2015</v>
      </c>
      <c r="M96" s="25">
        <v>2016</v>
      </c>
      <c r="N96" s="25">
        <v>2017</v>
      </c>
      <c r="O96" s="25">
        <v>2018</v>
      </c>
      <c r="P96" s="388">
        <v>2019</v>
      </c>
      <c r="Q96" s="25">
        <v>2020</v>
      </c>
      <c r="R96" s="25">
        <v>2021</v>
      </c>
      <c r="S96" s="25">
        <v>2022</v>
      </c>
      <c r="T96" s="25">
        <v>2023</v>
      </c>
      <c r="U96" s="25">
        <v>2024</v>
      </c>
      <c r="V96" s="25">
        <v>2025</v>
      </c>
      <c r="W96" s="25">
        <v>2026</v>
      </c>
      <c r="X96" s="25">
        <v>2027</v>
      </c>
      <c r="Y96" s="25">
        <v>2028</v>
      </c>
      <c r="Z96" s="25">
        <v>2029</v>
      </c>
      <c r="AA96" s="25">
        <v>2030</v>
      </c>
      <c r="AB96" s="25">
        <v>2031</v>
      </c>
    </row>
    <row r="97" spans="1:28" x14ac:dyDescent="0.2">
      <c r="A97" s="80" t="s">
        <v>61</v>
      </c>
      <c r="C97">
        <v>1</v>
      </c>
      <c r="D97">
        <v>2</v>
      </c>
      <c r="E97">
        <v>3</v>
      </c>
      <c r="F97">
        <v>4</v>
      </c>
      <c r="G97">
        <v>5</v>
      </c>
      <c r="H97">
        <v>6</v>
      </c>
      <c r="I97">
        <v>7</v>
      </c>
      <c r="J97">
        <v>8</v>
      </c>
      <c r="K97" s="248">
        <v>9</v>
      </c>
      <c r="L97" s="3">
        <v>10</v>
      </c>
      <c r="M97" s="3">
        <v>11</v>
      </c>
      <c r="N97" s="3">
        <v>12</v>
      </c>
      <c r="O97" s="3">
        <v>13</v>
      </c>
      <c r="P97" s="387">
        <v>14</v>
      </c>
      <c r="Q97" s="3">
        <v>15</v>
      </c>
      <c r="R97" s="3">
        <v>16</v>
      </c>
      <c r="S97" s="3">
        <v>17</v>
      </c>
      <c r="T97" s="3">
        <v>18</v>
      </c>
      <c r="U97" s="3">
        <v>19</v>
      </c>
      <c r="V97" s="3">
        <v>20</v>
      </c>
      <c r="W97" s="3">
        <v>21</v>
      </c>
      <c r="X97" s="3">
        <v>22</v>
      </c>
      <c r="Y97" s="3">
        <v>23</v>
      </c>
      <c r="Z97" s="3">
        <v>24</v>
      </c>
      <c r="AA97" s="3">
        <v>25</v>
      </c>
      <c r="AB97" s="3">
        <v>26</v>
      </c>
    </row>
    <row r="98" spans="1:28" x14ac:dyDescent="0.2">
      <c r="B98" s="25"/>
    </row>
    <row r="99" spans="1:28" x14ac:dyDescent="0.2">
      <c r="A99">
        <v>1</v>
      </c>
      <c r="B99" t="s">
        <v>41</v>
      </c>
      <c r="C99" s="76">
        <f t="shared" ref="C99:AA99" si="46">C83*INDEX(KumIndPPP,NscenInfl,C$97)*INDEX(NeobhBaKVLEdMosh,$A99,C$97)</f>
        <v>2853039.8885293594</v>
      </c>
      <c r="D99" s="76">
        <f t="shared" si="46"/>
        <v>4211087.8882174231</v>
      </c>
      <c r="E99" s="76">
        <f t="shared" si="46"/>
        <v>8986313.2859290466</v>
      </c>
      <c r="F99" s="76">
        <f t="shared" si="46"/>
        <v>9329351.4402351081</v>
      </c>
      <c r="G99" s="76">
        <f t="shared" si="46"/>
        <v>11002757.978623468</v>
      </c>
      <c r="H99" s="76">
        <f t="shared" si="46"/>
        <v>11127122.560494922</v>
      </c>
      <c r="I99" s="76">
        <f t="shared" si="46"/>
        <v>18087929.765074879</v>
      </c>
      <c r="J99" s="76">
        <f t="shared" si="46"/>
        <v>15472058.433762105</v>
      </c>
      <c r="K99" s="251">
        <f t="shared" si="46"/>
        <v>38235395.828021362</v>
      </c>
      <c r="L99" s="76">
        <f t="shared" si="46"/>
        <v>83565727.776314393</v>
      </c>
      <c r="M99" s="76">
        <f t="shared" si="46"/>
        <v>141077847.01513931</v>
      </c>
      <c r="N99" s="76">
        <f t="shared" si="46"/>
        <v>214413884.29560006</v>
      </c>
      <c r="O99" s="76">
        <f t="shared" si="46"/>
        <v>241152244.05115703</v>
      </c>
      <c r="P99" s="390">
        <f t="shared" si="46"/>
        <v>257221428.6041539</v>
      </c>
      <c r="Q99" s="76">
        <f t="shared" si="46"/>
        <v>254397657.86159107</v>
      </c>
      <c r="R99" s="76">
        <f t="shared" si="46"/>
        <v>244140730.72528866</v>
      </c>
      <c r="S99" s="76">
        <f t="shared" si="46"/>
        <v>227623508.972597</v>
      </c>
      <c r="T99" s="76">
        <f t="shared" si="46"/>
        <v>221712037.88317585</v>
      </c>
      <c r="U99" s="76">
        <f t="shared" si="46"/>
        <v>214894260.68712875</v>
      </c>
      <c r="V99" s="76">
        <f t="shared" si="46"/>
        <v>206905933.61596864</v>
      </c>
      <c r="W99" s="76">
        <f t="shared" si="46"/>
        <v>253101632.79108292</v>
      </c>
      <c r="X99" s="76">
        <f t="shared" si="46"/>
        <v>273862220.7285744</v>
      </c>
      <c r="Y99" s="76">
        <f t="shared" si="46"/>
        <v>276028286.65932351</v>
      </c>
      <c r="Z99" s="76">
        <f t="shared" si="46"/>
        <v>263576911.45475316</v>
      </c>
      <c r="AA99" s="76">
        <f t="shared" si="46"/>
        <v>172779477.47231174</v>
      </c>
      <c r="AB99" s="76">
        <f t="shared" ref="AB99" si="47">AB83*INDEX(KumIndPPP,NscenInfl,AB$97)*INDEX(NeobhBaKVLEdMosh,$A99,AB$97)</f>
        <v>130817427.29703304</v>
      </c>
    </row>
    <row r="100" spans="1:28" x14ac:dyDescent="0.2">
      <c r="A100">
        <v>2</v>
      </c>
      <c r="B100" t="s">
        <v>3</v>
      </c>
      <c r="C100" s="76">
        <f t="shared" ref="C100:AA100" si="48">C87*INDEX(KumIndPPP,NscenInfl,C$97)*INDEX(NeobhBaKVLEdMosh,$A100,C$97)</f>
        <v>643657.04895613564</v>
      </c>
      <c r="D100" s="76">
        <f t="shared" si="48"/>
        <v>476205.82025436242</v>
      </c>
      <c r="E100" s="76">
        <f t="shared" si="48"/>
        <v>352631.31526935304</v>
      </c>
      <c r="F100" s="76">
        <f t="shared" si="48"/>
        <v>280964.98702417413</v>
      </c>
      <c r="G100" s="76">
        <f t="shared" si="48"/>
        <v>297191.5271313251</v>
      </c>
      <c r="H100" s="76">
        <f t="shared" si="48"/>
        <v>511038.93983393774</v>
      </c>
      <c r="I100" s="76">
        <f t="shared" si="48"/>
        <v>1055516.3568738117</v>
      </c>
      <c r="J100" s="76">
        <f t="shared" si="48"/>
        <v>1546065.4134676424</v>
      </c>
      <c r="K100" s="251">
        <f t="shared" si="48"/>
        <v>2562035.0800203169</v>
      </c>
      <c r="L100" s="76">
        <f t="shared" si="48"/>
        <v>4147333.2465239209</v>
      </c>
      <c r="M100" s="76">
        <f t="shared" si="48"/>
        <v>5800833.8068227014</v>
      </c>
      <c r="N100" s="76">
        <f t="shared" si="48"/>
        <v>7642520.6457403656</v>
      </c>
      <c r="O100" s="76">
        <f t="shared" si="48"/>
        <v>1444394.2640355476</v>
      </c>
      <c r="P100" s="390">
        <f t="shared" si="48"/>
        <v>3599163.618845507</v>
      </c>
      <c r="Q100" s="76">
        <f t="shared" si="48"/>
        <v>4711559.1267048512</v>
      </c>
      <c r="R100" s="76">
        <f t="shared" si="48"/>
        <v>3394018.9285748336</v>
      </c>
      <c r="S100" s="76">
        <f t="shared" si="48"/>
        <v>3487334.1392863137</v>
      </c>
      <c r="T100" s="76">
        <f t="shared" si="48"/>
        <v>2680300.1684110658</v>
      </c>
      <c r="U100" s="76">
        <f t="shared" si="48"/>
        <v>3886013.2511729361</v>
      </c>
      <c r="V100" s="76">
        <f t="shared" si="48"/>
        <v>5184434.0902120527</v>
      </c>
      <c r="W100" s="76">
        <f t="shared" si="48"/>
        <v>0</v>
      </c>
      <c r="X100" s="76">
        <f t="shared" si="48"/>
        <v>0</v>
      </c>
      <c r="Y100" s="76">
        <f t="shared" si="48"/>
        <v>0</v>
      </c>
      <c r="Z100" s="76">
        <f t="shared" si="48"/>
        <v>0</v>
      </c>
      <c r="AA100" s="76">
        <f t="shared" si="48"/>
        <v>0</v>
      </c>
      <c r="AB100" s="76">
        <f t="shared" ref="AB100" si="49">AB87*INDEX(KumIndPPP,NscenInfl,AB$97)*INDEX(NeobhBaKVLEdMosh,$A100,AB$97)</f>
        <v>0</v>
      </c>
    </row>
    <row r="101" spans="1:28" x14ac:dyDescent="0.2">
      <c r="A101">
        <v>3</v>
      </c>
      <c r="B101" t="s">
        <v>29</v>
      </c>
      <c r="C101" s="76">
        <f t="shared" ref="C101:AA101" si="50">C88*INDEX(KumIndPPP,NscenInfl,C$97)*INDEX(NeobhBaKVLEdMosh,$A101,C$97)</f>
        <v>197682.71306156705</v>
      </c>
      <c r="D101" s="76">
        <f t="shared" si="50"/>
        <v>329401.89263203839</v>
      </c>
      <c r="E101" s="76">
        <f t="shared" si="50"/>
        <v>128095.06024495597</v>
      </c>
      <c r="F101" s="76">
        <f t="shared" si="50"/>
        <v>185031.55924150065</v>
      </c>
      <c r="G101" s="76">
        <f t="shared" si="50"/>
        <v>374949.00137709395</v>
      </c>
      <c r="H101" s="76">
        <f t="shared" si="50"/>
        <v>0</v>
      </c>
      <c r="I101" s="76">
        <f t="shared" si="50"/>
        <v>80422.784389179142</v>
      </c>
      <c r="J101" s="76">
        <f t="shared" si="50"/>
        <v>250941.21152331782</v>
      </c>
      <c r="K101" s="251">
        <f t="shared" si="50"/>
        <v>3326046.4097499093</v>
      </c>
      <c r="L101" s="76">
        <f t="shared" si="50"/>
        <v>4127838.301949033</v>
      </c>
      <c r="M101" s="76">
        <f t="shared" si="50"/>
        <v>5614636.7581304815</v>
      </c>
      <c r="N101" s="76">
        <f t="shared" si="50"/>
        <v>7714415.2115434175</v>
      </c>
      <c r="O101" s="76">
        <f t="shared" si="50"/>
        <v>8983664.2518146113</v>
      </c>
      <c r="P101" s="390">
        <f t="shared" si="50"/>
        <v>11447359.283105535</v>
      </c>
      <c r="Q101" s="76">
        <f t="shared" si="50"/>
        <v>12175875.99328492</v>
      </c>
      <c r="R101" s="76">
        <f t="shared" si="50"/>
        <v>11461675.927595006</v>
      </c>
      <c r="S101" s="76">
        <f t="shared" si="50"/>
        <v>10774876.752428668</v>
      </c>
      <c r="T101" s="76">
        <f t="shared" si="50"/>
        <v>10459475.950420408</v>
      </c>
      <c r="U101" s="76">
        <f t="shared" si="50"/>
        <v>9608903.569491405</v>
      </c>
      <c r="V101" s="76">
        <f t="shared" si="50"/>
        <v>7358119.0981232952</v>
      </c>
      <c r="W101" s="76">
        <f t="shared" si="50"/>
        <v>4770869.0641066115</v>
      </c>
      <c r="X101" s="76">
        <f t="shared" si="50"/>
        <v>6844424.216105965</v>
      </c>
      <c r="Y101" s="76">
        <f t="shared" si="50"/>
        <v>7519090.0087804757</v>
      </c>
      <c r="Z101" s="76">
        <f t="shared" si="50"/>
        <v>6848296.5847947709</v>
      </c>
      <c r="AA101" s="76">
        <f t="shared" si="50"/>
        <v>5910062.1602597032</v>
      </c>
      <c r="AB101" s="76">
        <f t="shared" ref="AB101" si="51">AB88*INDEX(KumIndPPP,NscenInfl,AB$97)*INDEX(NeobhBaKVLEdMosh,$A101,AB$97)</f>
        <v>2906477.3253035843</v>
      </c>
    </row>
    <row r="102" spans="1:28" x14ac:dyDescent="0.2">
      <c r="A102">
        <v>4</v>
      </c>
      <c r="B102" t="s">
        <v>5</v>
      </c>
      <c r="C102" s="76">
        <f t="shared" ref="C102:AA102" si="52">C89*INDEX(KumIndPPP,NscenInfl,C$97)*INDEX(NeobhBaKVLEdMosh,$A102,C$97)</f>
        <v>42829.863082880634</v>
      </c>
      <c r="D102" s="76">
        <f t="shared" si="52"/>
        <v>0</v>
      </c>
      <c r="E102" s="76">
        <f t="shared" si="52"/>
        <v>0</v>
      </c>
      <c r="F102" s="76">
        <f t="shared" si="52"/>
        <v>50200.12776076368</v>
      </c>
      <c r="G102" s="76">
        <f t="shared" si="52"/>
        <v>90450.694689424126</v>
      </c>
      <c r="H102" s="76">
        <f t="shared" si="52"/>
        <v>396932.83064160653</v>
      </c>
      <c r="I102" s="76">
        <f t="shared" si="52"/>
        <v>1034026.1703478189</v>
      </c>
      <c r="J102" s="76">
        <f t="shared" si="52"/>
        <v>1014969.5294589257</v>
      </c>
      <c r="K102" s="251">
        <f t="shared" si="52"/>
        <v>1496027.1590422429</v>
      </c>
      <c r="L102" s="76">
        <f t="shared" si="52"/>
        <v>2463917.1418983093</v>
      </c>
      <c r="M102" s="76">
        <f t="shared" si="52"/>
        <v>4126023.8738508238</v>
      </c>
      <c r="N102" s="76">
        <f t="shared" si="52"/>
        <v>5361111.0477997223</v>
      </c>
      <c r="O102" s="76">
        <f t="shared" si="52"/>
        <v>5193599.1642477717</v>
      </c>
      <c r="P102" s="390">
        <f t="shared" si="52"/>
        <v>7232147.6400181828</v>
      </c>
      <c r="Q102" s="76">
        <f t="shared" si="52"/>
        <v>8270557.9141400438</v>
      </c>
      <c r="R102" s="76">
        <f t="shared" si="52"/>
        <v>3032295.9175193361</v>
      </c>
      <c r="S102" s="76">
        <f t="shared" si="52"/>
        <v>5851383.3152176728</v>
      </c>
      <c r="T102" s="76">
        <f t="shared" si="52"/>
        <v>4858693.4438051041</v>
      </c>
      <c r="U102" s="76">
        <f t="shared" si="52"/>
        <v>7378879.8083125213</v>
      </c>
      <c r="V102" s="76">
        <f t="shared" si="52"/>
        <v>6960979.3315467313</v>
      </c>
      <c r="W102" s="76">
        <f t="shared" si="52"/>
        <v>9883157.9577794969</v>
      </c>
      <c r="X102" s="76">
        <f t="shared" si="52"/>
        <v>4814404.7769006668</v>
      </c>
      <c r="Y102" s="76">
        <f t="shared" si="52"/>
        <v>5042525.6387907797</v>
      </c>
      <c r="Z102" s="76">
        <f t="shared" si="52"/>
        <v>6226873.9142384594</v>
      </c>
      <c r="AA102" s="76">
        <f t="shared" si="52"/>
        <v>6425743.0106657818</v>
      </c>
      <c r="AB102" s="76">
        <f t="shared" ref="AB102" si="53">AB89*INDEX(KumIndPPP,NscenInfl,AB$97)*INDEX(NeobhBaKVLEdMosh,$A102,AB$97)</f>
        <v>1483514.8555806528</v>
      </c>
    </row>
    <row r="103" spans="1:28" x14ac:dyDescent="0.2">
      <c r="A103">
        <v>5</v>
      </c>
      <c r="B103" t="s">
        <v>6</v>
      </c>
      <c r="C103" s="76">
        <f t="shared" ref="C103:AA103" si="54">C90*INDEX(KumIndPPP,NscenInfl,C$97)*INDEX(NeobhBaKVLEdMosh,$A103,C$97)</f>
        <v>160070.20567017008</v>
      </c>
      <c r="D103" s="76">
        <f t="shared" si="54"/>
        <v>176775.74950056206</v>
      </c>
      <c r="E103" s="76">
        <f t="shared" si="54"/>
        <v>210529.26276403491</v>
      </c>
      <c r="F103" s="76">
        <f t="shared" si="54"/>
        <v>150641.95745076964</v>
      </c>
      <c r="G103" s="76">
        <f t="shared" si="54"/>
        <v>284927.66175517236</v>
      </c>
      <c r="H103" s="76">
        <f t="shared" si="54"/>
        <v>22303.555444782723</v>
      </c>
      <c r="I103" s="76">
        <f t="shared" si="54"/>
        <v>0</v>
      </c>
      <c r="J103" s="76">
        <f t="shared" si="54"/>
        <v>28614.522804470209</v>
      </c>
      <c r="K103" s="251">
        <f t="shared" si="54"/>
        <v>974009.40056853101</v>
      </c>
      <c r="L103" s="76">
        <f t="shared" si="54"/>
        <v>1378666.0929397733</v>
      </c>
      <c r="M103" s="76">
        <f t="shared" si="54"/>
        <v>1948743.5370052024</v>
      </c>
      <c r="N103" s="76">
        <f t="shared" si="54"/>
        <v>2678428.8005770291</v>
      </c>
      <c r="O103" s="76">
        <f t="shared" si="54"/>
        <v>271505.01402798784</v>
      </c>
      <c r="P103" s="390">
        <f t="shared" si="54"/>
        <v>1770449.6049314791</v>
      </c>
      <c r="Q103" s="76">
        <f t="shared" si="54"/>
        <v>2562443.9773713741</v>
      </c>
      <c r="R103" s="76">
        <f t="shared" si="54"/>
        <v>2283193.5131855295</v>
      </c>
      <c r="S103" s="76">
        <f t="shared" si="54"/>
        <v>2470932.9788931152</v>
      </c>
      <c r="T103" s="76">
        <f t="shared" si="54"/>
        <v>2759133.1839976315</v>
      </c>
      <c r="U103" s="76">
        <f t="shared" si="54"/>
        <v>3046563.589284549</v>
      </c>
      <c r="V103" s="76">
        <f t="shared" si="54"/>
        <v>3212459.5876002912</v>
      </c>
      <c r="W103" s="76">
        <f t="shared" si="54"/>
        <v>3766512.0501824911</v>
      </c>
      <c r="X103" s="76">
        <f t="shared" si="54"/>
        <v>2759919.5209732777</v>
      </c>
      <c r="Y103" s="76">
        <f t="shared" si="54"/>
        <v>2610038.6874314961</v>
      </c>
      <c r="Z103" s="76">
        <f t="shared" si="54"/>
        <v>3243871.8835308435</v>
      </c>
      <c r="AA103" s="76">
        <f t="shared" si="54"/>
        <v>3340010.727776587</v>
      </c>
      <c r="AB103" s="76">
        <f t="shared" ref="AB103" si="55">AB90*INDEX(KumIndPPP,NscenInfl,AB$97)*INDEX(NeobhBaKVLEdMosh,$A103,AB$97)</f>
        <v>1118003.3115396963</v>
      </c>
    </row>
    <row r="104" spans="1:28" x14ac:dyDescent="0.2">
      <c r="A104">
        <v>6</v>
      </c>
      <c r="B104" t="s">
        <v>1</v>
      </c>
      <c r="C104" s="76">
        <f t="shared" ref="C104:AA104" si="56">C91*INDEX(KumIndPPP,NscenInfl,C$97)*INDEX(NeobhBaKVLEdMosh,$A104,C$97)</f>
        <v>341654.66319669015</v>
      </c>
      <c r="D104" s="76">
        <f t="shared" si="56"/>
        <v>342612.85374298261</v>
      </c>
      <c r="E104" s="76">
        <f t="shared" si="56"/>
        <v>280759.27451557334</v>
      </c>
      <c r="F104" s="76">
        <f t="shared" si="56"/>
        <v>534056.67868822848</v>
      </c>
      <c r="G104" s="76">
        <f t="shared" si="56"/>
        <v>1246773.3498453796</v>
      </c>
      <c r="H104" s="76">
        <f t="shared" si="56"/>
        <v>1538047.7643812387</v>
      </c>
      <c r="I104" s="76">
        <f t="shared" si="56"/>
        <v>1859105.934213517</v>
      </c>
      <c r="J104" s="76">
        <f t="shared" si="56"/>
        <v>978503.53794445773</v>
      </c>
      <c r="K104" s="251">
        <f t="shared" si="56"/>
        <v>3212416.8258573245</v>
      </c>
      <c r="L104" s="76">
        <f t="shared" si="56"/>
        <v>6350437.2921676124</v>
      </c>
      <c r="M104" s="76">
        <f t="shared" si="56"/>
        <v>8280156.1129099978</v>
      </c>
      <c r="N104" s="76">
        <f t="shared" si="56"/>
        <v>13363055.719086943</v>
      </c>
      <c r="O104" s="76">
        <f t="shared" si="56"/>
        <v>14440341.272964209</v>
      </c>
      <c r="P104" s="390">
        <f t="shared" si="56"/>
        <v>18843637.643700872</v>
      </c>
      <c r="Q104" s="76">
        <f t="shared" si="56"/>
        <v>10288268.62918715</v>
      </c>
      <c r="R104" s="76">
        <f t="shared" si="56"/>
        <v>14081345.782769768</v>
      </c>
      <c r="S104" s="76">
        <f t="shared" si="56"/>
        <v>6236539.4296061136</v>
      </c>
      <c r="T104" s="76">
        <f t="shared" si="56"/>
        <v>12277774.372815255</v>
      </c>
      <c r="U104" s="76">
        <f t="shared" si="56"/>
        <v>15946518.074051859</v>
      </c>
      <c r="V104" s="76">
        <f t="shared" si="56"/>
        <v>19495473.966787789</v>
      </c>
      <c r="W104" s="76">
        <f t="shared" si="56"/>
        <v>9954591.0495228525</v>
      </c>
      <c r="X104" s="76">
        <f t="shared" si="56"/>
        <v>18025878.840610038</v>
      </c>
      <c r="Y104" s="76">
        <f t="shared" si="56"/>
        <v>10564239.223005475</v>
      </c>
      <c r="Z104" s="76">
        <f t="shared" si="56"/>
        <v>13047325.356745655</v>
      </c>
      <c r="AA104" s="76">
        <f t="shared" si="56"/>
        <v>13534911.024562776</v>
      </c>
      <c r="AB104" s="76">
        <f t="shared" ref="AB104" si="57">AB91*INDEX(KumIndPPP,NscenInfl,AB$97)*INDEX(NeobhBaKVLEdMosh,$A104,AB$97)</f>
        <v>4344100.6070247404</v>
      </c>
    </row>
    <row r="105" spans="1:28" x14ac:dyDescent="0.2">
      <c r="A105">
        <v>7</v>
      </c>
      <c r="B105" t="s">
        <v>2</v>
      </c>
      <c r="C105" s="76">
        <f t="shared" ref="C105:AA105" si="58">C92*INDEX(KumIndPPP,NscenInfl,C$97)*INDEX(NeobhBaKVLEdMosh,$A105,C$97)</f>
        <v>341654.66319669015</v>
      </c>
      <c r="D105" s="76">
        <f t="shared" si="58"/>
        <v>27594.372177741476</v>
      </c>
      <c r="E105" s="76">
        <f t="shared" si="58"/>
        <v>143372.13755044754</v>
      </c>
      <c r="F105" s="76">
        <f t="shared" si="58"/>
        <v>1160963.9784956055</v>
      </c>
      <c r="G105" s="76">
        <f t="shared" si="58"/>
        <v>1426405.1985404459</v>
      </c>
      <c r="H105" s="76">
        <f t="shared" si="58"/>
        <v>1561282.9941365249</v>
      </c>
      <c r="I105" s="76">
        <f t="shared" si="58"/>
        <v>1808731.6632063051</v>
      </c>
      <c r="J105" s="76">
        <f t="shared" si="58"/>
        <v>2049186.5654111546</v>
      </c>
      <c r="K105" s="251">
        <f t="shared" si="58"/>
        <v>3117729.3271933603</v>
      </c>
      <c r="L105" s="76">
        <f t="shared" si="58"/>
        <v>5776013.1687654695</v>
      </c>
      <c r="M105" s="76">
        <f t="shared" si="58"/>
        <v>9129171.2047834024</v>
      </c>
      <c r="N105" s="76">
        <f t="shared" si="58"/>
        <v>13534821.494994897</v>
      </c>
      <c r="O105" s="76">
        <f t="shared" si="58"/>
        <v>15924512.559073873</v>
      </c>
      <c r="P105" s="390">
        <f t="shared" si="58"/>
        <v>12225921.447992638</v>
      </c>
      <c r="Q105" s="76">
        <f t="shared" si="58"/>
        <v>13780986.137769422</v>
      </c>
      <c r="R105" s="76">
        <f t="shared" si="58"/>
        <v>8936734.1848112643</v>
      </c>
      <c r="S105" s="76">
        <f t="shared" si="58"/>
        <v>11192386.859471533</v>
      </c>
      <c r="T105" s="76">
        <f t="shared" si="58"/>
        <v>12613350.713603891</v>
      </c>
      <c r="U105" s="76">
        <f t="shared" si="58"/>
        <v>5869488.1851901887</v>
      </c>
      <c r="V105" s="76">
        <f t="shared" si="58"/>
        <v>11896679.525500869</v>
      </c>
      <c r="W105" s="76">
        <f t="shared" si="58"/>
        <v>15778639.447572539</v>
      </c>
      <c r="X105" s="76">
        <f t="shared" si="58"/>
        <v>12406449.148941522</v>
      </c>
      <c r="Y105" s="76">
        <f t="shared" si="58"/>
        <v>10099600.734314822</v>
      </c>
      <c r="Z105" s="76">
        <f t="shared" si="58"/>
        <v>12623485.072150093</v>
      </c>
      <c r="AA105" s="76">
        <f t="shared" si="58"/>
        <v>13030384.946226997</v>
      </c>
      <c r="AB105" s="76">
        <f t="shared" ref="AB105" si="59">AB92*INDEX(KumIndPPP,NscenInfl,AB$97)*INDEX(NeobhBaKVLEdMosh,$A105,AB$97)</f>
        <v>4297423.8200330399</v>
      </c>
    </row>
    <row r="108" spans="1:28" x14ac:dyDescent="0.2">
      <c r="A108" s="25" t="s">
        <v>58</v>
      </c>
    </row>
    <row r="109" spans="1:28" s="25" customFormat="1" x14ac:dyDescent="0.2">
      <c r="B109" s="79" t="s">
        <v>57</v>
      </c>
      <c r="C109" s="25">
        <v>2006</v>
      </c>
      <c r="D109" s="25">
        <v>2007</v>
      </c>
      <c r="E109" s="25">
        <v>2008</v>
      </c>
      <c r="F109" s="25">
        <v>2009</v>
      </c>
      <c r="G109" s="25">
        <v>2010</v>
      </c>
      <c r="H109" s="25">
        <v>2011</v>
      </c>
      <c r="I109" s="25">
        <v>2012</v>
      </c>
      <c r="J109" s="25">
        <v>2013</v>
      </c>
      <c r="K109" s="249">
        <v>2014</v>
      </c>
      <c r="L109" s="84">
        <v>2015</v>
      </c>
      <c r="M109" s="25">
        <v>2016</v>
      </c>
      <c r="N109" s="25">
        <v>2017</v>
      </c>
      <c r="O109" s="25">
        <v>2018</v>
      </c>
      <c r="P109" s="388">
        <v>2019</v>
      </c>
      <c r="Q109" s="25">
        <v>2020</v>
      </c>
      <c r="R109" s="25">
        <v>2021</v>
      </c>
      <c r="S109" s="25">
        <v>2022</v>
      </c>
      <c r="T109" s="25">
        <v>2023</v>
      </c>
      <c r="U109" s="25">
        <v>2024</v>
      </c>
      <c r="V109" s="25">
        <v>2025</v>
      </c>
      <c r="W109" s="25">
        <v>2026</v>
      </c>
      <c r="X109" s="25">
        <v>2027</v>
      </c>
      <c r="Y109" s="25">
        <v>2028</v>
      </c>
      <c r="Z109" s="25">
        <v>2029</v>
      </c>
      <c r="AA109" s="25">
        <v>2030</v>
      </c>
      <c r="AB109" s="25">
        <v>2031</v>
      </c>
    </row>
    <row r="110" spans="1:28" x14ac:dyDescent="0.2">
      <c r="B110" s="25"/>
      <c r="C110">
        <v>1</v>
      </c>
      <c r="D110">
        <v>2</v>
      </c>
      <c r="E110">
        <v>3</v>
      </c>
      <c r="F110">
        <v>4</v>
      </c>
      <c r="G110">
        <v>5</v>
      </c>
      <c r="H110">
        <v>6</v>
      </c>
      <c r="I110">
        <v>7</v>
      </c>
      <c r="J110">
        <v>8</v>
      </c>
      <c r="K110" s="248">
        <v>9</v>
      </c>
      <c r="L110" s="3">
        <v>10</v>
      </c>
      <c r="M110" s="3">
        <v>11</v>
      </c>
      <c r="N110" s="3">
        <v>12</v>
      </c>
      <c r="O110" s="3">
        <v>13</v>
      </c>
      <c r="P110" s="387">
        <v>14</v>
      </c>
      <c r="Q110" s="3">
        <v>15</v>
      </c>
      <c r="R110" s="3">
        <v>16</v>
      </c>
      <c r="S110" s="3">
        <v>17</v>
      </c>
      <c r="T110" s="3">
        <v>18</v>
      </c>
      <c r="U110" s="3">
        <v>19</v>
      </c>
      <c r="V110" s="3">
        <v>20</v>
      </c>
      <c r="W110" s="3">
        <v>21</v>
      </c>
      <c r="X110" s="3">
        <v>22</v>
      </c>
      <c r="Y110" s="3">
        <v>23</v>
      </c>
      <c r="Z110" s="3">
        <v>24</v>
      </c>
      <c r="AA110" s="3">
        <v>25</v>
      </c>
      <c r="AB110" s="3">
        <v>26</v>
      </c>
    </row>
    <row r="111" spans="1:28" x14ac:dyDescent="0.2">
      <c r="A111" s="3">
        <v>1</v>
      </c>
      <c r="B111" t="s">
        <v>41</v>
      </c>
      <c r="C111" s="27">
        <f>IF(C99+C24+C10&lt;'Лист2_прогнозные цены'!F8,0,C99+C24+C10-'Лист2_прогнозные цены'!F8)</f>
        <v>3795511.0110069443</v>
      </c>
      <c r="D111" s="27">
        <f>IF(D99+D24+D10&lt;'Лист2_прогнозные цены'!G8,0,D99+D24+D10-'Лист2_прогнозные цены'!G8)</f>
        <v>5417247.0515563767</v>
      </c>
      <c r="E111" s="27">
        <f>IF(E99+E24+E10&lt;'Лист2_прогнозные цены'!H8,0,E99+E24+E10-'Лист2_прогнозные цены'!H8)</f>
        <v>10611382.693950184</v>
      </c>
      <c r="F111" s="27">
        <f>IF(F99+F24+F10&lt;'Лист2_прогнозные цены'!I8,0,F99+F24+F10-'Лист2_прогнозные цены'!I8)</f>
        <v>11083299.749379866</v>
      </c>
      <c r="G111" s="27">
        <f>IF(G99+G24+G10&lt;'Лист2_прогнозные цены'!J8,0,G99+G24+G10-'Лист2_прогнозные цены'!J8)</f>
        <v>12749413.263477594</v>
      </c>
      <c r="H111" s="27">
        <f>IF(H99+H24+H10&lt;'Лист2_прогнозные цены'!K8,0,H99+H24+H10-'Лист2_прогнозные цены'!K8)</f>
        <v>13452807.694590047</v>
      </c>
      <c r="I111" s="27">
        <f>IF(I99+I24+I10&lt;'Лист2_прогнозные цены'!L8,0,I99+I24+I10-'Лист2_прогнозные цены'!L8)</f>
        <v>20286996.716425285</v>
      </c>
      <c r="J111" s="27">
        <f>IF(J99+J24+J10&lt;'Лист2_прогнозные цены'!M8,0,J99+J24+J10-'Лист2_прогнозные цены'!M8)</f>
        <v>17254823.230330396</v>
      </c>
      <c r="K111" s="315">
        <f>IF(K99+K24+K10&lt;'Лист2_прогнозные цены'!N8,0,K99+K24+K10-'Лист2_прогнозные цены'!N8)</f>
        <v>41821013.856013089</v>
      </c>
      <c r="L111" s="76">
        <f>IF(L99+L24+L10&lt;'Лист2_прогнозные цены'!O8,0,L99+L24+L10-'Лист2_прогнозные цены'!O8)</f>
        <v>87561236.15704453</v>
      </c>
      <c r="M111" s="76">
        <f>IF(M99+M24+M10&lt;'Лист2_прогнозные цены'!P8,0,M99+M24+M10-'Лист2_прогнозные цены'!P8)</f>
        <v>145799869.67278993</v>
      </c>
      <c r="N111" s="76">
        <f>IF(N99+N24+N10&lt;'Лист2_прогнозные цены'!Q8,0,N99+N24+N10-'Лист2_прогнозные цены'!Q8)</f>
        <v>220097392.44629279</v>
      </c>
      <c r="O111" s="76">
        <f>IF(O99+O24+O10&lt;'Лист2_прогнозные цены'!R8,0,O99+O24+O10-'Лист2_прогнозные цены'!R8)</f>
        <v>247815999.79491737</v>
      </c>
      <c r="P111" s="390">
        <f>IF(P99+P24+P10&lt;'Лист2_прогнозные цены'!S8,0,P99+P24+P10-'Лист2_прогнозные цены'!S8)</f>
        <v>265226563.99355662</v>
      </c>
      <c r="Q111" s="76">
        <f>IF(Q99+Q24+Q10&lt;'Лист2_прогнозные цены'!T8,0,Q99+Q24+Q10-'Лист2_прогнозные цены'!T8)</f>
        <v>263818289.4754703</v>
      </c>
      <c r="R111" s="76">
        <f>IF(R99+R24+R10&lt;'Лист2_прогнозные цены'!U8,0,R99+R24+R10-'Лист2_прогнозные цены'!U8)</f>
        <v>255306659.64112547</v>
      </c>
      <c r="S111" s="76">
        <f>IF(S99+S24+S10&lt;'Лист2_прогнозные цены'!V8,0,S99+S24+S10-'Лист2_прогнозные цены'!V8)</f>
        <v>240927547.81134892</v>
      </c>
      <c r="T111" s="76">
        <f>IF(T99+T24+T10&lt;'Лист2_прогнозные цены'!W8,0,T99+T24+T10-'Лист2_прогнозные цены'!W8)</f>
        <v>235939578.19041067</v>
      </c>
      <c r="U111" s="76">
        <f>IF(U99+U24+U10&lt;'Лист2_прогнозные цены'!X8,0,U99+U24+U10-'Лист2_прогнозные цены'!X8)</f>
        <v>230185833.83868551</v>
      </c>
      <c r="V111" s="76">
        <f>IF(V99+V24+V10&lt;'Лист2_прогнозные цены'!Y8,0,V99+V24+V10-'Лист2_прогнозные цены'!Y8)</f>
        <v>224061775.83678588</v>
      </c>
      <c r="W111" s="76">
        <f>IF(W99+W24+W10&lt;'Лист2_прогнозные цены'!Z8,0,W99+W24+W10-'Лист2_прогнозные цены'!Z8)</f>
        <v>273047256.54562503</v>
      </c>
      <c r="X111" s="76">
        <f>IF(X99+X24+X10&lt;'Лист2_прогнозные цены'!AA8,0,X99+X24+X10-'Лист2_прогнозные цены'!AA8)</f>
        <v>295864137.58087444</v>
      </c>
      <c r="Y111" s="76">
        <f>IF(Y99+Y24+Y10&lt;'Лист2_прогнозные цены'!AB8,0,Y99+Y24+Y10-'Лист2_прогнозные цены'!AB8)</f>
        <v>300173610.65038913</v>
      </c>
      <c r="Z111" s="76">
        <f>IF(Z99+Z24+Z10&lt;'Лист2_прогнозные цены'!AC8,0,Z99+Z24+Z10-'Лист2_прогнозные цены'!AC8)</f>
        <v>290140657.20827818</v>
      </c>
      <c r="AA111" s="76">
        <f>IF(AA99+AA24+AA10&lt;'Лист2_прогнозные цены'!AD8,0,AA99+AA24+AA10-'Лист2_прогнозные цены'!AD8)</f>
        <v>201835030.59999019</v>
      </c>
      <c r="AB111" s="76">
        <f>IF(AB99+AB24+AB10&lt;'Лист2_прогнозные цены'!AE8,0,AB99+AB24+AB10-'Лист2_прогнозные цены'!AE8)</f>
        <v>162442784.81811324</v>
      </c>
    </row>
    <row r="112" spans="1:28" x14ac:dyDescent="0.2">
      <c r="A112" s="3">
        <v>2</v>
      </c>
      <c r="B112" t="s">
        <v>3</v>
      </c>
      <c r="C112" s="27">
        <f>IF(C100+C25+C11&lt;'Лист2_прогнозные цены'!F18,0,C100+C25+C11-'Лист2_прогнозные цены'!F18)</f>
        <v>1288839.5351664044</v>
      </c>
      <c r="D112" s="27">
        <f>IF(D100+D25+D11&lt;'Лист2_прогнозные цены'!G18,0,D100+D25+D11-'Лист2_прогнозные цены'!G18)</f>
        <v>1250991.0311774418</v>
      </c>
      <c r="E112" s="27">
        <f>IF(E100+E25+E11&lt;'Лист2_прогнозные цены'!H18,0,E100+E25+E11-'Лист2_прогнозные цены'!H18)</f>
        <v>1494779.3317419994</v>
      </c>
      <c r="F112" s="27">
        <f>IF(F100+F25+F11&lt;'Лист2_прогнозные цены'!I18,0,F100+F25+F11-'Лист2_прогнозные цены'!I18)</f>
        <v>1568530.0110806148</v>
      </c>
      <c r="G112" s="27">
        <f>IF(G100+G25+G11&lt;'Лист2_прогнозные цены'!J18,0,G100+G25+G11-'Лист2_прогнозные цены'!J18)</f>
        <v>1341926.595382957</v>
      </c>
      <c r="H112" s="27">
        <f>IF(H100+H25+H11&lt;'Лист2_прогнозные цены'!K18,0,H100+H25+H11-'Лист2_прогнозные цены'!K18)</f>
        <v>1894117.6109438688</v>
      </c>
      <c r="I112" s="27">
        <f>IF(I100+I25+I11&lt;'Лист2_прогнозные цены'!L18,0,I100+I25+I11-'Лист2_прогнозные цены'!L18)</f>
        <v>2877735.9053538591</v>
      </c>
      <c r="J112" s="27">
        <f>IF(J100+J25+J11&lt;'Лист2_прогнозные цены'!M18,0,J100+J25+J11-'Лист2_прогнозные цены'!M18)</f>
        <v>4023184.3690139214</v>
      </c>
      <c r="K112" s="315">
        <f>IF(K100+K25+K11&lt;'Лист2_прогнозные цены'!N18,0,K100+K25+K11-'Лист2_прогнозные цены'!N18)</f>
        <v>5683099.9731515106</v>
      </c>
      <c r="L112" s="27">
        <f>IF(L100+L25+L11&lt;'Лист2_прогнозные цены'!O18,0,L100+L25+L11-'Лист2_прогнозные цены'!O18)</f>
        <v>7716842.6814092509</v>
      </c>
      <c r="M112" s="27">
        <f>IF(M100+M25+M11&lt;'Лист2_прогнозные цены'!P18,0,M100+M25+M11-'Лист2_прогнозные цены'!P18)</f>
        <v>9979988.8708564714</v>
      </c>
      <c r="N112" s="27">
        <f>IF(N100+N25+N11&lt;'Лист2_прогнозные цены'!Q18,0,N100+N25+N11-'Лист2_прогнозные цены'!Q18)</f>
        <v>12563539.528645063</v>
      </c>
      <c r="O112" s="27">
        <f>IF(O100+O25+O11&lt;'Лист2_прогнозные цены'!R18,0,O100+O25+O11-'Лист2_прогнозные цены'!R18)</f>
        <v>7084453.150026666</v>
      </c>
      <c r="P112" s="391">
        <f>IF(P100+P25+P11&lt;'Лист2_прогнозные цены'!S18,0,P100+P25+P11-'Лист2_прогнозные цены'!S18)</f>
        <v>9825897.6014602818</v>
      </c>
      <c r="Q112" s="27">
        <f>IF(Q100+Q25+Q11&lt;'Лист2_прогнозные цены'!T18,0,Q100+Q25+Q11-'Лист2_прогнозные цены'!T18)</f>
        <v>11551290.068082303</v>
      </c>
      <c r="R112" s="27">
        <f>IF(R100+R25+R11&lt;'Лист2_прогнозные цены'!U18,0,R100+R25+R11-'Лист2_прогнозные цены'!U18)</f>
        <v>10888307.088344891</v>
      </c>
      <c r="S112" s="27">
        <f>IF(S100+S25+S11&lt;'Лист2_прогнозные цены'!V18,0,S100+S25+S11-'Лист2_прогнозные цены'!V18)</f>
        <v>11631064.175832095</v>
      </c>
      <c r="T112" s="27">
        <f>IF(T100+T25+T11&lt;'Лист2_прогнозные цены'!W18,0,T100+T25+T11-'Лист2_прогнозные цены'!W18)</f>
        <v>11474705.097052557</v>
      </c>
      <c r="U112" s="27">
        <f>IF(U100+U25+U11&lt;'Лист2_прогнозные цены'!X18,0,U100+U25+U11-'Лист2_прогнозные цены'!X18)</f>
        <v>13439616.556505928</v>
      </c>
      <c r="V112" s="27">
        <f>IF(V100+V25+V11&lt;'Лист2_прогнозные цены'!Y18,0,V100+V25+V11-'Лист2_прогнозные цены'!Y18)</f>
        <v>15604400.161495714</v>
      </c>
      <c r="W112" s="27">
        <f>IF(W100+W25+W11&lt;'Лист2_прогнозные цены'!Z18,0,W100+W25+W11-'Лист2_прогнозные цены'!Z18)</f>
        <v>11482874.140681073</v>
      </c>
      <c r="X112" s="27">
        <f>IF(X100+X25+X11&lt;'Лист2_прогнозные цены'!AA18,0,X100+X25+X11-'Лист2_прогнозные цены'!AA18)</f>
        <v>12233584.83780729</v>
      </c>
      <c r="Y112" s="27">
        <f>IF(Y100+Y25+Y11&lt;'Лист2_прогнозные цены'!AB18,0,Y100+Y25+Y11-'Лист2_прогнозные цены'!AB18)</f>
        <v>12831646.83484623</v>
      </c>
      <c r="Z112" s="27">
        <f>IF(Z100+Z25+Z11&lt;'Лист2_прогнозные цены'!AC18,0,Z100+Z25+Z11-'Лист2_прогнозные цены'!AC18)</f>
        <v>13440287.043846263</v>
      </c>
      <c r="AA112" s="27">
        <f>IF(AA100+AA25+AA11&lt;'Лист2_прогнозные цены'!AD18,0,AA100+AA25+AA11-'Лист2_прогнозные цены'!AD18)</f>
        <v>14129128.572293388</v>
      </c>
      <c r="AB112" s="27">
        <f>IF(AB100+AB25+AB11&lt;'Лист2_прогнозные цены'!AE18,0,AB100+AB25+AB11-'Лист2_прогнозные цены'!AE18)</f>
        <v>14918909.813265011</v>
      </c>
    </row>
    <row r="113" spans="1:28" x14ac:dyDescent="0.2">
      <c r="A113" s="3">
        <v>3</v>
      </c>
      <c r="B113" t="s">
        <v>29</v>
      </c>
      <c r="C113" s="27">
        <f>IF(C101+C26+C12&lt;'Лист2_прогнозные цены'!F27,0,C101+C26+C12-'Лист2_прогнозные цены'!F27)</f>
        <v>4583194.1837012637</v>
      </c>
      <c r="D113" s="27">
        <f>IF(D101+D26+D12&lt;'Лист2_прогнозные цены'!G27,0,D101+D26+D12-'Лист2_прогнозные цены'!G27)</f>
        <v>4916347.0509984726</v>
      </c>
      <c r="E113" s="27">
        <f>IF(E101+E26+E12&lt;'Лист2_прогнозные цены'!H27,0,E101+E26+E12-'Лист2_прогнозные цены'!H27)</f>
        <v>4429899.9471870391</v>
      </c>
      <c r="F113" s="27">
        <f>IF(F101+F26+F12&lt;'Лист2_прогнозные цены'!I27,0,F101+F26+F12-'Лист2_прогнозные цены'!I27)</f>
        <v>4890895.1595348399</v>
      </c>
      <c r="G113" s="27">
        <f>IF(G101+G26+G12&lt;'Лист2_прогнозные цены'!J27,0,G101+G26+G12-'Лист2_прогнозные цены'!J27)</f>
        <v>5981495.2540557934</v>
      </c>
      <c r="H113" s="27">
        <f>IF(H101+H26+H12&lt;'Лист2_прогнозные цены'!K27,0,H101+H26+H12-'Лист2_прогнозные цены'!K27)</f>
        <v>5801735.1244789818</v>
      </c>
      <c r="I113" s="27">
        <f>IF(I101+I26+I12&lt;'Лист2_прогнозные цены'!L27,0,I101+I26+I12-'Лист2_прогнозные цены'!L27)</f>
        <v>17113456.00785638</v>
      </c>
      <c r="J113" s="27">
        <f>IF(J101+J26+J12&lt;'Лист2_прогнозные цены'!M27,0,J101+J26+J12-'Лист2_прогнозные цены'!M27)</f>
        <v>17711927.69851486</v>
      </c>
      <c r="K113" s="315">
        <f>IF(K101+K26+K12&lt;'Лист2_прогнозные цены'!N27,0,K101+K26+K12-'Лист2_прогнозные цены'!N27)</f>
        <v>19668579.79706379</v>
      </c>
      <c r="L113" s="27">
        <f>IF(L101+L26+L12&lt;'Лист2_прогнозные цены'!O27,0,L101+L26+L12-'Лист2_прогнозные цены'!O27)</f>
        <v>22789130.668729138</v>
      </c>
      <c r="M113" s="27">
        <f>IF(M101+M26+M12&lt;'Лист2_прогнозные цены'!P27,0,M101+M26+M12-'Лист2_прогнозные цены'!P27)</f>
        <v>27330989.095866289</v>
      </c>
      <c r="N113" s="27">
        <f>IF(N101+N26+N12&lt;'Лист2_прогнозные цены'!Q27,0,N101+N26+N12-'Лист2_прогнозные цены'!Q27)</f>
        <v>33148572.661527973</v>
      </c>
      <c r="O113" s="27">
        <f>IF(O101+O26+O12&lt;'Лист2_прогнозные цены'!R27,0,O101+O26+O12-'Лист2_прогнозные цены'!R27)</f>
        <v>38011053.469755828</v>
      </c>
      <c r="P113" s="391">
        <f>IF(P101+P26+P12&lt;'Лист2_прогнозные цены'!S27,0,P101+P26+P12-'Лист2_прогнозные цены'!S27)</f>
        <v>44190254.483497284</v>
      </c>
      <c r="Q113" s="27">
        <f>IF(Q101+Q26+Q12&lt;'Лист2_прогнозные цены'!T27,0,Q101+Q26+Q12-'Лист2_прогнозные цены'!T27)</f>
        <v>48941278.001298688</v>
      </c>
      <c r="R113" s="27">
        <f>IF(R101+R26+R12&lt;'Лист2_прогнозные цены'!U27,0,R101+R26+R12-'Лист2_прогнозные цены'!U27)</f>
        <v>52569307.014136635</v>
      </c>
      <c r="S113" s="27">
        <f>IF(S101+S26+S12&lt;'Лист2_прогнозные цены'!V27,0,S101+S26+S12-'Лист2_прогнозные цены'!V27)</f>
        <v>56437826.260821775</v>
      </c>
      <c r="T113" s="27">
        <f>IF(T101+T26+T12&lt;'Лист2_прогнозные цены'!W27,0,T101+T26+T12-'Лист2_прогнозные цены'!W27)</f>
        <v>60153525.086536378</v>
      </c>
      <c r="U113" s="27">
        <f>IF(U101+U26+U12&lt;'Лист2_прогнозные цены'!X27,0,U101+U26+U12-'Лист2_прогнозные цены'!X27)</f>
        <v>63959843.244306713</v>
      </c>
      <c r="V113" s="27">
        <f>IF(V101+V26+V12&lt;'Лист2_прогнозные цены'!Y27,0,V101+V26+V12-'Лист2_прогнозные цены'!Y27)</f>
        <v>67053051.074733019</v>
      </c>
      <c r="W113" s="27">
        <f>IF(W101+W26+W12&lt;'Лист2_прогнозные цены'!Z27,0,W101+W26+W12-'Лист2_прогнозные цены'!Z27)</f>
        <v>70520252.126831457</v>
      </c>
      <c r="X113" s="27">
        <f>IF(X101+X26+X12&lt;'Лист2_прогнозные цены'!AA27,0,X101+X26+X12-'Лист2_прогнозные цены'!AA27)</f>
        <v>77153990.746983767</v>
      </c>
      <c r="Y113" s="27">
        <f>IF(Y101+Y26+Y12&lt;'Лист2_прогнозные цены'!AB27,0,Y101+Y26+Y12-'Лист2_прогнозные цены'!AB27)</f>
        <v>82514982.914157152</v>
      </c>
      <c r="Z113" s="27">
        <f>IF(Z101+Z26+Z12&lt;'Лист2_прогнозные цены'!AC27,0,Z101+Z26+Z12-'Лист2_прогнозные цены'!AC27)</f>
        <v>87360156.910138428</v>
      </c>
      <c r="AA113" s="27">
        <f>IF(AA101+AA26+AA12&lt;'Лист2_прогнозные цены'!AD27,0,AA101+AA26+AA12-'Лист2_прогнозные цены'!AD27)</f>
        <v>92464137.922325939</v>
      </c>
      <c r="AB113" s="27">
        <f>IF(AB101+AB26+AB12&lt;'Лист2_прогнозные цены'!AE27,0,AB101+AB26+AB12-'Лист2_прогнозные цены'!AE27)</f>
        <v>96640344.032305151</v>
      </c>
    </row>
    <row r="114" spans="1:28" x14ac:dyDescent="0.2">
      <c r="A114" s="3">
        <v>4</v>
      </c>
      <c r="B114" t="s">
        <v>5</v>
      </c>
      <c r="C114" s="27">
        <f>IF(C102+C27+C13&lt;'Лист2_прогнозные цены'!F36,0,C102+C27+C13-'Лист2_прогнозные цены'!F36)</f>
        <v>4939922.69267157</v>
      </c>
      <c r="D114" s="27">
        <f>IF(D102+D27+D13&lt;'Лист2_прогнозные цены'!G36,0,D102+D27+D13-'Лист2_прогнозные цены'!G36)</f>
        <v>5773917.3595162351</v>
      </c>
      <c r="E114" s="27">
        <f>IF(E102+E27+E13&lt;'Лист2_прогнозные цены'!H36,0,E102+E27+E13-'Лист2_прогнозные цены'!H36)</f>
        <v>4838450.658694692</v>
      </c>
      <c r="F114" s="27">
        <f>IF(F102+F27+F13&lt;'Лист2_прогнозные цены'!I36,0,F102+F27+F13-'Лист2_прогнозные цены'!I36)</f>
        <v>3297976.3126407918</v>
      </c>
      <c r="G114" s="27">
        <f>IF(G102+G27+G13&lt;'Лист2_прогнозные цены'!J36,0,G102+G27+G13-'Лист2_прогнозные цены'!J36)</f>
        <v>3665525.3015187695</v>
      </c>
      <c r="H114" s="27">
        <f>IF(H102+H27+H13&lt;'Лист2_прогнозные цены'!K36,0,H102+H27+H13-'Лист2_прогнозные цены'!K36)</f>
        <v>4282716.2780101858</v>
      </c>
      <c r="I114" s="27">
        <f>IF(I102+I27+I13&lt;'Лист2_прогнозные цены'!L36,0,I102+I27+I13-'Лист2_прогнозные цены'!L36)</f>
        <v>4663966.9269936327</v>
      </c>
      <c r="J114" s="27">
        <f>IF(J102+J27+J13&lt;'Лист2_прогнозные цены'!M36,0,J102+J27+J13-'Лист2_прогнозные цены'!M36)</f>
        <v>5069720.2458410319</v>
      </c>
      <c r="K114" s="315">
        <f>IF(K102+K27+K13&lt;'Лист2_прогнозные цены'!N36,0,K102+K27+K13-'Лист2_прогнозные цены'!N36)</f>
        <v>6323385.4053980848</v>
      </c>
      <c r="L114" s="27">
        <f>IF(L102+L27+L13&lt;'Лист2_прогнозные цены'!O36,0,L102+L27+L13-'Лист2_прогнозные цены'!O36)</f>
        <v>8202388.1784846652</v>
      </c>
      <c r="M114" s="27">
        <f>IF(M102+M27+M13&lt;'Лист2_прогнозные цены'!P36,0,M102+M27+M13-'Лист2_прогнозные цены'!P36)</f>
        <v>10959830.346502174</v>
      </c>
      <c r="N114" s="27">
        <f>IF(N102+N27+N13&lt;'Лист2_прогнозные цены'!Q36,0,N102+N27+N13-'Лист2_прогнозные цены'!Q36)</f>
        <v>13799523.376664173</v>
      </c>
      <c r="O114" s="27">
        <f>IF(O102+O27+O13&lt;'Лист2_прогнозные цены'!R36,0,O102+O27+O13-'Лист2_прогнозные цены'!R36)</f>
        <v>15060245.871522535</v>
      </c>
      <c r="P114" s="391">
        <f>IF(P102+P27+P13&lt;'Лист2_прогнозные цены'!S36,0,P102+P27+P13-'Лист2_прогнозные цены'!S36)</f>
        <v>18586716.556566309</v>
      </c>
      <c r="Q114" s="27">
        <f>IF(Q102+Q27+Q13&lt;'Лист2_прогнозные цены'!T36,0,Q102+Q27+Q13-'Лист2_прогнозные цены'!T36)</f>
        <v>21414181.879164167</v>
      </c>
      <c r="R114" s="27">
        <f>IF(R102+R27+R13&lt;'Лист2_прогнозные цены'!U36,0,R102+R27+R13-'Лист2_прогнозные цены'!U36)</f>
        <v>19641460.379105121</v>
      </c>
      <c r="S114" s="27">
        <f>IF(S102+S27+S13&lt;'Лист2_прогнозные цены'!V36,0,S102+S27+S13-'Лист2_прогнозные цены'!V36)</f>
        <v>23862942.7923574</v>
      </c>
      <c r="T114" s="27">
        <f>IF(T102+T27+T13&lt;'Лист2_прогнозные цены'!W36,0,T102+T27+T13-'Лист2_прогнозные цены'!W36)</f>
        <v>25508518.998517882</v>
      </c>
      <c r="U114" s="27">
        <f>IF(U102+U27+U13&lt;'Лист2_прогнозные цены'!X36,0,U102+U27+U13-'Лист2_прогнозные цены'!X36)</f>
        <v>30145485.922846451</v>
      </c>
      <c r="V114" s="27">
        <f>IF(V102+V27+V13&lt;'Лист2_прогнозные цены'!Y36,0,V102+V27+V13-'Лист2_прогнозные цены'!Y36)</f>
        <v>32923312.567882214</v>
      </c>
      <c r="W114" s="27">
        <f>IF(W102+W27+W13&lt;'Лист2_прогнозные цены'!Z36,0,W102+W27+W13-'Лист2_прогнозные цены'!Z36)</f>
        <v>38770757.853671931</v>
      </c>
      <c r="X114" s="27">
        <f>IF(X102+X27+X13&lt;'Лист2_прогнозные цены'!AA36,0,X102+X27+X13-'Лист2_прогнозные цены'!AA36)</f>
        <v>38462034.519062057</v>
      </c>
      <c r="Y114" s="27">
        <f>IF(Y102+Y27+Y13&lt;'Лист2_прогнозные цены'!AB36,0,Y102+Y27+Y13-'Лист2_прогнозные цены'!AB36)</f>
        <v>42014692.121227235</v>
      </c>
      <c r="Z114" s="27">
        <f>IF(Z102+Z27+Z13&lt;'Лист2_прогнозные цены'!AC36,0,Z102+Z27+Z13-'Лист2_прогнозные цены'!AC36)</f>
        <v>46773330.122895658</v>
      </c>
      <c r="AA114" s="27">
        <f>IF(AA102+AA27+AA13&lt;'Лист2_прогнозные цены'!AD36,0,AA102+AA27+AA13-'Лист2_прогнозные цены'!AD36)</f>
        <v>51220032.843525723</v>
      </c>
      <c r="AB114" s="27">
        <f>IF(AB102+AB27+AB13&lt;'Лист2_прогнозные цены'!AE36,0,AB102+AB27+AB13-'Лист2_прогнозные цены'!AE36)</f>
        <v>50797718.127789758</v>
      </c>
    </row>
    <row r="115" spans="1:28" x14ac:dyDescent="0.2">
      <c r="A115" s="3">
        <v>5</v>
      </c>
      <c r="B115" t="s">
        <v>6</v>
      </c>
      <c r="C115" s="27">
        <f>IF(C103+C28+C14&lt;'Лист2_прогнозные цены'!F45,0,C103+C28+C14-'Лист2_прогнозные цены'!F45)</f>
        <v>574603.22479839134</v>
      </c>
      <c r="D115" s="27">
        <f>IF(D103+D28+D14&lt;'Лист2_прогнозные цены'!G45,0,D103+D28+D14-'Лист2_прогнозные цены'!G45)</f>
        <v>665951.89994323289</v>
      </c>
      <c r="E115" s="27">
        <f>IF(E103+E28+E14&lt;'Лист2_прогнозные цены'!H45,0,E103+E28+E14-'Лист2_прогнозные цены'!H45)</f>
        <v>1115614.0852721655</v>
      </c>
      <c r="F115" s="27">
        <f>IF(F103+F28+F14&lt;'Лист2_прогнозные цены'!I45,0,F103+F28+F14-'Лист2_прогнозные цены'!I45)</f>
        <v>1016014.8057644205</v>
      </c>
      <c r="G115" s="27">
        <f>IF(G103+G28+G14&lt;'Лист2_прогнозные цены'!J45,0,G103+G28+G14-'Лист2_прогнозные цены'!J45)</f>
        <v>1236012.7006464787</v>
      </c>
      <c r="H115" s="27">
        <f>IF(H103+H28+H14&lt;'Лист2_прогнозные цены'!K45,0,H103+H28+H14-'Лист2_прогнозные цены'!K45)</f>
        <v>1060660.2622726643</v>
      </c>
      <c r="I115" s="27">
        <f>IF(I103+I28+I14&lt;'Лист2_прогнозные цены'!L45,0,I103+I28+I14-'Лист2_прогнозные цены'!L45)</f>
        <v>1155245.5536729558</v>
      </c>
      <c r="J115" s="27">
        <f>IF(J103+J28+J14&lt;'Лист2_прогнозные цены'!M45,0,J103+J28+J14-'Лист2_прогнозные цены'!M45)</f>
        <v>1333920.569316566</v>
      </c>
      <c r="K115" s="315">
        <f>IF(K103+K28+K14&lt;'Лист2_прогнозные цены'!N45,0,K103+K28+K14-'Лист2_прогнозные цены'!N45)</f>
        <v>2444185.45819262</v>
      </c>
      <c r="L115" s="27">
        <f>IF(L103+L28+L14&lt;'Лист2_прогнозные цены'!O45,0,L103+L28+L14-'Лист2_прогнозные цены'!O45)</f>
        <v>3106612.5735445288</v>
      </c>
      <c r="M115" s="27">
        <f>IF(M103+M28+M14&lt;'Лист2_прогнозные цены'!P45,0,M103+M28+M14-'Лист2_прогнозные цены'!P45)</f>
        <v>4025798.4760104446</v>
      </c>
      <c r="N115" s="27">
        <f>IF(N103+N28+N14&lt;'Лист2_прогнозные цены'!Q45,0,N103+N28+N14-'Лист2_прогнозные цены'!Q45)</f>
        <v>5192392.4859980997</v>
      </c>
      <c r="O115" s="27">
        <f>IF(O103+O28+O14&lt;'Лист2_прогнозные цены'!R45,0,O103+O28+O14-'Лист2_прогнозные цены'!R45)</f>
        <v>3235044.8925941987</v>
      </c>
      <c r="P115" s="391">
        <f>IF(P103+P28+P14&lt;'Лист2_прогнозные цены'!S45,0,P103+P28+P14-'Лист2_прогнозные цены'!S45)</f>
        <v>5070377.6660136199</v>
      </c>
      <c r="Q115" s="27">
        <f>IF(Q103+Q28+Q14&lt;'Лист2_прогнозные цены'!T45,0,Q103+Q28+Q14-'Лист2_прогнозные цены'!T45)</f>
        <v>6296513.0752396183</v>
      </c>
      <c r="R115" s="27">
        <f>IF(R103+R28+R14&lt;'Лист2_прогнозные цены'!U45,0,R103+R28+R14-'Лист2_прогнозные цены'!U45)</f>
        <v>6607745.3381445874</v>
      </c>
      <c r="S115" s="27">
        <f>IF(S103+S28+S14&lt;'Лист2_прогнозные цены'!V45,0,S103+S28+S14-'Лист2_прогнозные цены'!V45)</f>
        <v>7383439.1324036829</v>
      </c>
      <c r="T115" s="27">
        <f>IF(T103+T28+T14&lt;'Лист2_прогнозные цены'!W45,0,T103+T28+T14-'Лист2_прогнозные цены'!W45)</f>
        <v>8197370.5107491184</v>
      </c>
      <c r="U115" s="27">
        <f>IF(U103+U28+U14&lt;'Лист2_прогнозные цены'!X45,0,U103+U28+U14-'Лист2_прогнозные цены'!X45)</f>
        <v>9105637.799398046</v>
      </c>
      <c r="V115" s="27">
        <f>IF(V103+V28+V14&lt;'Лист2_прогнозные цены'!Y45,0,V103+V28+V14-'Лист2_прогнозные цены'!Y45)</f>
        <v>10034878.234686442</v>
      </c>
      <c r="W115" s="27">
        <f>IF(W103+W28+W14&lt;'Лист2_прогнозные цены'!Z45,0,W103+W28+W14-'Лист2_прогнозные цены'!Z45)</f>
        <v>11521359.602915823</v>
      </c>
      <c r="X115" s="27">
        <f>IF(X103+X28+X14&lt;'Лист2_прогнозные цены'!AA45,0,X103+X28+X14-'Лист2_прогнозные цены'!AA45)</f>
        <v>11534373.301728364</v>
      </c>
      <c r="Y115" s="27">
        <f>IF(Y103+Y28+Y14&lt;'Лист2_прогнозные цены'!AB45,0,Y103+Y28+Y14-'Лист2_прогнозные цены'!AB45)</f>
        <v>12283474.42063245</v>
      </c>
      <c r="Z115" s="27">
        <f>IF(Z103+Z28+Z14&lt;'Лист2_прогнозные цены'!AC45,0,Z103+Z28+Z14-'Лист2_прогнозные цены'!AC45)</f>
        <v>13853000.477685474</v>
      </c>
      <c r="AA115" s="27">
        <f>IF(AA103+AA28+AA14&lt;'Лист2_прогнозные цены'!AD45,0,AA103+AA28+AA14-'Лист2_прогнозные цены'!AD45)</f>
        <v>15023234.266798314</v>
      </c>
      <c r="AB115" s="27">
        <f>IF(AB103+AB28+AB14&lt;'Лист2_прогнозные цены'!AE45,0,AB103+AB28+AB14-'Лист2_прогнозные цены'!AE45)</f>
        <v>13947576.656121988</v>
      </c>
    </row>
    <row r="116" spans="1:28" x14ac:dyDescent="0.2">
      <c r="A116" s="3">
        <v>6</v>
      </c>
      <c r="B116" t="s">
        <v>1</v>
      </c>
      <c r="C116" s="27">
        <f>IF(C104+C29+C15&lt;'Лист2_прогнозные цены'!F55,0,C104+C29+C15-'Лист2_прогнозные цены'!F55)</f>
        <v>797020.97228832357</v>
      </c>
      <c r="D116" s="27">
        <f>IF(D104+D29+D15&lt;'Лист2_прогнозные цены'!G55,0,D104+D29+D15-'Лист2_прогнозные цены'!G55)</f>
        <v>839316.2560224327</v>
      </c>
      <c r="E116" s="27">
        <f>IF(E104+E29+E15&lt;'Лист2_прогнозные цены'!H55,0,E104+E29+E15-'Лист2_прогнозные цены'!H55)</f>
        <v>688264.16027791693</v>
      </c>
      <c r="F116" s="27">
        <f>IF(F104+F29+F15&lt;'Лист2_прогнозные цены'!I55,0,F104+F29+F15-'Лист2_прогнозные цены'!I55)</f>
        <v>1057097.8860185638</v>
      </c>
      <c r="G116" s="27">
        <f>IF(G104+G29+G15&lt;'Лист2_прогнозные цены'!J55,0,G104+G29+G15-'Лист2_прогнозные цены'!J55)</f>
        <v>1913578.8176636163</v>
      </c>
      <c r="H116" s="27">
        <f>IF(H104+H29+H15&lt;'Лист2_прогнозные цены'!K55,0,H104+H29+H15-'Лист2_прогнозные цены'!K55)</f>
        <v>2396610.6298858309</v>
      </c>
      <c r="I116" s="27">
        <f>IF(I104+I29+I15&lt;'Лист2_прогнозные цены'!L55,0,I104+I29+I15-'Лист2_прогнозные цены'!L55)</f>
        <v>3825015.8179782867</v>
      </c>
      <c r="J116" s="27">
        <f>IF(J104+J29+J15&lt;'Лист2_прогнозные цены'!M55,0,J104+J29+J15-'Лист2_прогнозные цены'!M55)</f>
        <v>3244355.4731471254</v>
      </c>
      <c r="K116" s="315">
        <f>IF(K104+K29+K15&lt;'Лист2_прогнозные цены'!N55,0,K104+K29+K15-'Лист2_прогнозные цены'!N55)</f>
        <v>5799528.9646271151</v>
      </c>
      <c r="L116" s="27">
        <f>IF(L104+L29+L15&lt;'Лист2_прогнозные цены'!O55,0,L104+L29+L15-'Лист2_прогнозные цены'!O55)</f>
        <v>9307402.6088468395</v>
      </c>
      <c r="M116" s="27">
        <f>IF(M104+M29+M15&lt;'Лист2_прогнозные цены'!P55,0,M104+M29+M15-'Лист2_прогнозные цены'!P55)</f>
        <v>11868252.347432358</v>
      </c>
      <c r="N116" s="27">
        <f>IF(N104+N29+N15&lt;'Лист2_прогнозные цены'!Q55,0,N104+N29+N15-'Лист2_прогнозные цены'!Q55)</f>
        <v>17593076.261988342</v>
      </c>
      <c r="O116" s="27">
        <f>IF(O104+O29+O15&lt;'Лист2_прогнозные цены'!R55,0,O104+O29+O15-'Лист2_прогнозные цены'!R55)</f>
        <v>19422831.161210664</v>
      </c>
      <c r="P116" s="391">
        <f>IF(P104+P29+P15&lt;'Лист2_прогнозные цены'!S55,0,P104+P29+P15-'Лист2_прогнозные цены'!S55)</f>
        <v>24557685.79112624</v>
      </c>
      <c r="Q116" s="27">
        <f>IF(Q104+Q29+Q15&lt;'Лист2_прогнозные цены'!T55,0,Q104+Q29+Q15-'Лист2_прогнозные цены'!T55)</f>
        <v>17465481.922642495</v>
      </c>
      <c r="R116" s="27">
        <f>IF(R104+R29+R15&lt;'Лист2_прогнозные цены'!U55,0,R104+R29+R15-'Лист2_прогнозные цены'!U55)</f>
        <v>22054210.391489666</v>
      </c>
      <c r="S116" s="27">
        <f>IF(S104+S29+S15&lt;'Лист2_прогнозные цены'!V55,0,S104+S29+S15-'Лист2_прогнозные цены'!V55)</f>
        <v>15744419.500812251</v>
      </c>
      <c r="T116" s="27">
        <f>IF(T104+T29+T15&lt;'Лист2_прогнозные цены'!W55,0,T104+T29+T15-'Лист2_прогнозные цены'!W55)</f>
        <v>22491319.141384993</v>
      </c>
      <c r="U116" s="27">
        <f>IF(U104+U29+U15&lt;'Лист2_прогнозные цены'!X55,0,U104+U29+U15-'Лист2_прогнозные цены'!X55)</f>
        <v>27176554.775920726</v>
      </c>
      <c r="V116" s="27">
        <f>IF(V104+V29+V15&lt;'Лист2_прогнозные цены'!Y55,0,V104+V29+V15-'Лист2_прогнозные цены'!Y55)</f>
        <v>31963878.120557882</v>
      </c>
      <c r="W116" s="27">
        <f>IF(W104+W29+W15&lt;'Лист2_прогнозные цены'!Z55,0,W104+W29+W15-'Лист2_прогнозные цены'!Z55)</f>
        <v>24762168.550403118</v>
      </c>
      <c r="X116" s="27">
        <f>IF(X104+X29+X15&lt;'Лист2_прогнозные цены'!AA55,0,X104+X29+X15-'Лист2_прогнозные цены'!AA55)</f>
        <v>33994745.959044665</v>
      </c>
      <c r="Y116" s="27">
        <f>IF(Y104+Y29+Y15&lt;'Лист2_прогнозные цены'!AB55,0,Y104+Y29+Y15-'Лист2_прогнозные цены'!AB55)</f>
        <v>28527272.891146854</v>
      </c>
      <c r="Z116" s="27">
        <f>IF(Z104+Z29+Z15&lt;'Лист2_прогнозные цены'!AC55,0,Z104+Z29+Z15-'Лист2_прогнозные цены'!AC55)</f>
        <v>32691711.589387026</v>
      </c>
      <c r="AA116" s="27">
        <f>IF(AA104+AA29+AA15&lt;'Лист2_прогнозные цены'!AD55,0,AA104+AA29+AA15-'Лист2_прогнозные цены'!AD55)</f>
        <v>35115439.968914539</v>
      </c>
      <c r="AB116" s="27">
        <f>IF(AB104+AB29+AB15&lt;'Лист2_прогнозные цены'!AE55,0,AB104+AB29+AB15-'Лист2_прогнозные цены'!AE55)</f>
        <v>28000204.0132588</v>
      </c>
    </row>
    <row r="117" spans="1:28" x14ac:dyDescent="0.2">
      <c r="A117" s="3">
        <v>7</v>
      </c>
      <c r="B117" t="s">
        <v>2</v>
      </c>
      <c r="C117" s="27">
        <f>IF(C105+C30+C16&lt;'Лист2_прогнозные цены'!F65,0,C105+C30+C16-'Лист2_прогнозные цены'!F65)</f>
        <v>744824.11411461851</v>
      </c>
      <c r="D117" s="27">
        <f>IF(D105+D30+D16&lt;'Лист2_прогнозные цены'!G65,0,D105+D30+D16-'Лист2_прогнозные цены'!G65)</f>
        <v>493260.5710249581</v>
      </c>
      <c r="E117" s="27">
        <f>IF(E105+E30+E16&lt;'Лист2_прогнозные цены'!H65,0,E105+E30+E16-'Лист2_прогнозные цены'!H65)</f>
        <v>666958.56297804613</v>
      </c>
      <c r="F117" s="27">
        <f>IF(F105+F30+F16&lt;'Лист2_прогнозные цены'!I65,0,F105+F30+F16-'Лист2_прогнозные цены'!I65)</f>
        <v>1637433.2507276598</v>
      </c>
      <c r="G117" s="27">
        <f>IF(G105+G30+G16&lt;'Лист2_прогнозные цены'!J65,0,G105+G30+G16-'Лист2_прогнозные цены'!J65)</f>
        <v>1988813.3246143914</v>
      </c>
      <c r="H117" s="27">
        <f>IF(H105+H30+H16&lt;'Лист2_прогнозные цены'!K65,0,H105+H30+H16-'Лист2_прогнозные цены'!K65)</f>
        <v>2182181.0703440076</v>
      </c>
      <c r="I117" s="27">
        <f>IF(I105+I30+I16&lt;'Лист2_прогнозные цены'!L65,0,I105+I30+I16-'Лист2_прогнозные цены'!L65)</f>
        <v>2589020.2470617685</v>
      </c>
      <c r="J117" s="27">
        <f>IF(J105+J30+J16&lt;'Лист2_прогнозные цены'!M65,0,J105+J30+J16-'Лист2_прогнозные цены'!M65)</f>
        <v>2985164.0200901544</v>
      </c>
      <c r="K117" s="315">
        <f>IF(K105+K30+K16&lt;'Лист2_прогнозные цены'!N65,0,K105+K30+K16-'Лист2_прогнозные цены'!N65)</f>
        <v>4341150.9488191707</v>
      </c>
      <c r="L117" s="27">
        <f>IF(L105+L30+L16&lt;'Лист2_прогнозные цены'!O65,0,L105+L30+L16-'Лист2_прогнозные цены'!O65)</f>
        <v>7188093.7243496394</v>
      </c>
      <c r="M117" s="27">
        <f>IF(M105+M30+M16&lt;'Лист2_прогнозные цены'!P65,0,M105+M30+M16-'Лист2_прогнозные цены'!P65)</f>
        <v>10793964.440932894</v>
      </c>
      <c r="N117" s="27">
        <f>IF(N105+N30+N16&lt;'Лист2_прогнозные цены'!Q65,0,N105+N30+N16-'Лист2_прогнозные цены'!Q65)</f>
        <v>15507029.609702546</v>
      </c>
      <c r="O117" s="27">
        <f>IF(O105+O30+O16&lt;'Лист2_прогнозные цены'!R65,0,O105+O30+O16-'Лист2_прогнозные цены'!R65)</f>
        <v>18199677.999291074</v>
      </c>
      <c r="P117" s="391">
        <f>IF(P105+P30+P16&lt;'Лист2_прогнозные цены'!S65,0,P105+P30+P16-'Лист2_прогнозные цены'!S65)</f>
        <v>15018542.969919944</v>
      </c>
      <c r="Q117" s="27">
        <f>IF(Q105+Q30+Q16&lt;'Лист2_прогнозные цены'!T65,0,Q105+Q30+Q16-'Лист2_прогнозные цены'!T65)</f>
        <v>16952621.618896853</v>
      </c>
      <c r="R117" s="27">
        <f>IF(R105+R30+R16&lt;'Лист2_прогнозные цены'!U65,0,R105+R30+R16-'Лист2_прогнозные цены'!U65)</f>
        <v>12634750.820123805</v>
      </c>
      <c r="S117" s="27">
        <f>IF(S105+S30+S16&lt;'Лист2_прогнозные цены'!V65,0,S105+S30+S16-'Лист2_прогнозные цены'!V65)</f>
        <v>15255338.842190072</v>
      </c>
      <c r="T117" s="27">
        <f>IF(T105+T30+T16&lt;'Лист2_прогнозные цены'!W65,0,T105+T30+T16-'Лист2_прогнозные цены'!W65)</f>
        <v>17108054.905421235</v>
      </c>
      <c r="U117" s="27">
        <f>IF(U105+U30+U16&lt;'Лист2_прогнозные цены'!X65,0,U105+U30+U16-'Лист2_прогнозные цены'!X65)</f>
        <v>11076285.860573389</v>
      </c>
      <c r="V117" s="27">
        <f>IF(V105+V30+V16&lt;'Лист2_прогнозные цены'!Y65,0,V105+V30+V16-'Лист2_прогнозные цены'!Y65)</f>
        <v>17559698.186516412</v>
      </c>
      <c r="W117" s="27">
        <f>IF(W105+W30+W16&lt;'Лист2_прогнозные цены'!Z65,0,W105+W30+W16-'Лист2_прогнозные цены'!Z65)</f>
        <v>22069204.135324694</v>
      </c>
      <c r="X117" s="27">
        <f>IF(X105+X30+X16&lt;'Лист2_прогнозные цены'!AA65,0,X105+X30+X16-'Лист2_прогнозные цены'!AA65)</f>
        <v>19439965.129920073</v>
      </c>
      <c r="Y117" s="27">
        <f>IF(Y105+Y30+Y16&lt;'Лист2_прогнозные цены'!AB65,0,Y105+Y30+Y16-'Лист2_прогнозные цены'!AB65)</f>
        <v>17831299.827342793</v>
      </c>
      <c r="Z117" s="27">
        <f>IF(Z105+Z30+Z16&lt;'Лист2_прогнозные цены'!AC65,0,Z105+Z30+Z16-'Лист2_прогнозные цены'!AC65)</f>
        <v>21034753.210486412</v>
      </c>
      <c r="AA117" s="27">
        <f>IF(AA105+AA30+AA16&lt;'Лист2_прогнозные цены'!AD65,0,AA105+AA30+AA16-'Лист2_прогнозные цены'!AD65)</f>
        <v>22260169.254703943</v>
      </c>
      <c r="AB117" s="27">
        <f>IF(AB105+AB30+AB16&lt;'Лист2_прогнозные цены'!AE65,0,AB105+AB30+AB16-'Лист2_прогнозные цены'!AE65)</f>
        <v>14402255.700086694</v>
      </c>
    </row>
    <row r="118" spans="1:28" x14ac:dyDescent="0.2">
      <c r="B118" s="78" t="s">
        <v>56</v>
      </c>
      <c r="C118" s="76">
        <f t="shared" ref="C118:AA118" si="60">SUM(C111:C117)</f>
        <v>16723915.733747514</v>
      </c>
      <c r="D118" s="76">
        <f t="shared" si="60"/>
        <v>19357031.220239148</v>
      </c>
      <c r="E118" s="76">
        <f t="shared" si="60"/>
        <v>23845349.440102048</v>
      </c>
      <c r="F118" s="76">
        <f t="shared" si="60"/>
        <v>24551247.175146762</v>
      </c>
      <c r="G118" s="76">
        <f t="shared" si="60"/>
        <v>28876765.257359598</v>
      </c>
      <c r="H118" s="76">
        <f t="shared" si="60"/>
        <v>31070828.670525584</v>
      </c>
      <c r="I118" s="76">
        <f t="shared" si="60"/>
        <v>52511437.175342165</v>
      </c>
      <c r="J118" s="76">
        <f t="shared" si="60"/>
        <v>51623095.606254056</v>
      </c>
      <c r="K118" s="315">
        <f t="shared" si="60"/>
        <v>86080944.403265387</v>
      </c>
      <c r="L118" s="76">
        <f t="shared" si="60"/>
        <v>145871706.5924086</v>
      </c>
      <c r="M118" s="76">
        <f t="shared" si="60"/>
        <v>220758693.25039056</v>
      </c>
      <c r="N118" s="76">
        <f t="shared" si="60"/>
        <v>317901526.37081897</v>
      </c>
      <c r="O118" s="76">
        <f t="shared" si="60"/>
        <v>348829306.33931839</v>
      </c>
      <c r="P118" s="390">
        <f t="shared" si="60"/>
        <v>382476039.06214023</v>
      </c>
      <c r="Q118" s="76">
        <f t="shared" si="60"/>
        <v>386439656.04079437</v>
      </c>
      <c r="R118" s="76">
        <f t="shared" si="60"/>
        <v>379702440.67247021</v>
      </c>
      <c r="S118" s="76">
        <f t="shared" si="60"/>
        <v>371242578.51576614</v>
      </c>
      <c r="T118" s="76">
        <f t="shared" si="60"/>
        <v>380873071.93007284</v>
      </c>
      <c r="U118" s="76">
        <f t="shared" si="60"/>
        <v>385089257.99823678</v>
      </c>
      <c r="V118" s="76">
        <f t="shared" si="60"/>
        <v>399200994.1826576</v>
      </c>
      <c r="W118" s="76">
        <f t="shared" si="60"/>
        <v>452173872.95545316</v>
      </c>
      <c r="X118" s="76">
        <f t="shared" si="60"/>
        <v>488682832.07542068</v>
      </c>
      <c r="Y118" s="76">
        <f t="shared" si="60"/>
        <v>496176979.65974182</v>
      </c>
      <c r="Z118" s="76">
        <f t="shared" si="60"/>
        <v>505293896.56271738</v>
      </c>
      <c r="AA118" s="76">
        <f t="shared" si="60"/>
        <v>432047173.42855197</v>
      </c>
      <c r="AB118" s="76">
        <f t="shared" ref="AB118" si="61">SUM(AB111:AB117)</f>
        <v>381149793.16094065</v>
      </c>
    </row>
    <row r="119" spans="1:28" x14ac:dyDescent="0.2">
      <c r="C119" s="3"/>
      <c r="D119" s="3"/>
      <c r="E119" s="3"/>
      <c r="F119" s="3"/>
      <c r="G119" s="3"/>
      <c r="H119" s="3"/>
      <c r="I119" s="3"/>
      <c r="J119" s="3"/>
    </row>
    <row r="120" spans="1:28" x14ac:dyDescent="0.2">
      <c r="A120" s="25" t="s">
        <v>62</v>
      </c>
      <c r="C120" s="27">
        <f>INDEX([1]!RashodKBnaNS,C110)</f>
        <v>16709238.932039998</v>
      </c>
      <c r="D120" s="27">
        <f>INDEX([1]!RashodKBnaNS,D110)</f>
        <v>19374981.762139998</v>
      </c>
      <c r="E120" s="27">
        <f>INDEX([1]!RashodKBnaNS,E110)</f>
        <v>23529017.37799</v>
      </c>
      <c r="F120" s="27">
        <f>INDEX([1]!RashodKBnaNS,F110)</f>
        <v>24880386.637880005</v>
      </c>
      <c r="G120" s="27">
        <f>INDEX([1]!RashodKBnaNS,G110)</f>
        <v>27975769.610169999</v>
      </c>
      <c r="H120" s="27">
        <f>INDEX([1]!RashodKBnaNS,H110)</f>
        <v>29060796.29377</v>
      </c>
      <c r="I120" s="27">
        <f>INDEX([1]!RashodKBnaNS,I110)</f>
        <v>37764372.420560002</v>
      </c>
      <c r="J120" s="27">
        <f>INDEX([1]!RashodKBnaNS,J110)</f>
        <v>42168282.307270013</v>
      </c>
      <c r="K120" s="252">
        <f>INDEX([1]!RashodKBnaNS,K110)</f>
        <v>33582285.649451211</v>
      </c>
      <c r="L120" s="26">
        <f>INDEX([1]!RashodKBnaNS,L110)</f>
        <v>39643696.07053148</v>
      </c>
      <c r="M120" s="26">
        <f>INDEX([1]!RashodKBnaNS,M110)</f>
        <v>44752790.395170771</v>
      </c>
      <c r="N120" s="26">
        <f>INDEX([1]!RashodKBnaNS,N110)</f>
        <v>51982952.70743037</v>
      </c>
      <c r="O120" s="26">
        <f>INDEX([1]!RashodKBnaNS,O110)</f>
        <v>86237514.197193623</v>
      </c>
      <c r="P120" s="398">
        <f>INDEX([1]!RashodKBnaNS,P110)</f>
        <v>141272996.66551444</v>
      </c>
      <c r="Q120" s="26">
        <f>INDEX([1]!RashodKBnaNS,Q110)</f>
        <v>179903821.16752481</v>
      </c>
      <c r="R120" s="26">
        <f>INDEX([1]!RashodKBnaNS,R110)</f>
        <v>170654285.12107277</v>
      </c>
      <c r="S120" s="26">
        <f>INDEX([1]!RashodKBnaNS,S110)</f>
        <v>160004927.39167422</v>
      </c>
      <c r="T120" s="26">
        <f>INDEX([1]!RashodKBnaNS,T110)</f>
        <v>156297361.91023088</v>
      </c>
      <c r="U120" s="26">
        <f>INDEX([1]!RashodKBnaNS,U110)</f>
        <v>169891429.07345724</v>
      </c>
      <c r="V120" s="26">
        <f>INDEX([1]!RashodKBnaNS,V110)</f>
        <v>200650975.37294602</v>
      </c>
      <c r="W120" s="26">
        <f>INDEX([1]!RashodKBnaNS,W110)</f>
        <v>258506768.37983179</v>
      </c>
      <c r="X120" s="26">
        <f>INDEX([1]!RashodKBnaNS,X110)</f>
        <v>329527852.14610976</v>
      </c>
      <c r="Y120" s="26">
        <f>INDEX([1]!RashodKBnaNS,Y110)</f>
        <v>402815838.12587315</v>
      </c>
      <c r="Z120" s="26">
        <f>INDEX([1]!RashodKBnaNS,Z110)</f>
        <v>469517146.51610816</v>
      </c>
      <c r="AA120" s="26">
        <f>INDEX([1]!RashodKBnaNS,AA110)</f>
        <v>501096373.98180282</v>
      </c>
      <c r="AB120" s="26">
        <f>INDEX([1]!RashodKBnaNS,AB110)</f>
        <v>534797603.24000859</v>
      </c>
    </row>
    <row r="121" spans="1:28" x14ac:dyDescent="0.2">
      <c r="A121" s="25"/>
      <c r="J121" s="27"/>
      <c r="K121" s="252"/>
      <c r="L121" s="77"/>
      <c r="M121" s="27"/>
      <c r="N121" s="459"/>
      <c r="O121" s="459"/>
      <c r="P121" s="391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ht="13.5" thickBot="1" x14ac:dyDescent="0.25">
      <c r="B122" s="192" t="s">
        <v>163</v>
      </c>
      <c r="C122" s="3"/>
      <c r="D122" s="3"/>
      <c r="E122" s="3"/>
      <c r="F122" s="3"/>
      <c r="G122" s="3"/>
      <c r="H122" s="3"/>
      <c r="I122" s="3"/>
      <c r="J122" s="3"/>
    </row>
    <row r="123" spans="1:28" s="90" customFormat="1" ht="13.5" thickBot="1" x14ac:dyDescent="0.25">
      <c r="A123" s="93" t="s">
        <v>59</v>
      </c>
      <c r="C123" s="190">
        <f t="shared" ref="C123:K123" si="62">C120/C118</f>
        <v>0.99912240638250172</v>
      </c>
      <c r="D123" s="191">
        <f t="shared" si="62"/>
        <v>1.0009273396161122</v>
      </c>
      <c r="E123" s="191">
        <f t="shared" si="62"/>
        <v>0.98673401440785535</v>
      </c>
      <c r="F123" s="191">
        <f t="shared" si="62"/>
        <v>1.0134062217037361</v>
      </c>
      <c r="G123" s="191">
        <f t="shared" si="62"/>
        <v>0.96879859502407495</v>
      </c>
      <c r="H123" s="191">
        <f t="shared" si="62"/>
        <v>0.93530805379959692</v>
      </c>
      <c r="I123" s="191">
        <f t="shared" si="62"/>
        <v>0.71916470871783811</v>
      </c>
      <c r="J123" s="191">
        <f t="shared" si="62"/>
        <v>0.81684916047850087</v>
      </c>
      <c r="K123" s="259">
        <f t="shared" si="62"/>
        <v>0.39012450295767553</v>
      </c>
      <c r="L123" s="191">
        <f>L120/L118</f>
        <v>0.27177097599401501</v>
      </c>
      <c r="M123" s="191">
        <f t="shared" ref="M123:AB123" si="63">M120/M118</f>
        <v>0.20272266399226657</v>
      </c>
      <c r="N123" s="191">
        <f t="shared" si="63"/>
        <v>0.16351904094601424</v>
      </c>
      <c r="O123" s="191">
        <f t="shared" si="63"/>
        <v>0.24721980816975106</v>
      </c>
      <c r="P123" s="399">
        <f t="shared" si="63"/>
        <v>0.36936430583188001</v>
      </c>
      <c r="Q123" s="191">
        <f t="shared" si="63"/>
        <v>0.46554182096811858</v>
      </c>
      <c r="R123" s="191">
        <f t="shared" si="63"/>
        <v>0.44944216007365217</v>
      </c>
      <c r="S123" s="191">
        <f t="shared" si="63"/>
        <v>0.43099831929671567</v>
      </c>
      <c r="T123" s="191">
        <f t="shared" si="63"/>
        <v>0.4103660075473296</v>
      </c>
      <c r="U123" s="191">
        <f t="shared" si="63"/>
        <v>0.44117415779547692</v>
      </c>
      <c r="V123" s="191">
        <f t="shared" si="63"/>
        <v>0.50263145206781867</v>
      </c>
      <c r="W123" s="191">
        <f t="shared" si="63"/>
        <v>0.57169771152456461</v>
      </c>
      <c r="X123" s="191">
        <f t="shared" si="63"/>
        <v>0.67431845466437867</v>
      </c>
      <c r="Y123" s="191">
        <f t="shared" si="63"/>
        <v>0.8118390305050186</v>
      </c>
      <c r="Z123" s="191">
        <f t="shared" si="63"/>
        <v>0.92919615635577224</v>
      </c>
      <c r="AA123" s="191">
        <f t="shared" si="63"/>
        <v>1.1598186605534397</v>
      </c>
      <c r="AB123" s="191">
        <f t="shared" si="63"/>
        <v>1.4031166035926199</v>
      </c>
    </row>
    <row r="124" spans="1:28" x14ac:dyDescent="0.2">
      <c r="A124" s="25"/>
    </row>
    <row r="125" spans="1:28" s="333" customFormat="1" x14ac:dyDescent="0.2">
      <c r="A125" s="385" t="s">
        <v>88</v>
      </c>
      <c r="P125" s="387"/>
    </row>
    <row r="126" spans="1:28" x14ac:dyDescent="0.2">
      <c r="A126" s="59"/>
    </row>
    <row r="127" spans="1:28" x14ac:dyDescent="0.2">
      <c r="A127" s="59"/>
      <c r="B127" t="s">
        <v>89</v>
      </c>
      <c r="C127" s="146" t="s">
        <v>130</v>
      </c>
      <c r="D127" s="59"/>
      <c r="E127" s="59"/>
      <c r="F127" s="59"/>
      <c r="G127" s="59"/>
      <c r="H127" s="59"/>
      <c r="I127" s="59"/>
      <c r="J127" s="59"/>
      <c r="K127" s="260"/>
      <c r="L127" s="106"/>
      <c r="M127" s="59"/>
      <c r="N127" s="59"/>
      <c r="O127" s="59"/>
      <c r="P127" s="400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</row>
    <row r="128" spans="1:28" x14ac:dyDescent="0.2">
      <c r="A128" s="59"/>
      <c r="C128" s="155">
        <f t="shared" ref="C128:AB128" si="64">INDEX(Doli_Prop_1,1,C$110)</f>
        <v>0.7</v>
      </c>
      <c r="D128" s="155">
        <f t="shared" si="64"/>
        <v>0.7</v>
      </c>
      <c r="E128" s="155">
        <f t="shared" si="64"/>
        <v>0.7</v>
      </c>
      <c r="F128" s="155">
        <f t="shared" si="64"/>
        <v>0.6</v>
      </c>
      <c r="G128" s="155">
        <f t="shared" si="64"/>
        <v>0.6</v>
      </c>
      <c r="H128" s="155">
        <f t="shared" si="64"/>
        <v>0.7</v>
      </c>
      <c r="I128" s="155">
        <f t="shared" si="64"/>
        <v>0.6</v>
      </c>
      <c r="J128" s="155">
        <f t="shared" si="64"/>
        <v>0.6</v>
      </c>
      <c r="K128" s="248">
        <f t="shared" si="64"/>
        <v>0.8</v>
      </c>
      <c r="L128" s="155">
        <f t="shared" si="64"/>
        <v>0.8</v>
      </c>
      <c r="M128" s="155">
        <v>0.8</v>
      </c>
      <c r="N128" s="155">
        <f t="shared" si="64"/>
        <v>0.8</v>
      </c>
      <c r="O128" s="155">
        <f t="shared" si="64"/>
        <v>0.8</v>
      </c>
      <c r="P128" s="401">
        <f t="shared" si="64"/>
        <v>0.8</v>
      </c>
      <c r="Q128" s="155">
        <f t="shared" si="64"/>
        <v>0.8</v>
      </c>
      <c r="R128" s="155">
        <f t="shared" si="64"/>
        <v>0.8</v>
      </c>
      <c r="S128" s="155">
        <f t="shared" si="64"/>
        <v>0.8</v>
      </c>
      <c r="T128" s="155">
        <f t="shared" si="64"/>
        <v>0.8</v>
      </c>
      <c r="U128" s="155">
        <f t="shared" si="64"/>
        <v>0.8</v>
      </c>
      <c r="V128" s="155">
        <f t="shared" si="64"/>
        <v>0.8</v>
      </c>
      <c r="W128" s="155">
        <f t="shared" si="64"/>
        <v>0.8</v>
      </c>
      <c r="X128" s="155">
        <f t="shared" si="64"/>
        <v>0.8</v>
      </c>
      <c r="Y128" s="155">
        <f t="shared" si="64"/>
        <v>0.8</v>
      </c>
      <c r="Z128" s="155">
        <f t="shared" si="64"/>
        <v>0.8</v>
      </c>
      <c r="AA128" s="155">
        <f t="shared" si="64"/>
        <v>0.8</v>
      </c>
      <c r="AB128" s="155">
        <f t="shared" si="64"/>
        <v>0.8</v>
      </c>
    </row>
    <row r="129" spans="1:28" x14ac:dyDescent="0.2">
      <c r="A129" s="59"/>
      <c r="C129" s="59"/>
      <c r="D129" s="59"/>
      <c r="E129" s="59"/>
      <c r="F129" s="59"/>
      <c r="G129" s="59"/>
      <c r="H129" s="59"/>
      <c r="I129" s="59"/>
      <c r="J129" s="59"/>
      <c r="K129" s="260"/>
      <c r="L129" s="106"/>
      <c r="M129" s="59"/>
      <c r="N129" s="59"/>
      <c r="O129" s="59"/>
      <c r="P129" s="400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</row>
    <row r="130" spans="1:28" x14ac:dyDescent="0.2">
      <c r="B130" s="25"/>
      <c r="C130">
        <v>1</v>
      </c>
      <c r="D130">
        <v>2</v>
      </c>
      <c r="E130">
        <v>3</v>
      </c>
      <c r="F130">
        <v>4</v>
      </c>
      <c r="G130">
        <v>5</v>
      </c>
      <c r="H130">
        <v>6</v>
      </c>
      <c r="I130">
        <v>7</v>
      </c>
      <c r="J130">
        <v>8</v>
      </c>
      <c r="K130" s="248">
        <v>9</v>
      </c>
      <c r="L130" s="3">
        <v>10</v>
      </c>
      <c r="M130" s="3">
        <v>11</v>
      </c>
      <c r="N130" s="3">
        <v>12</v>
      </c>
      <c r="O130" s="3">
        <v>13</v>
      </c>
      <c r="P130" s="387">
        <v>14</v>
      </c>
      <c r="Q130" s="3">
        <v>15</v>
      </c>
      <c r="R130" s="3">
        <v>16</v>
      </c>
      <c r="S130" s="3">
        <v>17</v>
      </c>
      <c r="T130" s="3">
        <v>18</v>
      </c>
      <c r="U130" s="3">
        <v>19</v>
      </c>
      <c r="V130" s="3">
        <v>20</v>
      </c>
      <c r="W130" s="3">
        <v>21</v>
      </c>
      <c r="X130" s="3">
        <v>22</v>
      </c>
      <c r="Y130" s="3">
        <v>23</v>
      </c>
      <c r="Z130" s="3">
        <v>24</v>
      </c>
      <c r="AA130" s="3">
        <v>25</v>
      </c>
      <c r="AB130" s="3">
        <v>26</v>
      </c>
    </row>
    <row r="131" spans="1:28" x14ac:dyDescent="0.2">
      <c r="A131" s="133" t="s">
        <v>90</v>
      </c>
    </row>
    <row r="132" spans="1:28" x14ac:dyDescent="0.2">
      <c r="A132" s="3">
        <v>1</v>
      </c>
      <c r="B132" t="s">
        <v>41</v>
      </c>
      <c r="C132" s="38">
        <f t="shared" ref="C132:J132" si="65">MIN(C111*C$123*INDEX(Doli_Prop_1,1,C$130),C111)</f>
        <v>2654526.066337978</v>
      </c>
      <c r="D132" s="38">
        <f t="shared" si="65"/>
        <v>3795589.475550286</v>
      </c>
      <c r="E132" s="38">
        <f t="shared" si="65"/>
        <v>7329428.5708136559</v>
      </c>
      <c r="F132" s="38">
        <f t="shared" si="65"/>
        <v>6739130.9538174085</v>
      </c>
      <c r="G132" s="38">
        <f t="shared" si="65"/>
        <v>7410968.1942230398</v>
      </c>
      <c r="H132" s="38">
        <f t="shared" si="65"/>
        <v>8807763.5680770818</v>
      </c>
      <c r="I132" s="38">
        <f t="shared" si="65"/>
        <v>8753815.2505966369</v>
      </c>
      <c r="J132" s="38">
        <f t="shared" si="65"/>
        <v>8456752.7219401896</v>
      </c>
      <c r="K132" s="251">
        <f t="shared" ref="K132:N138" si="66">MIN(K111*K$123*INDEX(Doli_Prop_1,1,K$130),K111)</f>
        <v>13052321.795010535</v>
      </c>
      <c r="L132" s="76">
        <f t="shared" si="66"/>
        <v>19037282.087713942</v>
      </c>
      <c r="M132" s="76">
        <f t="shared" si="66"/>
        <v>23645550.391834602</v>
      </c>
      <c r="N132" s="76">
        <f t="shared" si="66"/>
        <v>28792091.622029055</v>
      </c>
      <c r="O132" s="76">
        <f t="shared" ref="O132:AA132" si="67">MIN(O111*O$123*INDEX(Doli_Prop_1,1,O$130),O111)</f>
        <v>49012019.144555636</v>
      </c>
      <c r="P132" s="390">
        <f t="shared" si="67"/>
        <v>78372180.558123797</v>
      </c>
      <c r="Q132" s="76">
        <f t="shared" si="67"/>
        <v>98254757.509683743</v>
      </c>
      <c r="R132" s="76">
        <f t="shared" si="67"/>
        <v>91796461.272236928</v>
      </c>
      <c r="S132" s="76">
        <f t="shared" si="67"/>
        <v>83071494.543176398</v>
      </c>
      <c r="T132" s="76">
        <f t="shared" si="67"/>
        <v>77457266.179519877</v>
      </c>
      <c r="U132" s="76">
        <f t="shared" si="67"/>
        <v>81241633.104185343</v>
      </c>
      <c r="V132" s="76">
        <f t="shared" si="67"/>
        <v>90096396.593390226</v>
      </c>
      <c r="W132" s="76">
        <f t="shared" si="67"/>
        <v>124880393.36415564</v>
      </c>
      <c r="X132" s="76">
        <f t="shared" si="67"/>
        <v>159605318.43531552</v>
      </c>
      <c r="Y132" s="76">
        <f t="shared" si="67"/>
        <v>194954122.4428823</v>
      </c>
      <c r="Z132" s="76">
        <f t="shared" si="67"/>
        <v>215678066.78437582</v>
      </c>
      <c r="AA132" s="76">
        <f t="shared" si="67"/>
        <v>187273627.87459454</v>
      </c>
      <c r="AB132" s="76">
        <f t="shared" ref="AB132" si="68">MIN(AB111*AB$123*INDEX(Doli_Prop_1,1,AB$130),AB111)</f>
        <v>162442784.81811324</v>
      </c>
    </row>
    <row r="133" spans="1:28" x14ac:dyDescent="0.2">
      <c r="A133" s="3">
        <v>2</v>
      </c>
      <c r="B133" t="s">
        <v>3</v>
      </c>
      <c r="C133" s="38">
        <f t="shared" ref="C133:J133" si="69">MIN(C112*C$123*INDEX(Doli_Prop_1,1,C$130),C112)</f>
        <v>901395.92047145392</v>
      </c>
      <c r="D133" s="38">
        <f t="shared" si="69"/>
        <v>876505.7873040376</v>
      </c>
      <c r="E133" s="38">
        <f t="shared" si="69"/>
        <v>1032464.7274645719</v>
      </c>
      <c r="F133" s="38">
        <f t="shared" si="69"/>
        <v>953734.843294875</v>
      </c>
      <c r="G133" s="38">
        <f t="shared" si="69"/>
        <v>780033.96013946948</v>
      </c>
      <c r="H133" s="38">
        <f t="shared" si="69"/>
        <v>1240108.4194516162</v>
      </c>
      <c r="I133" s="38">
        <f t="shared" si="69"/>
        <v>1241739.6624844032</v>
      </c>
      <c r="J133" s="38">
        <f t="shared" si="69"/>
        <v>1971800.8645675492</v>
      </c>
      <c r="K133" s="251">
        <f t="shared" si="66"/>
        <v>1773693.2418276099</v>
      </c>
      <c r="L133" s="76">
        <f t="shared" si="66"/>
        <v>1677771.0936950911</v>
      </c>
      <c r="M133" s="76">
        <f t="shared" si="66"/>
        <v>1618535.9444105572</v>
      </c>
      <c r="N133" s="76">
        <f t="shared" si="66"/>
        <v>1643502.3476891045</v>
      </c>
      <c r="O133" s="76">
        <f t="shared" ref="O133:AA133" si="70">MIN(O112*O$123*INDEX(Doli_Prop_1,1,O$130),O112)</f>
        <v>1401133.7189897448</v>
      </c>
      <c r="P133" s="390">
        <f t="shared" si="70"/>
        <v>2903468.6773908096</v>
      </c>
      <c r="Q133" s="76">
        <f t="shared" si="70"/>
        <v>4302086.8902607821</v>
      </c>
      <c r="R133" s="76">
        <f t="shared" si="70"/>
        <v>3914931.4058647887</v>
      </c>
      <c r="S133" s="76">
        <f t="shared" si="70"/>
        <v>4010375.289132698</v>
      </c>
      <c r="T133" s="76">
        <f t="shared" si="70"/>
        <v>3767063.1347683612</v>
      </c>
      <c r="U133" s="76">
        <f t="shared" si="70"/>
        <v>4743369.2123285206</v>
      </c>
      <c r="V133" s="76">
        <f t="shared" si="70"/>
        <v>6274609.8494559154</v>
      </c>
      <c r="W133" s="76">
        <f t="shared" si="70"/>
        <v>5251786.2943615764</v>
      </c>
      <c r="X133" s="76">
        <f t="shared" si="70"/>
        <v>6599465.6182686286</v>
      </c>
      <c r="Y133" s="76">
        <f t="shared" si="70"/>
        <v>8333785.3809474828</v>
      </c>
      <c r="Z133" s="76">
        <f t="shared" si="70"/>
        <v>9990930.4491681866</v>
      </c>
      <c r="AA133" s="76">
        <f t="shared" si="70"/>
        <v>13109781.580403723</v>
      </c>
      <c r="AB133" s="76">
        <f t="shared" ref="AB133" si="71">MIN(AB112*AB$123*INDEX(Doli_Prop_1,1,AB$130),AB112)</f>
        <v>14918909.813265011</v>
      </c>
    </row>
    <row r="134" spans="1:28" x14ac:dyDescent="0.2">
      <c r="A134" s="3">
        <v>3</v>
      </c>
      <c r="B134" t="s">
        <v>29</v>
      </c>
      <c r="C134" s="38">
        <f t="shared" ref="C134:J134" si="72">MIN(C113*C$123*INDEX(Doli_Prop_1,1,C$130),C113)</f>
        <v>3205420.4012165247</v>
      </c>
      <c r="D134" s="38">
        <f t="shared" si="72"/>
        <v>3444634.3220697939</v>
      </c>
      <c r="E134" s="38">
        <f t="shared" si="72"/>
        <v>3059793.0708191092</v>
      </c>
      <c r="F134" s="38">
        <f t="shared" si="72"/>
        <v>2973878.1506239758</v>
      </c>
      <c r="G134" s="38">
        <f t="shared" si="72"/>
        <v>3476918.5189634548</v>
      </c>
      <c r="H134" s="38">
        <f t="shared" si="72"/>
        <v>3798486.7115560388</v>
      </c>
      <c r="I134" s="38">
        <f t="shared" si="72"/>
        <v>7384436.1630273415</v>
      </c>
      <c r="J134" s="38">
        <f t="shared" si="72"/>
        <v>8680783.9625926614</v>
      </c>
      <c r="K134" s="251">
        <f t="shared" si="66"/>
        <v>6138555.933770312</v>
      </c>
      <c r="L134" s="76">
        <f t="shared" si="66"/>
        <v>4954739.4271165263</v>
      </c>
      <c r="M134" s="76">
        <f t="shared" si="66"/>
        <v>4432488.7352460828</v>
      </c>
      <c r="N134" s="76">
        <f t="shared" si="66"/>
        <v>4336338.2482738569</v>
      </c>
      <c r="O134" s="76">
        <f t="shared" ref="O134:AA134" si="73">MIN(O113*O$123*INDEX(Doli_Prop_1,1,O$130),O113)</f>
        <v>7517668.2776985504</v>
      </c>
      <c r="P134" s="390">
        <f t="shared" si="73"/>
        <v>13057842.137464879</v>
      </c>
      <c r="Q134" s="76">
        <f t="shared" si="73"/>
        <v>18227369.344985213</v>
      </c>
      <c r="R134" s="76">
        <f t="shared" si="73"/>
        <v>18901490.31840685</v>
      </c>
      <c r="S134" s="76">
        <f t="shared" si="73"/>
        <v>19459686.610539384</v>
      </c>
      <c r="T134" s="76">
        <f t="shared" si="73"/>
        <v>19747969.543728054</v>
      </c>
      <c r="U134" s="76">
        <f t="shared" si="73"/>
        <v>22573943.980830193</v>
      </c>
      <c r="V134" s="76">
        <f t="shared" si="73"/>
        <v>26962377.941816535</v>
      </c>
      <c r="W134" s="76">
        <f t="shared" si="73"/>
        <v>32253013.405635882</v>
      </c>
      <c r="X134" s="76">
        <f t="shared" si="73"/>
        <v>41621087.849356696</v>
      </c>
      <c r="Y134" s="76">
        <f t="shared" si="73"/>
        <v>53591106.984934017</v>
      </c>
      <c r="Z134" s="76">
        <f t="shared" si="73"/>
        <v>64939777.615630224</v>
      </c>
      <c r="AA134" s="76">
        <f t="shared" si="73"/>
        <v>85793306.075440466</v>
      </c>
      <c r="AB134" s="76">
        <f t="shared" ref="AB134" si="74">MIN(AB113*AB$123*INDEX(Doli_Prop_1,1,AB$130),AB113)</f>
        <v>96640344.032305151</v>
      </c>
    </row>
    <row r="135" spans="1:28" x14ac:dyDescent="0.2">
      <c r="A135" s="3">
        <v>4</v>
      </c>
      <c r="B135" t="s">
        <v>5</v>
      </c>
      <c r="C135" s="38">
        <f t="shared" ref="C135:J135" si="75">MIN(C114*C$123*INDEX(Doli_Prop_1,1,C$130),C114)</f>
        <v>3454911.2136318823</v>
      </c>
      <c r="D135" s="38">
        <f t="shared" si="75"/>
        <v>4045490.2192767104</v>
      </c>
      <c r="E135" s="38">
        <f t="shared" si="75"/>
        <v>3341984.6893777014</v>
      </c>
      <c r="F135" s="38">
        <f t="shared" si="75"/>
        <v>2005313.8285570345</v>
      </c>
      <c r="G135" s="38">
        <f t="shared" si="75"/>
        <v>2130693.4572819495</v>
      </c>
      <c r="H135" s="38">
        <f t="shared" si="75"/>
        <v>2803961.3188730921</v>
      </c>
      <c r="I135" s="38">
        <f t="shared" si="75"/>
        <v>2012496.2499126038</v>
      </c>
      <c r="J135" s="38">
        <f t="shared" si="75"/>
        <v>2484718.0360056637</v>
      </c>
      <c r="K135" s="251">
        <f t="shared" si="66"/>
        <v>1973526.0706325979</v>
      </c>
      <c r="L135" s="76">
        <f t="shared" si="66"/>
        <v>1783336.8325988387</v>
      </c>
      <c r="M135" s="76">
        <f t="shared" si="66"/>
        <v>1777444.8037969654</v>
      </c>
      <c r="N135" s="76">
        <f t="shared" si="66"/>
        <v>1805187.8624513838</v>
      </c>
      <c r="O135" s="76">
        <f t="shared" ref="O135:AA135" si="76">MIN(O114*O$123*INDEX(Doli_Prop_1,1,O$130),O114)</f>
        <v>2978552.8762776693</v>
      </c>
      <c r="P135" s="390">
        <f t="shared" si="76"/>
        <v>5492215.7268880215</v>
      </c>
      <c r="Q135" s="76">
        <f t="shared" si="76"/>
        <v>7975357.7812548596</v>
      </c>
      <c r="R135" s="76">
        <f t="shared" si="76"/>
        <v>7062160.3038288495</v>
      </c>
      <c r="S135" s="76">
        <f t="shared" si="76"/>
        <v>8227910.5895837713</v>
      </c>
      <c r="T135" s="76">
        <f t="shared" si="76"/>
        <v>8374263.279893592</v>
      </c>
      <c r="U135" s="76">
        <f t="shared" si="76"/>
        <v>10639527.490677752</v>
      </c>
      <c r="V135" s="76">
        <f t="shared" si="76"/>
        <v>13238633.922301842</v>
      </c>
      <c r="W135" s="76">
        <f t="shared" si="76"/>
        <v>17732122.831213828</v>
      </c>
      <c r="X135" s="76">
        <f t="shared" si="76"/>
        <v>20748527.744113535</v>
      </c>
      <c r="Y135" s="76">
        <f t="shared" si="76"/>
        <v>27287333.534931172</v>
      </c>
      <c r="Z135" s="76">
        <f t="shared" si="76"/>
        <v>34769278.85612344</v>
      </c>
      <c r="AA135" s="76">
        <f t="shared" si="76"/>
        <v>47524759.90886496</v>
      </c>
      <c r="AB135" s="76">
        <f t="shared" ref="AB135" si="77">MIN(AB114*AB$123*INDEX(Doli_Prop_1,1,AB$130),AB114)</f>
        <v>50797718.127789758</v>
      </c>
    </row>
    <row r="136" spans="1:28" x14ac:dyDescent="0.2">
      <c r="A136" s="3">
        <v>5</v>
      </c>
      <c r="B136" t="s">
        <v>6</v>
      </c>
      <c r="C136" s="38">
        <f t="shared" ref="C136:J136" si="78">MIN(C115*C$123*INDEX(Doli_Prop_1,1,C$130),C115)</f>
        <v>401869.26967300003</v>
      </c>
      <c r="D136" s="38">
        <f t="shared" si="78"/>
        <v>466598.62446573278</v>
      </c>
      <c r="E136" s="38">
        <f t="shared" si="78"/>
        <v>770570.05542338581</v>
      </c>
      <c r="F136" s="38">
        <f t="shared" si="78"/>
        <v>617781.43530286604</v>
      </c>
      <c r="G136" s="38">
        <f t="shared" si="78"/>
        <v>718468.42069093254</v>
      </c>
      <c r="H136" s="38">
        <f t="shared" si="78"/>
        <v>694430.859954171</v>
      </c>
      <c r="I136" s="38">
        <f t="shared" si="78"/>
        <v>498487.09926287329</v>
      </c>
      <c r="J136" s="38">
        <f t="shared" si="78"/>
        <v>653767.13831474457</v>
      </c>
      <c r="K136" s="251">
        <f t="shared" si="66"/>
        <v>762829.30961101945</v>
      </c>
      <c r="L136" s="76">
        <f t="shared" si="66"/>
        <v>675429.70491798036</v>
      </c>
      <c r="M136" s="76">
        <f t="shared" si="66"/>
        <v>652896.47340227535</v>
      </c>
      <c r="N136" s="76">
        <f t="shared" si="66"/>
        <v>679244.03162055998</v>
      </c>
      <c r="O136" s="76">
        <f t="shared" ref="O136:AA136" si="79">MIN(O115*O$123*INDEX(Doli_Prop_1,1,O$130),O115)</f>
        <v>639813.74221413664</v>
      </c>
      <c r="P136" s="390">
        <f t="shared" si="79"/>
        <v>1498253.221530071</v>
      </c>
      <c r="Q136" s="76">
        <f t="shared" si="79"/>
        <v>2345032.1302372962</v>
      </c>
      <c r="R136" s="76">
        <f t="shared" si="79"/>
        <v>2375839.4703938472</v>
      </c>
      <c r="S136" s="76">
        <f t="shared" si="79"/>
        <v>2545799.8853564705</v>
      </c>
      <c r="T136" s="76">
        <f t="shared" si="79"/>
        <v>2691137.7671058644</v>
      </c>
      <c r="U136" s="76">
        <f t="shared" si="79"/>
        <v>3213737.6698720744</v>
      </c>
      <c r="V136" s="76">
        <f t="shared" si="79"/>
        <v>4035076.3347393558</v>
      </c>
      <c r="W136" s="76">
        <f t="shared" si="79"/>
        <v>5269387.9349108338</v>
      </c>
      <c r="X136" s="76">
        <f t="shared" si="79"/>
        <v>6222272.6242748303</v>
      </c>
      <c r="Y136" s="76">
        <f t="shared" si="79"/>
        <v>7977763.1719035553</v>
      </c>
      <c r="Z136" s="76">
        <f t="shared" si="79"/>
        <v>10297723.838288017</v>
      </c>
      <c r="AA136" s="76">
        <f t="shared" si="79"/>
        <v>13939381.955598846</v>
      </c>
      <c r="AB136" s="76">
        <f t="shared" ref="AB136" si="80">MIN(AB115*AB$123*INDEX(Doli_Prop_1,1,AB$130),AB115)</f>
        <v>13947576.656121988</v>
      </c>
    </row>
    <row r="137" spans="1:28" x14ac:dyDescent="0.2">
      <c r="A137" s="3">
        <v>6</v>
      </c>
      <c r="B137" t="s">
        <v>1</v>
      </c>
      <c r="C137" s="38">
        <f t="shared" ref="C137:J137" si="81">MIN(C116*C$123*INDEX(Doli_Prop_1,1,C$130),C116)</f>
        <v>557425.05823902169</v>
      </c>
      <c r="D137" s="38">
        <f t="shared" si="81"/>
        <v>588066.21106596244</v>
      </c>
      <c r="E137" s="38">
        <f t="shared" si="81"/>
        <v>475393.56049085635</v>
      </c>
      <c r="F137" s="38">
        <f t="shared" si="81"/>
        <v>642761.7447846476</v>
      </c>
      <c r="G137" s="38">
        <f t="shared" si="81"/>
        <v>1112323.4820122051</v>
      </c>
      <c r="H137" s="38">
        <f t="shared" si="81"/>
        <v>1569098.4567677598</v>
      </c>
      <c r="I137" s="38">
        <f t="shared" si="81"/>
        <v>1650489.8319464866</v>
      </c>
      <c r="J137" s="38">
        <f t="shared" si="81"/>
        <v>1590089.4267204353</v>
      </c>
      <c r="K137" s="251">
        <f t="shared" si="66"/>
        <v>1810030.6837710366</v>
      </c>
      <c r="L137" s="76">
        <f t="shared" si="66"/>
        <v>2023585.5127804377</v>
      </c>
      <c r="M137" s="76">
        <f t="shared" si="66"/>
        <v>1924770.9862431672</v>
      </c>
      <c r="N137" s="76">
        <f t="shared" si="66"/>
        <v>2301442.3661203384</v>
      </c>
      <c r="O137" s="76">
        <f t="shared" ref="O137:AA137" si="82">MIN(O116*O$123*INDEX(Doli_Prop_1,1,O$130),O116)</f>
        <v>3841366.8750303709</v>
      </c>
      <c r="P137" s="390">
        <f t="shared" si="82"/>
        <v>7256586.0520614134</v>
      </c>
      <c r="Q137" s="76">
        <f t="shared" si="82"/>
        <v>6504729.8066821955</v>
      </c>
      <c r="R137" s="76">
        <f t="shared" si="82"/>
        <v>7929673.5656559216</v>
      </c>
      <c r="S137" s="76">
        <f t="shared" si="82"/>
        <v>5428654.6745220125</v>
      </c>
      <c r="T137" s="76">
        <f t="shared" si="82"/>
        <v>7383738.2724183947</v>
      </c>
      <c r="U137" s="76">
        <f t="shared" si="82"/>
        <v>9591674.9320395794</v>
      </c>
      <c r="V137" s="76">
        <f t="shared" si="82"/>
        <v>12852840.37876383</v>
      </c>
      <c r="W137" s="76">
        <f t="shared" si="82"/>
        <v>11325180.074120807</v>
      </c>
      <c r="X137" s="76">
        <f t="shared" si="82"/>
        <v>18338627.649448905</v>
      </c>
      <c r="Y137" s="76">
        <f t="shared" si="82"/>
        <v>18527642.853520609</v>
      </c>
      <c r="Z137" s="76">
        <f t="shared" si="82"/>
        <v>24301610.202839904</v>
      </c>
      <c r="AA137" s="76">
        <f t="shared" si="82"/>
        <v>32582034.039592948</v>
      </c>
      <c r="AB137" s="76">
        <f t="shared" ref="AB137" si="83">MIN(AB116*AB$123*INDEX(Doli_Prop_1,1,AB$130),AB116)</f>
        <v>28000204.0132588</v>
      </c>
    </row>
    <row r="138" spans="1:28" x14ac:dyDescent="0.2">
      <c r="A138" s="3">
        <v>7</v>
      </c>
      <c r="B138" t="s">
        <v>2</v>
      </c>
      <c r="C138" s="38">
        <f t="shared" ref="C138:J138" si="84">MIN(C117*C$123*INDEX(Doli_Prop_1,1,C$130),C117)</f>
        <v>520919.32285813882</v>
      </c>
      <c r="D138" s="38">
        <f t="shared" si="84"/>
        <v>345602.59376547497</v>
      </c>
      <c r="E138" s="38">
        <f t="shared" si="84"/>
        <v>460677.49020371528</v>
      </c>
      <c r="F138" s="38">
        <f t="shared" si="84"/>
        <v>995631.02634719037</v>
      </c>
      <c r="G138" s="38">
        <f t="shared" si="84"/>
        <v>1156055.7327909491</v>
      </c>
      <c r="H138" s="38">
        <f t="shared" si="84"/>
        <v>1428708.0709592423</v>
      </c>
      <c r="I138" s="38">
        <f t="shared" si="84"/>
        <v>1117159.1951056572</v>
      </c>
      <c r="J138" s="38">
        <f t="shared" si="84"/>
        <v>1463057.2342207616</v>
      </c>
      <c r="K138" s="251">
        <f t="shared" si="66"/>
        <v>1354871.4849378564</v>
      </c>
      <c r="L138" s="76">
        <f t="shared" si="66"/>
        <v>1562812.1976023647</v>
      </c>
      <c r="M138" s="76">
        <f t="shared" si="66"/>
        <v>1750544.9812029703</v>
      </c>
      <c r="N138" s="76">
        <f t="shared" si="66"/>
        <v>2028555.6877600048</v>
      </c>
      <c r="O138" s="76">
        <f t="shared" ref="O138:AA138" si="85">MIN(O117*O$123*INDEX(Doli_Prop_1,1,O$130),O117)</f>
        <v>3599456.7229887825</v>
      </c>
      <c r="P138" s="390">
        <f t="shared" si="85"/>
        <v>4437850.9589525936</v>
      </c>
      <c r="Q138" s="76">
        <f t="shared" si="85"/>
        <v>6313723.4709157888</v>
      </c>
      <c r="R138" s="76">
        <f t="shared" si="85"/>
        <v>4542871.7604710329</v>
      </c>
      <c r="S138" s="76">
        <f t="shared" si="85"/>
        <v>5260020.321028661</v>
      </c>
      <c r="T138" s="76">
        <f t="shared" si="85"/>
        <v>5616451.3507505767</v>
      </c>
      <c r="U138" s="76">
        <f t="shared" si="85"/>
        <v>3909256.8688323312</v>
      </c>
      <c r="V138" s="76">
        <f t="shared" si="85"/>
        <v>7060845.2778891092</v>
      </c>
      <c r="W138" s="76">
        <f t="shared" si="85"/>
        <v>10093530.799466869</v>
      </c>
      <c r="X138" s="76">
        <f t="shared" si="85"/>
        <v>10486981.796109689</v>
      </c>
      <c r="Y138" s="76">
        <f t="shared" si="85"/>
        <v>11580916.131579423</v>
      </c>
      <c r="Z138" s="76">
        <f t="shared" si="85"/>
        <v>15636329.466460971</v>
      </c>
      <c r="AA138" s="76">
        <f t="shared" si="85"/>
        <v>20654207.750946872</v>
      </c>
      <c r="AB138" s="76">
        <f t="shared" ref="AB138" si="86">MIN(AB117*AB$123*INDEX(Doli_Prop_1,1,AB$130),AB117)</f>
        <v>14402255.700086694</v>
      </c>
    </row>
    <row r="139" spans="1:28" s="25" customFormat="1" x14ac:dyDescent="0.2">
      <c r="A139" s="59"/>
      <c r="B139" s="78" t="s">
        <v>96</v>
      </c>
      <c r="C139" s="307">
        <f t="shared" ref="C139:AA139" si="87">SUM(C132:C138)</f>
        <v>11696467.252427997</v>
      </c>
      <c r="D139" s="307">
        <f t="shared" si="87"/>
        <v>13562487.233497998</v>
      </c>
      <c r="E139" s="307">
        <f t="shared" si="87"/>
        <v>16470312.164592996</v>
      </c>
      <c r="F139" s="307">
        <f t="shared" si="87"/>
        <v>14928231.982727999</v>
      </c>
      <c r="G139" s="307">
        <f t="shared" si="87"/>
        <v>16785461.766102001</v>
      </c>
      <c r="H139" s="307">
        <f t="shared" si="87"/>
        <v>20342557.405639004</v>
      </c>
      <c r="I139" s="307">
        <f t="shared" si="87"/>
        <v>22658623.452336006</v>
      </c>
      <c r="J139" s="307">
        <f t="shared" si="87"/>
        <v>25300969.384362008</v>
      </c>
      <c r="K139" s="308">
        <f t="shared" si="87"/>
        <v>26865828.51956097</v>
      </c>
      <c r="L139" s="309">
        <f t="shared" si="87"/>
        <v>31714956.856425181</v>
      </c>
      <c r="M139" s="309">
        <f t="shared" si="87"/>
        <v>35802232.316136621</v>
      </c>
      <c r="N139" s="309">
        <f t="shared" si="87"/>
        <v>41586362.165944301</v>
      </c>
      <c r="O139" s="309">
        <f t="shared" si="87"/>
        <v>68990011.357754886</v>
      </c>
      <c r="P139" s="402">
        <f t="shared" si="87"/>
        <v>113018397.33241157</v>
      </c>
      <c r="Q139" s="309">
        <f t="shared" si="87"/>
        <v>143923056.93401989</v>
      </c>
      <c r="R139" s="309">
        <f t="shared" si="87"/>
        <v>136523428.09685823</v>
      </c>
      <c r="S139" s="309">
        <f t="shared" si="87"/>
        <v>128003941.91333939</v>
      </c>
      <c r="T139" s="309">
        <f t="shared" si="87"/>
        <v>125037889.52818473</v>
      </c>
      <c r="U139" s="309">
        <f t="shared" si="87"/>
        <v>135913143.25876579</v>
      </c>
      <c r="V139" s="309">
        <f t="shared" si="87"/>
        <v>160520780.2983568</v>
      </c>
      <c r="W139" s="309">
        <f t="shared" si="87"/>
        <v>206805414.70386547</v>
      </c>
      <c r="X139" s="309">
        <f t="shared" si="87"/>
        <v>263622281.7168878</v>
      </c>
      <c r="Y139" s="309">
        <f t="shared" si="87"/>
        <v>322252670.50069857</v>
      </c>
      <c r="Z139" s="309">
        <f t="shared" si="87"/>
        <v>375613717.21288651</v>
      </c>
      <c r="AA139" s="309">
        <f t="shared" si="87"/>
        <v>400877099.18544233</v>
      </c>
      <c r="AB139" s="309">
        <f t="shared" ref="AB139" si="88">SUM(AB132:AB138)</f>
        <v>381149793.16094065</v>
      </c>
    </row>
    <row r="140" spans="1:28" x14ac:dyDescent="0.2">
      <c r="A140" s="59"/>
      <c r="C140" s="38"/>
    </row>
    <row r="141" spans="1:28" x14ac:dyDescent="0.2">
      <c r="A141" s="59"/>
      <c r="B141" s="137" t="s">
        <v>99</v>
      </c>
      <c r="C141" s="38">
        <f>C120-C139</f>
        <v>5012771.6796120014</v>
      </c>
      <c r="D141" s="38">
        <f t="shared" ref="D141:AA141" si="89">D120-D139</f>
        <v>5812494.5286420006</v>
      </c>
      <c r="E141" s="38">
        <f t="shared" si="89"/>
        <v>7058705.2133970037</v>
      </c>
      <c r="F141" s="38">
        <f t="shared" si="89"/>
        <v>9952154.6551520061</v>
      </c>
      <c r="G141" s="38">
        <f t="shared" si="89"/>
        <v>11190307.844067998</v>
      </c>
      <c r="H141" s="38">
        <f t="shared" si="89"/>
        <v>8718238.8881309964</v>
      </c>
      <c r="I141" s="38">
        <f t="shared" si="89"/>
        <v>15105748.968223996</v>
      </c>
      <c r="J141" s="38">
        <f t="shared" si="89"/>
        <v>16867312.922908004</v>
      </c>
      <c r="K141" s="251">
        <f t="shared" si="89"/>
        <v>6716457.1298902407</v>
      </c>
      <c r="L141" s="76">
        <f t="shared" si="89"/>
        <v>7928739.214106299</v>
      </c>
      <c r="M141" s="76">
        <f t="shared" si="89"/>
        <v>8950558.0790341496</v>
      </c>
      <c r="N141" s="76">
        <f t="shared" si="89"/>
        <v>10396590.54148607</v>
      </c>
      <c r="O141" s="76">
        <f t="shared" si="89"/>
        <v>17247502.839438736</v>
      </c>
      <c r="P141" s="390">
        <f t="shared" si="89"/>
        <v>28254599.333102867</v>
      </c>
      <c r="Q141" s="76">
        <f t="shared" si="89"/>
        <v>35980764.233504921</v>
      </c>
      <c r="R141" s="76">
        <f t="shared" si="89"/>
        <v>34130857.024214536</v>
      </c>
      <c r="S141" s="76">
        <f t="shared" si="89"/>
        <v>32000985.478334829</v>
      </c>
      <c r="T141" s="76">
        <f t="shared" si="89"/>
        <v>31259472.382046148</v>
      </c>
      <c r="U141" s="76">
        <f t="shared" si="89"/>
        <v>33978285.814691454</v>
      </c>
      <c r="V141" s="76">
        <f t="shared" si="89"/>
        <v>40130195.074589223</v>
      </c>
      <c r="W141" s="76">
        <f t="shared" si="89"/>
        <v>51701353.675966322</v>
      </c>
      <c r="X141" s="76">
        <f t="shared" si="89"/>
        <v>65905570.429221958</v>
      </c>
      <c r="Y141" s="76">
        <f t="shared" si="89"/>
        <v>80563167.625174582</v>
      </c>
      <c r="Z141" s="76">
        <f t="shared" si="89"/>
        <v>93903429.303221643</v>
      </c>
      <c r="AA141" s="76">
        <f t="shared" si="89"/>
        <v>100219274.79636049</v>
      </c>
      <c r="AB141" s="76">
        <f t="shared" ref="AB141" si="90">AB120-AB139</f>
        <v>153647810.07906795</v>
      </c>
    </row>
    <row r="142" spans="1:28" x14ac:dyDescent="0.2">
      <c r="A142" s="59" t="s">
        <v>91</v>
      </c>
    </row>
    <row r="143" spans="1:28" x14ac:dyDescent="0.2">
      <c r="A143" s="59"/>
    </row>
    <row r="144" spans="1:28" x14ac:dyDescent="0.2">
      <c r="A144" s="59"/>
      <c r="B144" s="135" t="s">
        <v>97</v>
      </c>
    </row>
    <row r="145" spans="1:28" x14ac:dyDescent="0.2">
      <c r="A145" s="3">
        <v>1</v>
      </c>
      <c r="B145" t="s">
        <v>41</v>
      </c>
      <c r="C145" s="38">
        <f t="shared" ref="C145:L145" si="91">C111-C132</f>
        <v>1140984.9446689663</v>
      </c>
      <c r="D145" s="38">
        <f t="shared" si="91"/>
        <v>1621657.5760060907</v>
      </c>
      <c r="E145" s="38">
        <f t="shared" si="91"/>
        <v>3281954.1231365278</v>
      </c>
      <c r="F145" s="38">
        <f t="shared" si="91"/>
        <v>4344168.7955624573</v>
      </c>
      <c r="G145" s="38">
        <f t="shared" si="91"/>
        <v>5338445.0692545539</v>
      </c>
      <c r="H145" s="38">
        <f t="shared" si="91"/>
        <v>4645044.1265129652</v>
      </c>
      <c r="I145" s="38">
        <f t="shared" si="91"/>
        <v>11533181.465828648</v>
      </c>
      <c r="J145" s="38">
        <f t="shared" si="91"/>
        <v>8798070.5083902068</v>
      </c>
      <c r="K145" s="251">
        <f t="shared" si="91"/>
        <v>28768692.061002553</v>
      </c>
      <c r="L145" s="3">
        <f t="shared" si="91"/>
        <v>68523954.069330588</v>
      </c>
      <c r="M145" s="3">
        <f t="shared" ref="M145:AA145" si="92">M111-M132</f>
        <v>122154319.28095533</v>
      </c>
      <c r="N145" s="3">
        <f t="shared" si="92"/>
        <v>191305300.82426372</v>
      </c>
      <c r="O145" s="3">
        <f t="shared" si="92"/>
        <v>198803980.65036175</v>
      </c>
      <c r="P145" s="387">
        <f t="shared" si="92"/>
        <v>186854383.43543282</v>
      </c>
      <c r="Q145" s="3">
        <f t="shared" si="92"/>
        <v>165563531.96578658</v>
      </c>
      <c r="R145" s="3">
        <f t="shared" si="92"/>
        <v>163510198.36888856</v>
      </c>
      <c r="S145" s="3">
        <f t="shared" si="92"/>
        <v>157856053.2681725</v>
      </c>
      <c r="T145" s="3">
        <f t="shared" si="92"/>
        <v>158482312.01089078</v>
      </c>
      <c r="U145" s="3">
        <f t="shared" si="92"/>
        <v>148944200.73450017</v>
      </c>
      <c r="V145" s="3">
        <f t="shared" si="92"/>
        <v>133965379.24339566</v>
      </c>
      <c r="W145" s="3">
        <f t="shared" si="92"/>
        <v>148166863.18146938</v>
      </c>
      <c r="X145" s="3">
        <f t="shared" si="92"/>
        <v>136258819.14555892</v>
      </c>
      <c r="Y145" s="3">
        <f t="shared" si="92"/>
        <v>105219488.20750684</v>
      </c>
      <c r="Z145" s="3">
        <f t="shared" si="92"/>
        <v>74462590.423902363</v>
      </c>
      <c r="AA145" s="3">
        <f t="shared" si="92"/>
        <v>14561402.72539565</v>
      </c>
      <c r="AB145" s="3">
        <f t="shared" ref="AB145" si="93">AB111-AB132</f>
        <v>0</v>
      </c>
    </row>
    <row r="146" spans="1:28" x14ac:dyDescent="0.2">
      <c r="A146" s="3">
        <v>2</v>
      </c>
      <c r="B146" t="s">
        <v>3</v>
      </c>
      <c r="C146" s="38">
        <f t="shared" ref="C146:D151" si="94">C112-C133</f>
        <v>387443.61469495052</v>
      </c>
      <c r="D146" s="38">
        <f t="shared" si="94"/>
        <v>374485.24387340422</v>
      </c>
      <c r="E146" s="38">
        <f t="shared" ref="E146:L146" si="95">E112-E133</f>
        <v>462314.60427742742</v>
      </c>
      <c r="F146" s="38">
        <f t="shared" si="95"/>
        <v>614795.16778573976</v>
      </c>
      <c r="G146" s="38">
        <f t="shared" si="95"/>
        <v>561892.63524348754</v>
      </c>
      <c r="H146" s="38">
        <f t="shared" si="95"/>
        <v>654009.19149225252</v>
      </c>
      <c r="I146" s="38">
        <f t="shared" si="95"/>
        <v>1635996.2428694558</v>
      </c>
      <c r="J146" s="38">
        <f t="shared" si="95"/>
        <v>2051383.5044463722</v>
      </c>
      <c r="K146" s="251">
        <f t="shared" si="95"/>
        <v>3909406.7313239006</v>
      </c>
      <c r="L146" s="3">
        <f t="shared" si="95"/>
        <v>6039071.5877141599</v>
      </c>
      <c r="M146" s="3">
        <f t="shared" ref="M146:AA146" si="96">M112-M133</f>
        <v>8361452.9264459144</v>
      </c>
      <c r="N146" s="3">
        <f t="shared" si="96"/>
        <v>10920037.180955958</v>
      </c>
      <c r="O146" s="3">
        <f t="shared" si="96"/>
        <v>5683319.4310369212</v>
      </c>
      <c r="P146" s="387">
        <f t="shared" si="96"/>
        <v>6922428.9240694717</v>
      </c>
      <c r="Q146" s="3">
        <f t="shared" si="96"/>
        <v>7249203.1778215207</v>
      </c>
      <c r="R146" s="3">
        <f t="shared" si="96"/>
        <v>6973375.6824801024</v>
      </c>
      <c r="S146" s="3">
        <f t="shared" si="96"/>
        <v>7620688.8866993971</v>
      </c>
      <c r="T146" s="3">
        <f t="shared" si="96"/>
        <v>7707641.9622841962</v>
      </c>
      <c r="U146" s="3">
        <f t="shared" si="96"/>
        <v>8696247.3441774063</v>
      </c>
      <c r="V146" s="3">
        <f t="shared" si="96"/>
        <v>9329790.3120397981</v>
      </c>
      <c r="W146" s="3">
        <f t="shared" si="96"/>
        <v>6231087.8463194966</v>
      </c>
      <c r="X146" s="3">
        <f t="shared" si="96"/>
        <v>5634119.2195386617</v>
      </c>
      <c r="Y146" s="3">
        <f t="shared" si="96"/>
        <v>4497861.4538987475</v>
      </c>
      <c r="Z146" s="3">
        <f t="shared" si="96"/>
        <v>3449356.594678076</v>
      </c>
      <c r="AA146" s="3">
        <f t="shared" si="96"/>
        <v>1019346.9918896649</v>
      </c>
      <c r="AB146" s="3">
        <f t="shared" ref="AB146" si="97">AB112-AB133</f>
        <v>0</v>
      </c>
    </row>
    <row r="147" spans="1:28" x14ac:dyDescent="0.2">
      <c r="A147" s="3">
        <v>3</v>
      </c>
      <c r="B147" t="s">
        <v>29</v>
      </c>
      <c r="C147" s="38">
        <f t="shared" si="94"/>
        <v>1377773.7824847391</v>
      </c>
      <c r="D147" s="38">
        <f t="shared" si="94"/>
        <v>1471712.7289286787</v>
      </c>
      <c r="E147" s="38">
        <f t="shared" ref="E147:L147" si="98">E113-E134</f>
        <v>1370106.8763679299</v>
      </c>
      <c r="F147" s="38">
        <f t="shared" si="98"/>
        <v>1917017.0089108641</v>
      </c>
      <c r="G147" s="38">
        <f t="shared" si="98"/>
        <v>2504576.7350923386</v>
      </c>
      <c r="H147" s="38">
        <f t="shared" si="98"/>
        <v>2003248.412922943</v>
      </c>
      <c r="I147" s="38">
        <f t="shared" si="98"/>
        <v>9729019.8448290378</v>
      </c>
      <c r="J147" s="38">
        <f t="shared" si="98"/>
        <v>9031143.7359221987</v>
      </c>
      <c r="K147" s="251">
        <f t="shared" si="98"/>
        <v>13530023.863293478</v>
      </c>
      <c r="L147" s="3">
        <f t="shared" si="98"/>
        <v>17834391.241612613</v>
      </c>
      <c r="M147" s="3">
        <f t="shared" ref="M147:AA147" si="99">M113-M134</f>
        <v>22898500.360620208</v>
      </c>
      <c r="N147" s="3">
        <f t="shared" si="99"/>
        <v>28812234.413254116</v>
      </c>
      <c r="O147" s="3">
        <f t="shared" si="99"/>
        <v>30493385.192057278</v>
      </c>
      <c r="P147" s="387">
        <f t="shared" si="99"/>
        <v>31132412.346032403</v>
      </c>
      <c r="Q147" s="3">
        <f t="shared" si="99"/>
        <v>30713908.656313475</v>
      </c>
      <c r="R147" s="3">
        <f t="shared" si="99"/>
        <v>33667816.695729785</v>
      </c>
      <c r="S147" s="3">
        <f t="shared" si="99"/>
        <v>36978139.65028239</v>
      </c>
      <c r="T147" s="3">
        <f t="shared" si="99"/>
        <v>40405555.542808324</v>
      </c>
      <c r="U147" s="3">
        <f t="shared" si="99"/>
        <v>41385899.263476521</v>
      </c>
      <c r="V147" s="3">
        <f t="shared" si="99"/>
        <v>40090673.13291648</v>
      </c>
      <c r="W147" s="3">
        <f t="shared" si="99"/>
        <v>38267238.721195579</v>
      </c>
      <c r="X147" s="3">
        <f t="shared" si="99"/>
        <v>35532902.897627071</v>
      </c>
      <c r="Y147" s="3">
        <f t="shared" si="99"/>
        <v>28923875.929223135</v>
      </c>
      <c r="Z147" s="3">
        <f t="shared" si="99"/>
        <v>22420379.294508204</v>
      </c>
      <c r="AA147" s="3">
        <f t="shared" si="99"/>
        <v>6670831.8468854725</v>
      </c>
      <c r="AB147" s="3">
        <f t="shared" ref="AB147" si="100">AB113-AB134</f>
        <v>0</v>
      </c>
    </row>
    <row r="148" spans="1:28" x14ac:dyDescent="0.2">
      <c r="A148" s="3">
        <v>4</v>
      </c>
      <c r="B148" t="s">
        <v>5</v>
      </c>
      <c r="C148" s="38">
        <f t="shared" si="94"/>
        <v>1485011.4790396877</v>
      </c>
      <c r="D148" s="38">
        <f t="shared" si="94"/>
        <v>1728427.1402395247</v>
      </c>
      <c r="E148" s="38">
        <f t="shared" ref="E148:L148" si="101">E114-E135</f>
        <v>1496465.9693169906</v>
      </c>
      <c r="F148" s="38">
        <f t="shared" si="101"/>
        <v>1292662.4840837573</v>
      </c>
      <c r="G148" s="38">
        <f t="shared" si="101"/>
        <v>1534831.84423682</v>
      </c>
      <c r="H148" s="38">
        <f t="shared" si="101"/>
        <v>1478754.9591370937</v>
      </c>
      <c r="I148" s="38">
        <f t="shared" si="101"/>
        <v>2651470.6770810289</v>
      </c>
      <c r="J148" s="38">
        <f t="shared" si="101"/>
        <v>2585002.2098353682</v>
      </c>
      <c r="K148" s="251">
        <f t="shared" si="101"/>
        <v>4349859.3347654864</v>
      </c>
      <c r="L148" s="3">
        <f t="shared" si="101"/>
        <v>6419051.3458858263</v>
      </c>
      <c r="M148" s="3">
        <f t="shared" ref="M148:AA148" si="102">M114-M135</f>
        <v>9182385.5427052081</v>
      </c>
      <c r="N148" s="3">
        <f t="shared" si="102"/>
        <v>11994335.514212789</v>
      </c>
      <c r="O148" s="3">
        <f t="shared" si="102"/>
        <v>12081692.995244864</v>
      </c>
      <c r="P148" s="387">
        <f t="shared" si="102"/>
        <v>13094500.829678288</v>
      </c>
      <c r="Q148" s="3">
        <f t="shared" si="102"/>
        <v>13438824.097909307</v>
      </c>
      <c r="R148" s="3">
        <f t="shared" si="102"/>
        <v>12579300.075276271</v>
      </c>
      <c r="S148" s="3">
        <f t="shared" si="102"/>
        <v>15635032.202773629</v>
      </c>
      <c r="T148" s="3">
        <f t="shared" si="102"/>
        <v>17134255.71862429</v>
      </c>
      <c r="U148" s="3">
        <f t="shared" si="102"/>
        <v>19505958.4321687</v>
      </c>
      <c r="V148" s="3">
        <f t="shared" si="102"/>
        <v>19684678.645580374</v>
      </c>
      <c r="W148" s="3">
        <f t="shared" si="102"/>
        <v>21038635.022458103</v>
      </c>
      <c r="X148" s="3">
        <f t="shared" si="102"/>
        <v>17713506.774948522</v>
      </c>
      <c r="Y148" s="3">
        <f t="shared" si="102"/>
        <v>14727358.586296063</v>
      </c>
      <c r="Z148" s="3">
        <f t="shared" si="102"/>
        <v>12004051.266772218</v>
      </c>
      <c r="AA148" s="3">
        <f t="shared" si="102"/>
        <v>3695272.9346607625</v>
      </c>
      <c r="AB148" s="3">
        <f t="shared" ref="AB148" si="103">AB114-AB135</f>
        <v>0</v>
      </c>
    </row>
    <row r="149" spans="1:28" x14ac:dyDescent="0.2">
      <c r="A149" s="3">
        <v>5</v>
      </c>
      <c r="B149" t="s">
        <v>6</v>
      </c>
      <c r="C149" s="38">
        <f t="shared" si="94"/>
        <v>172733.95512539131</v>
      </c>
      <c r="D149" s="38">
        <f t="shared" si="94"/>
        <v>199353.27547750011</v>
      </c>
      <c r="E149" s="38">
        <f t="shared" ref="E149:L149" si="104">E115-E136</f>
        <v>345044.02984877967</v>
      </c>
      <c r="F149" s="38">
        <f t="shared" si="104"/>
        <v>398233.3704615545</v>
      </c>
      <c r="G149" s="38">
        <f t="shared" si="104"/>
        <v>517544.27995554614</v>
      </c>
      <c r="H149" s="38">
        <f t="shared" si="104"/>
        <v>366229.40231849335</v>
      </c>
      <c r="I149" s="38">
        <f t="shared" si="104"/>
        <v>656758.45441008254</v>
      </c>
      <c r="J149" s="38">
        <f t="shared" si="104"/>
        <v>680153.43100182142</v>
      </c>
      <c r="K149" s="251">
        <f t="shared" si="104"/>
        <v>1681356.1485816005</v>
      </c>
      <c r="L149" s="3">
        <f t="shared" si="104"/>
        <v>2431182.8686265484</v>
      </c>
      <c r="M149" s="3">
        <f t="shared" ref="M149:AA149" si="105">M115-M136</f>
        <v>3372902.0026081693</v>
      </c>
      <c r="N149" s="3">
        <f t="shared" si="105"/>
        <v>4513148.4543775395</v>
      </c>
      <c r="O149" s="3">
        <f t="shared" si="105"/>
        <v>2595231.1503800619</v>
      </c>
      <c r="P149" s="387">
        <f t="shared" si="105"/>
        <v>3572124.4444835489</v>
      </c>
      <c r="Q149" s="3">
        <f t="shared" si="105"/>
        <v>3951480.9450023221</v>
      </c>
      <c r="R149" s="3">
        <f t="shared" si="105"/>
        <v>4231905.8677507397</v>
      </c>
      <c r="S149" s="3">
        <f t="shared" si="105"/>
        <v>4837639.247047212</v>
      </c>
      <c r="T149" s="3">
        <f t="shared" si="105"/>
        <v>5506232.743643254</v>
      </c>
      <c r="U149" s="3">
        <f t="shared" si="105"/>
        <v>5891900.1295259716</v>
      </c>
      <c r="V149" s="3">
        <f t="shared" si="105"/>
        <v>5999801.8999470863</v>
      </c>
      <c r="W149" s="3">
        <f t="shared" si="105"/>
        <v>6251971.6680049896</v>
      </c>
      <c r="X149" s="3">
        <f t="shared" si="105"/>
        <v>5312100.6774535337</v>
      </c>
      <c r="Y149" s="3">
        <f t="shared" si="105"/>
        <v>4305711.2487288946</v>
      </c>
      <c r="Z149" s="3">
        <f t="shared" si="105"/>
        <v>3555276.6393974572</v>
      </c>
      <c r="AA149" s="3">
        <f t="shared" si="105"/>
        <v>1083852.3111994676</v>
      </c>
      <c r="AB149" s="3">
        <f t="shared" ref="AB149" si="106">AB115-AB136</f>
        <v>0</v>
      </c>
    </row>
    <row r="150" spans="1:28" x14ac:dyDescent="0.2">
      <c r="A150" s="3">
        <v>6</v>
      </c>
      <c r="B150" t="s">
        <v>1</v>
      </c>
      <c r="C150" s="38">
        <f t="shared" si="94"/>
        <v>239595.91404930188</v>
      </c>
      <c r="D150" s="38">
        <f t="shared" si="94"/>
        <v>251250.04495647026</v>
      </c>
      <c r="E150" s="38">
        <f t="shared" ref="E150:L150" si="107">E116-E137</f>
        <v>212870.59978706058</v>
      </c>
      <c r="F150" s="38">
        <f t="shared" si="107"/>
        <v>414336.14123391616</v>
      </c>
      <c r="G150" s="38">
        <f t="shared" si="107"/>
        <v>801255.33565141121</v>
      </c>
      <c r="H150" s="38">
        <f t="shared" si="107"/>
        <v>827512.17311807116</v>
      </c>
      <c r="I150" s="38">
        <f t="shared" si="107"/>
        <v>2174525.9860318</v>
      </c>
      <c r="J150" s="38">
        <f t="shared" si="107"/>
        <v>1654266.0464266902</v>
      </c>
      <c r="K150" s="251">
        <f t="shared" si="107"/>
        <v>3989498.2808560785</v>
      </c>
      <c r="L150" s="3">
        <f t="shared" si="107"/>
        <v>7283817.0960664023</v>
      </c>
      <c r="M150" s="3">
        <f t="shared" ref="M150:AA150" si="108">M116-M137</f>
        <v>9943481.3611891903</v>
      </c>
      <c r="N150" s="3">
        <f t="shared" si="108"/>
        <v>15291633.895868003</v>
      </c>
      <c r="O150" s="3">
        <f t="shared" si="108"/>
        <v>15581464.286180293</v>
      </c>
      <c r="P150" s="387">
        <f t="shared" si="108"/>
        <v>17301099.739064828</v>
      </c>
      <c r="Q150" s="3">
        <f t="shared" si="108"/>
        <v>10960752.1159603</v>
      </c>
      <c r="R150" s="3">
        <f t="shared" si="108"/>
        <v>14124536.825833745</v>
      </c>
      <c r="S150" s="3">
        <f t="shared" si="108"/>
        <v>10315764.826290239</v>
      </c>
      <c r="T150" s="3">
        <f t="shared" si="108"/>
        <v>15107580.868966598</v>
      </c>
      <c r="U150" s="3">
        <f t="shared" si="108"/>
        <v>17584879.843881145</v>
      </c>
      <c r="V150" s="3">
        <f t="shared" si="108"/>
        <v>19111037.74179405</v>
      </c>
      <c r="W150" s="3">
        <f t="shared" si="108"/>
        <v>13436988.476282312</v>
      </c>
      <c r="X150" s="3">
        <f t="shared" si="108"/>
        <v>15656118.30959576</v>
      </c>
      <c r="Y150" s="3">
        <f t="shared" si="108"/>
        <v>9999630.0376262441</v>
      </c>
      <c r="Z150" s="3">
        <f t="shared" si="108"/>
        <v>8390101.3865471222</v>
      </c>
      <c r="AA150" s="3">
        <f t="shared" si="108"/>
        <v>2533405.9293215908</v>
      </c>
      <c r="AB150" s="3">
        <f t="shared" ref="AB150" si="109">AB116-AB137</f>
        <v>0</v>
      </c>
    </row>
    <row r="151" spans="1:28" x14ac:dyDescent="0.2">
      <c r="A151" s="3">
        <v>7</v>
      </c>
      <c r="B151" t="s">
        <v>2</v>
      </c>
      <c r="C151" s="38">
        <f t="shared" si="94"/>
        <v>223904.79125647969</v>
      </c>
      <c r="D151" s="38">
        <f t="shared" si="94"/>
        <v>147657.97725948313</v>
      </c>
      <c r="E151" s="38">
        <f t="shared" ref="E151:L151" si="110">E117-E138</f>
        <v>206281.07277433085</v>
      </c>
      <c r="F151" s="38">
        <f t="shared" si="110"/>
        <v>641802.22438046942</v>
      </c>
      <c r="G151" s="38">
        <f t="shared" si="110"/>
        <v>832757.59182344237</v>
      </c>
      <c r="H151" s="38">
        <f t="shared" si="110"/>
        <v>753472.99938476528</v>
      </c>
      <c r="I151" s="38">
        <f t="shared" si="110"/>
        <v>1471861.0519561113</v>
      </c>
      <c r="J151" s="38">
        <f t="shared" si="110"/>
        <v>1522106.7858693928</v>
      </c>
      <c r="K151" s="251">
        <f t="shared" si="110"/>
        <v>2986279.4638813143</v>
      </c>
      <c r="L151" s="3">
        <f t="shared" si="110"/>
        <v>5625281.5267472751</v>
      </c>
      <c r="M151" s="3">
        <f t="shared" ref="M151:AA151" si="111">M117-M138</f>
        <v>9043419.4597299248</v>
      </c>
      <c r="N151" s="3">
        <f t="shared" si="111"/>
        <v>13478473.921942541</v>
      </c>
      <c r="O151" s="3">
        <f t="shared" si="111"/>
        <v>14600221.276302291</v>
      </c>
      <c r="P151" s="387">
        <f t="shared" si="111"/>
        <v>10580692.010967351</v>
      </c>
      <c r="Q151" s="3">
        <f t="shared" si="111"/>
        <v>10638898.147981064</v>
      </c>
      <c r="R151" s="3">
        <f t="shared" si="111"/>
        <v>8091879.0596527718</v>
      </c>
      <c r="S151" s="3">
        <f t="shared" si="111"/>
        <v>9995318.521161411</v>
      </c>
      <c r="T151" s="3">
        <f t="shared" si="111"/>
        <v>11491603.554670658</v>
      </c>
      <c r="U151" s="3">
        <f t="shared" si="111"/>
        <v>7167028.9917410575</v>
      </c>
      <c r="V151" s="3">
        <f t="shared" si="111"/>
        <v>10498852.908627301</v>
      </c>
      <c r="W151" s="3">
        <f t="shared" si="111"/>
        <v>11975673.335857825</v>
      </c>
      <c r="X151" s="3">
        <f t="shared" si="111"/>
        <v>8952983.3338103835</v>
      </c>
      <c r="Y151" s="3">
        <f t="shared" si="111"/>
        <v>6250383.69576337</v>
      </c>
      <c r="Z151" s="3">
        <f t="shared" si="111"/>
        <v>5398423.7440254409</v>
      </c>
      <c r="AA151" s="3">
        <f t="shared" si="111"/>
        <v>1605961.5037570707</v>
      </c>
      <c r="AB151" s="3">
        <f t="shared" ref="AB151" si="112">AB117-AB138</f>
        <v>0</v>
      </c>
    </row>
    <row r="152" spans="1:28" s="25" customFormat="1" x14ac:dyDescent="0.2">
      <c r="A152" s="59"/>
      <c r="B152" s="78" t="s">
        <v>96</v>
      </c>
      <c r="C152" s="307">
        <f>SUM(C145:C151)</f>
        <v>5027448.4813195178</v>
      </c>
      <c r="D152" s="307">
        <f t="shared" ref="D152:AA152" si="113">SUM(D145:D151)</f>
        <v>5794543.9867411507</v>
      </c>
      <c r="E152" s="307">
        <f t="shared" si="113"/>
        <v>7375037.2755090464</v>
      </c>
      <c r="F152" s="307">
        <f t="shared" si="113"/>
        <v>9623015.1924187578</v>
      </c>
      <c r="G152" s="307">
        <f t="shared" si="113"/>
        <v>12091303.491257599</v>
      </c>
      <c r="H152" s="307">
        <f t="shared" si="113"/>
        <v>10728271.264886582</v>
      </c>
      <c r="I152" s="307">
        <f t="shared" si="113"/>
        <v>29852813.723006163</v>
      </c>
      <c r="J152" s="307">
        <f t="shared" si="113"/>
        <v>26322126.221892051</v>
      </c>
      <c r="K152" s="308">
        <f t="shared" si="113"/>
        <v>59215115.883704416</v>
      </c>
      <c r="L152" s="309">
        <f t="shared" si="113"/>
        <v>114156749.73598342</v>
      </c>
      <c r="M152" s="309">
        <f t="shared" si="113"/>
        <v>184956460.93425393</v>
      </c>
      <c r="N152" s="309">
        <f t="shared" si="113"/>
        <v>276315164.20487463</v>
      </c>
      <c r="O152" s="309">
        <f t="shared" si="113"/>
        <v>279839294.98156345</v>
      </c>
      <c r="P152" s="402">
        <f t="shared" si="113"/>
        <v>269457641.72972876</v>
      </c>
      <c r="Q152" s="309">
        <f t="shared" si="113"/>
        <v>242516599.10677457</v>
      </c>
      <c r="R152" s="309">
        <f t="shared" si="113"/>
        <v>243179012.57561195</v>
      </c>
      <c r="S152" s="309">
        <f t="shared" si="113"/>
        <v>243238636.6024268</v>
      </c>
      <c r="T152" s="309">
        <f t="shared" si="113"/>
        <v>255835182.40188813</v>
      </c>
      <c r="U152" s="309">
        <f t="shared" si="113"/>
        <v>249176114.73947096</v>
      </c>
      <c r="V152" s="309">
        <f t="shared" si="113"/>
        <v>238680213.88430074</v>
      </c>
      <c r="W152" s="309">
        <f t="shared" si="113"/>
        <v>245368458.25158769</v>
      </c>
      <c r="X152" s="309">
        <f t="shared" si="113"/>
        <v>225060550.35853288</v>
      </c>
      <c r="Y152" s="309">
        <f t="shared" si="113"/>
        <v>173924309.15904328</v>
      </c>
      <c r="Z152" s="309">
        <f t="shared" si="113"/>
        <v>129680179.34983088</v>
      </c>
      <c r="AA152" s="309">
        <f t="shared" si="113"/>
        <v>31170074.243109677</v>
      </c>
      <c r="AB152" s="309">
        <f t="shared" ref="AB152" si="114">SUM(AB145:AB151)</f>
        <v>0</v>
      </c>
    </row>
    <row r="153" spans="1:28" ht="13.5" thickBot="1" x14ac:dyDescent="0.25">
      <c r="A153" s="59"/>
      <c r="C153" s="109"/>
      <c r="K153" s="3"/>
      <c r="N153" s="229"/>
    </row>
    <row r="154" spans="1:28" ht="19.5" thickBot="1" x14ac:dyDescent="0.35">
      <c r="A154" s="59"/>
      <c r="B154" s="357" t="s">
        <v>216</v>
      </c>
      <c r="K154" s="358">
        <f t="shared" ref="K154:AA154" si="115">MAX(INDEX(INDPLAN_2030,$A164,K$163-8)-K69,0)</f>
        <v>0.44251439589395147</v>
      </c>
      <c r="L154" s="358">
        <f t="shared" si="115"/>
        <v>0.76463101624275964</v>
      </c>
      <c r="M154" s="358">
        <f t="shared" si="115"/>
        <v>1.0798684674851877</v>
      </c>
      <c r="N154" s="358">
        <f t="shared" si="115"/>
        <v>1.4060611362167101</v>
      </c>
      <c r="O154" s="358">
        <f t="shared" si="115"/>
        <v>1.7216005003668542</v>
      </c>
      <c r="P154" s="403">
        <f t="shared" si="115"/>
        <v>1.5695783356375799</v>
      </c>
      <c r="Q154" s="358">
        <f t="shared" si="115"/>
        <v>1.3901570678634982</v>
      </c>
      <c r="R154" s="358">
        <f t="shared" si="115"/>
        <v>1.2071716082784043</v>
      </c>
      <c r="S154" s="358">
        <f t="shared" si="115"/>
        <v>1.1385869625645206</v>
      </c>
      <c r="T154" s="358">
        <f t="shared" si="115"/>
        <v>1.0642620225401345</v>
      </c>
      <c r="U154" s="358">
        <f t="shared" si="115"/>
        <v>1.0323256824580866</v>
      </c>
      <c r="V154" s="358">
        <f t="shared" si="115"/>
        <v>0.96121793965821212</v>
      </c>
      <c r="W154" s="358">
        <f t="shared" si="115"/>
        <v>0.87555155934497719</v>
      </c>
      <c r="X154" s="358">
        <f t="shared" si="115"/>
        <v>0.87743967148199786</v>
      </c>
      <c r="Y154" s="358">
        <f t="shared" si="115"/>
        <v>0.79850754902663468</v>
      </c>
      <c r="Z154" s="358">
        <f t="shared" si="115"/>
        <v>0.62779761231034215</v>
      </c>
      <c r="AA154" s="358">
        <f t="shared" si="115"/>
        <v>0.49539570229268648</v>
      </c>
      <c r="AB154" s="358">
        <f t="shared" ref="AB154" si="116">MAX(INDEX(INDPLAN_2030,$A164,AB$163-8)-AB69,0)</f>
        <v>0</v>
      </c>
    </row>
    <row r="155" spans="1:28" ht="13.5" thickBot="1" x14ac:dyDescent="0.25">
      <c r="A155" s="59"/>
      <c r="B155" s="25"/>
      <c r="K155" s="358">
        <f t="shared" ref="K155:AA155" si="117">MAX(INDEX(INDPLAN_2030,$A165,K$163-8)-K70,0)</f>
        <v>1.8503488616769093E-2</v>
      </c>
      <c r="L155" s="358">
        <f t="shared" si="117"/>
        <v>4.3836536800111237E-2</v>
      </c>
      <c r="M155" s="358">
        <f t="shared" si="117"/>
        <v>5.8531537445490445E-2</v>
      </c>
      <c r="N155" s="358">
        <f t="shared" si="117"/>
        <v>6.9947412183877122E-2</v>
      </c>
      <c r="O155" s="358">
        <f t="shared" si="117"/>
        <v>1.0486449703159817E-2</v>
      </c>
      <c r="P155" s="403">
        <f t="shared" si="117"/>
        <v>2.9205374111925475E-2</v>
      </c>
      <c r="Q155" s="358">
        <f t="shared" si="117"/>
        <v>3.660781744947772E-2</v>
      </c>
      <c r="R155" s="358">
        <f t="shared" si="117"/>
        <v>3.5684108027421058E-2</v>
      </c>
      <c r="S155" s="358">
        <f t="shared" si="117"/>
        <v>2.7608176496201398E-2</v>
      </c>
      <c r="T155" s="358">
        <f t="shared" si="117"/>
        <v>2.9701565187758128E-2</v>
      </c>
      <c r="U155" s="358">
        <f t="shared" si="117"/>
        <v>2.6014946830722474E-2</v>
      </c>
      <c r="V155" s="358">
        <f t="shared" si="117"/>
        <v>3.0208831692026039E-2</v>
      </c>
      <c r="W155" s="358">
        <f t="shared" si="117"/>
        <v>3.0248158331974362E-2</v>
      </c>
      <c r="X155" s="358">
        <f t="shared" si="117"/>
        <v>9.4295938373043509E-3</v>
      </c>
      <c r="Y155" s="358">
        <f t="shared" si="117"/>
        <v>0</v>
      </c>
      <c r="Z155" s="358">
        <f t="shared" si="117"/>
        <v>0</v>
      </c>
      <c r="AA155" s="358">
        <f t="shared" si="117"/>
        <v>0</v>
      </c>
      <c r="AB155" s="358">
        <f t="shared" ref="AB155" si="118">MAX(INDEX(INDPLAN_2030,$A165,AB$163-8)-AB70,0)</f>
        <v>0</v>
      </c>
    </row>
    <row r="156" spans="1:28" ht="13.5" thickBot="1" x14ac:dyDescent="0.25">
      <c r="A156" s="59"/>
      <c r="B156" s="25"/>
      <c r="K156" s="358">
        <f t="shared" ref="K156:AA156" si="119">MAX(INDEX(INDPLAN_2030,$A166,K$163-8)-K71,0)</f>
        <v>6.0813731662754722E-2</v>
      </c>
      <c r="L156" s="358">
        <f t="shared" si="119"/>
        <v>5.4759708714132826E-2</v>
      </c>
      <c r="M156" s="358">
        <f t="shared" si="119"/>
        <v>6.4765257669301857E-2</v>
      </c>
      <c r="N156" s="358">
        <f t="shared" si="119"/>
        <v>7.6918701259361733E-2</v>
      </c>
      <c r="O156" s="358">
        <f t="shared" si="119"/>
        <v>6.9956568879293912E-2</v>
      </c>
      <c r="P156" s="403">
        <f t="shared" si="119"/>
        <v>8.333075931393441E-2</v>
      </c>
      <c r="Q156" s="358">
        <f t="shared" si="119"/>
        <v>8.2123933667660021E-2</v>
      </c>
      <c r="R156" s="358">
        <f t="shared" si="119"/>
        <v>7.1254597162354938E-2</v>
      </c>
      <c r="S156" s="358">
        <f t="shared" si="119"/>
        <v>6.1168302531638297E-2</v>
      </c>
      <c r="T156" s="358">
        <f t="shared" si="119"/>
        <v>5.6862412279710339E-2</v>
      </c>
      <c r="U156" s="358">
        <f t="shared" si="119"/>
        <v>5.3561054134259378E-2</v>
      </c>
      <c r="V156" s="358">
        <f t="shared" si="119"/>
        <v>4.5898927304413584E-2</v>
      </c>
      <c r="W156" s="358">
        <f t="shared" si="119"/>
        <v>3.3617543335871414E-2</v>
      </c>
      <c r="X156" s="358">
        <f t="shared" si="119"/>
        <v>2.2059518365361686E-2</v>
      </c>
      <c r="Y156" s="358">
        <f t="shared" si="119"/>
        <v>2.3203900671891708E-2</v>
      </c>
      <c r="Z156" s="358">
        <f t="shared" si="119"/>
        <v>1.7864594256631672E-2</v>
      </c>
      <c r="AA156" s="358">
        <f t="shared" si="119"/>
        <v>1.2617380851514426E-2</v>
      </c>
      <c r="AB156" s="358">
        <f t="shared" ref="AB156" si="120">MAX(INDEX(INDPLAN_2030,$A166,AB$163-8)-AB71,0)</f>
        <v>1.4086598690865593E-4</v>
      </c>
    </row>
    <row r="157" spans="1:28" ht="13.5" thickBot="1" x14ac:dyDescent="0.25">
      <c r="A157" s="59"/>
      <c r="B157" s="25"/>
      <c r="K157" s="358">
        <f t="shared" ref="K157:AA157" si="121">MAX(INDEX(INDPLAN_2030,$A167,K$163-8)-K72,0)</f>
        <v>1.0020880841447016E-3</v>
      </c>
      <c r="L157" s="358">
        <f t="shared" si="121"/>
        <v>1.5048172911424004E-3</v>
      </c>
      <c r="M157" s="358">
        <f t="shared" si="121"/>
        <v>2.1882085949546763E-3</v>
      </c>
      <c r="N157" s="358">
        <f t="shared" si="121"/>
        <v>2.44483270134019E-3</v>
      </c>
      <c r="O157" s="358">
        <f t="shared" si="121"/>
        <v>2.1077448760756755E-3</v>
      </c>
      <c r="P157" s="403">
        <f t="shared" si="121"/>
        <v>2.6459473308756039E-3</v>
      </c>
      <c r="Q157" s="358">
        <f t="shared" si="121"/>
        <v>2.7635646908158104E-3</v>
      </c>
      <c r="R157" s="358">
        <f t="shared" si="121"/>
        <v>1.0030304244465355E-3</v>
      </c>
      <c r="S157" s="358">
        <f t="shared" si="121"/>
        <v>1.7499703176639403E-3</v>
      </c>
      <c r="T157" s="358">
        <f t="shared" si="121"/>
        <v>1.4359571100654341E-3</v>
      </c>
      <c r="U157" s="358">
        <f t="shared" si="121"/>
        <v>2.0187540614161441E-3</v>
      </c>
      <c r="V157" s="358">
        <f t="shared" si="121"/>
        <v>1.8093941081426257E-3</v>
      </c>
      <c r="W157" s="358">
        <f t="shared" si="121"/>
        <v>2.1237940279361933E-3</v>
      </c>
      <c r="X157" s="358">
        <f t="shared" si="121"/>
        <v>9.6741344582026295E-4</v>
      </c>
      <c r="Y157" s="358">
        <f t="shared" si="121"/>
        <v>9.6165535950852588E-4</v>
      </c>
      <c r="Z157" s="358">
        <f t="shared" si="121"/>
        <v>9.5835968460533313E-4</v>
      </c>
      <c r="AA157" s="358">
        <f t="shared" si="121"/>
        <v>9.5546681688326099E-4</v>
      </c>
      <c r="AB157" s="358">
        <f t="shared" ref="AB157" si="122">MAX(INDEX(INDPLAN_2030,$A167,AB$163-8)-AB72,0)</f>
        <v>0</v>
      </c>
    </row>
    <row r="158" spans="1:28" ht="13.5" thickBot="1" x14ac:dyDescent="0.25">
      <c r="A158" s="59"/>
      <c r="B158" s="25"/>
      <c r="K158" s="358">
        <f t="shared" ref="K158:AA158" si="123">MAX(INDEX(INDPLAN_2030,$A168,K$163-8)-K73,0)</f>
        <v>1.955300292541387E-3</v>
      </c>
      <c r="L158" s="358">
        <f t="shared" si="123"/>
        <v>2.5186496669581671E-3</v>
      </c>
      <c r="M158" s="358">
        <f t="shared" si="123"/>
        <v>3.0893121862843181E-3</v>
      </c>
      <c r="N158" s="358">
        <f t="shared" si="123"/>
        <v>3.6603151662141717E-3</v>
      </c>
      <c r="O158" s="358">
        <f t="shared" si="123"/>
        <v>3.8475657634660237E-4</v>
      </c>
      <c r="P158" s="403">
        <f t="shared" si="123"/>
        <v>2.0142357760400131E-3</v>
      </c>
      <c r="Q158" s="358">
        <f t="shared" si="123"/>
        <v>2.6362661040076479E-3</v>
      </c>
      <c r="R158" s="358">
        <f t="shared" si="123"/>
        <v>2.2466506123655985E-3</v>
      </c>
      <c r="S158" s="358">
        <f t="shared" si="123"/>
        <v>2.3013820260090537E-3</v>
      </c>
      <c r="T158" s="358">
        <f t="shared" si="123"/>
        <v>2.477852900298172E-3</v>
      </c>
      <c r="U158" s="358">
        <f t="shared" si="123"/>
        <v>2.6330246504458615E-3</v>
      </c>
      <c r="V158" s="358">
        <f t="shared" si="123"/>
        <v>2.609316768289946E-3</v>
      </c>
      <c r="W158" s="358">
        <f t="shared" si="123"/>
        <v>2.4939745666196361E-3</v>
      </c>
      <c r="X158" s="358">
        <f t="shared" si="123"/>
        <v>1.6889979362131949E-3</v>
      </c>
      <c r="Y158" s="358">
        <f t="shared" si="123"/>
        <v>1.5239791159275332E-3</v>
      </c>
      <c r="Z158" s="358">
        <f t="shared" si="123"/>
        <v>1.5101298603168861E-3</v>
      </c>
      <c r="AA158" s="358">
        <f t="shared" si="123"/>
        <v>1.5062460935083705E-3</v>
      </c>
      <c r="AB158" s="358">
        <f t="shared" ref="AB158" si="124">MAX(INDEX(INDPLAN_2030,$A168,AB$163-8)-AB73,0)</f>
        <v>4.5554578293006964E-5</v>
      </c>
    </row>
    <row r="159" spans="1:28" ht="13.5" thickBot="1" x14ac:dyDescent="0.25">
      <c r="A159" s="59"/>
      <c r="B159" s="25"/>
      <c r="K159" s="358">
        <f t="shared" ref="K159:AA159" si="125">MAX(INDEX(INDPLAN_2030,$A169,K$163-8)-K74,0)</f>
        <v>9.575088925298153E-3</v>
      </c>
      <c r="L159" s="358">
        <f t="shared" si="125"/>
        <v>1.7455496020209127E-2</v>
      </c>
      <c r="M159" s="358">
        <f t="shared" si="125"/>
        <v>1.9709274797416854E-2</v>
      </c>
      <c r="N159" s="358">
        <f t="shared" si="125"/>
        <v>2.7423628860494403E-2</v>
      </c>
      <c r="O159" s="358">
        <f t="shared" si="125"/>
        <v>2.6284071322191793E-2</v>
      </c>
      <c r="P159" s="403">
        <f t="shared" si="125"/>
        <v>3.0932539923901298E-2</v>
      </c>
      <c r="Q159" s="358">
        <f t="shared" si="125"/>
        <v>1.5691028904532694E-2</v>
      </c>
      <c r="R159" s="358">
        <f t="shared" si="125"/>
        <v>2.0014978952984319E-2</v>
      </c>
      <c r="S159" s="358">
        <f t="shared" si="125"/>
        <v>9.0588644503456217E-3</v>
      </c>
      <c r="T159" s="358">
        <f t="shared" si="125"/>
        <v>1.6143451008560683E-2</v>
      </c>
      <c r="U159" s="358">
        <f t="shared" si="125"/>
        <v>1.9743252825359964E-2</v>
      </c>
      <c r="V159" s="358">
        <f t="shared" si="125"/>
        <v>2.2234951229975292E-2</v>
      </c>
      <c r="W159" s="358">
        <f t="shared" si="125"/>
        <v>1.0009699038302844E-2</v>
      </c>
      <c r="X159" s="358">
        <f t="shared" si="125"/>
        <v>1.60816575832467E-2</v>
      </c>
      <c r="Y159" s="358">
        <f t="shared" si="125"/>
        <v>9.073952097851945E-3</v>
      </c>
      <c r="Z159" s="358">
        <f t="shared" si="125"/>
        <v>8.9470006830121296E-3</v>
      </c>
      <c r="AA159" s="358">
        <f t="shared" si="125"/>
        <v>8.9977877748091961E-3</v>
      </c>
      <c r="AB159" s="358">
        <f t="shared" ref="AB159" si="126">MAX(INDEX(INDPLAN_2030,$A169,AB$163-8)-AB74,0)</f>
        <v>1.8814054056737195E-5</v>
      </c>
    </row>
    <row r="160" spans="1:28" ht="13.5" thickBot="1" x14ac:dyDescent="0.25">
      <c r="A160" s="59"/>
      <c r="B160" s="25"/>
      <c r="K160" s="358">
        <f t="shared" ref="K160:AA160" si="127">MAX(INDEX(INDPLAN_2030,$A170,K$163-8)-K75,0)</f>
        <v>9.2545849577861938E-3</v>
      </c>
      <c r="L160" s="358">
        <f t="shared" si="127"/>
        <v>1.5838832013636922E-2</v>
      </c>
      <c r="M160" s="358">
        <f t="shared" si="127"/>
        <v>2.1749756181289825E-2</v>
      </c>
      <c r="N160" s="358">
        <f t="shared" si="127"/>
        <v>2.77749281015581E-2</v>
      </c>
      <c r="O160" s="358">
        <f t="shared" si="127"/>
        <v>2.8971372820300517E-2</v>
      </c>
      <c r="P160" s="403">
        <f t="shared" si="127"/>
        <v>2.0231382096546846E-2</v>
      </c>
      <c r="Q160" s="358">
        <f t="shared" si="127"/>
        <v>2.0851254032450556E-2</v>
      </c>
      <c r="R160" s="358">
        <f t="shared" si="127"/>
        <v>1.304089974668865E-2</v>
      </c>
      <c r="S160" s="358">
        <f t="shared" si="127"/>
        <v>1.5275755390493556E-2</v>
      </c>
      <c r="T160" s="358">
        <f t="shared" si="127"/>
        <v>1.6554148761487947E-2</v>
      </c>
      <c r="U160" s="358">
        <f t="shared" si="127"/>
        <v>8.6930774248575315E-3</v>
      </c>
      <c r="V160" s="358">
        <f t="shared" si="127"/>
        <v>1.4517641451161217E-2</v>
      </c>
      <c r="W160" s="358">
        <f t="shared" si="127"/>
        <v>1.5456105351154631E-2</v>
      </c>
      <c r="X160" s="358">
        <f t="shared" si="127"/>
        <v>1.1158173252151404E-2</v>
      </c>
      <c r="Y160" s="358">
        <f t="shared" si="127"/>
        <v>8.6898886208676696E-3</v>
      </c>
      <c r="Z160" s="358">
        <f t="shared" si="127"/>
        <v>8.6139322275181618E-3</v>
      </c>
      <c r="AA160" s="358">
        <f t="shared" si="127"/>
        <v>8.6268059874042291E-3</v>
      </c>
      <c r="AB160" s="358">
        <f t="shared" ref="AB160" si="128">MAX(INDEX(INDPLAN_2030,$A170,AB$163-8)-AB75,0)</f>
        <v>0</v>
      </c>
    </row>
    <row r="161" spans="1:29" x14ac:dyDescent="0.2">
      <c r="A161" s="59"/>
      <c r="B161" s="25" t="s">
        <v>92</v>
      </c>
      <c r="K161" s="3"/>
      <c r="M161" s="229"/>
      <c r="N161" s="229"/>
    </row>
    <row r="162" spans="1:29" x14ac:dyDescent="0.2">
      <c r="A162" s="59"/>
      <c r="B162" s="25"/>
      <c r="C162" s="25">
        <v>2006</v>
      </c>
      <c r="D162" s="25">
        <v>2007</v>
      </c>
      <c r="E162" s="25">
        <v>2008</v>
      </c>
      <c r="F162" s="25">
        <v>2009</v>
      </c>
      <c r="G162" s="25">
        <v>2010</v>
      </c>
      <c r="H162" s="25">
        <v>2011</v>
      </c>
      <c r="I162" s="25">
        <v>2012</v>
      </c>
      <c r="J162" s="25">
        <v>2013</v>
      </c>
      <c r="K162" s="25">
        <v>2014</v>
      </c>
      <c r="L162" s="25">
        <v>2015</v>
      </c>
      <c r="M162" s="25">
        <v>2016</v>
      </c>
      <c r="N162" s="25">
        <v>2017</v>
      </c>
      <c r="O162" s="25">
        <v>2018</v>
      </c>
      <c r="P162" s="388">
        <v>2019</v>
      </c>
      <c r="Q162" s="25">
        <v>2020</v>
      </c>
      <c r="R162" s="25">
        <v>2021</v>
      </c>
      <c r="S162" s="25">
        <v>2022</v>
      </c>
      <c r="T162" s="25">
        <v>2023</v>
      </c>
      <c r="U162" s="25">
        <v>2024</v>
      </c>
      <c r="V162" s="25">
        <v>2025</v>
      </c>
      <c r="W162" s="25">
        <v>2026</v>
      </c>
      <c r="X162" s="25">
        <v>2027</v>
      </c>
      <c r="Y162" s="25">
        <v>2028</v>
      </c>
      <c r="Z162" s="25">
        <v>2029</v>
      </c>
      <c r="AA162" s="25">
        <v>2030</v>
      </c>
      <c r="AB162" s="25">
        <v>2031</v>
      </c>
    </row>
    <row r="163" spans="1:29" ht="13.5" thickBot="1" x14ac:dyDescent="0.25">
      <c r="B163" s="25"/>
      <c r="C163">
        <v>1</v>
      </c>
      <c r="D163">
        <v>2</v>
      </c>
      <c r="E163">
        <v>3</v>
      </c>
      <c r="F163">
        <v>4</v>
      </c>
      <c r="G163">
        <v>5</v>
      </c>
      <c r="H163">
        <v>6</v>
      </c>
      <c r="I163">
        <v>7</v>
      </c>
      <c r="J163">
        <v>8</v>
      </c>
      <c r="K163" s="3">
        <v>9</v>
      </c>
      <c r="L163" s="3">
        <v>10</v>
      </c>
      <c r="M163" s="3">
        <v>11</v>
      </c>
      <c r="N163" s="3">
        <v>12</v>
      </c>
      <c r="O163" s="3">
        <v>13</v>
      </c>
      <c r="P163" s="387">
        <v>14</v>
      </c>
      <c r="Q163" s="3">
        <v>15</v>
      </c>
      <c r="R163" s="3">
        <v>16</v>
      </c>
      <c r="S163" s="3">
        <v>17</v>
      </c>
      <c r="T163" s="3">
        <v>18</v>
      </c>
      <c r="U163" s="3">
        <v>19</v>
      </c>
      <c r="V163" s="3">
        <v>20</v>
      </c>
      <c r="W163" s="3">
        <v>21</v>
      </c>
      <c r="X163" s="3">
        <v>22</v>
      </c>
      <c r="Y163" s="3">
        <v>23</v>
      </c>
      <c r="Z163" s="3">
        <v>24</v>
      </c>
      <c r="AA163" s="3">
        <v>25</v>
      </c>
      <c r="AB163" s="3">
        <v>26</v>
      </c>
    </row>
    <row r="164" spans="1:29" ht="13.5" thickBot="1" x14ac:dyDescent="0.25">
      <c r="A164" s="3">
        <v>1</v>
      </c>
      <c r="B164" t="s">
        <v>41</v>
      </c>
      <c r="C164">
        <f t="shared" ref="C164:J170" si="129">MAX((INDEX(INDPLAN_2014,$A164,C$163)-C69)/INDEX(INDPLAN_2014,$A164,C$163),0)</f>
        <v>8.4189600666560657E-3</v>
      </c>
      <c r="D164">
        <f t="shared" si="129"/>
        <v>1.0842033845966012E-2</v>
      </c>
      <c r="E164">
        <f t="shared" si="129"/>
        <v>1.2015500674608215E-2</v>
      </c>
      <c r="F164">
        <f t="shared" si="129"/>
        <v>1.2492220229123528E-2</v>
      </c>
      <c r="G164">
        <f t="shared" si="129"/>
        <v>1.254727527758449E-2</v>
      </c>
      <c r="H164">
        <f t="shared" si="129"/>
        <v>1.274868517403414E-2</v>
      </c>
      <c r="I164">
        <f t="shared" si="129"/>
        <v>1.5493415239990097E-2</v>
      </c>
      <c r="J164">
        <f t="shared" si="129"/>
        <v>1.4027005616646432E-2</v>
      </c>
      <c r="K164" s="358">
        <f t="shared" ref="K164:AA164" si="130">K154/INDEX(INDPLAN_2030,$A164,K$163-8)</f>
        <v>2.1340049469851203E-2</v>
      </c>
      <c r="L164" s="358">
        <f t="shared" si="130"/>
        <v>3.6083988365457814E-2</v>
      </c>
      <c r="M164" s="358">
        <f t="shared" si="130"/>
        <v>4.9891604210310338E-2</v>
      </c>
      <c r="N164" s="358">
        <f t="shared" si="130"/>
        <v>6.3627652420150227E-2</v>
      </c>
      <c r="O164" s="358">
        <f t="shared" si="130"/>
        <v>7.6338301298627467E-2</v>
      </c>
      <c r="P164" s="403">
        <f t="shared" si="130"/>
        <v>6.8224057383738199E-2</v>
      </c>
      <c r="Q164" s="358">
        <f t="shared" si="130"/>
        <v>5.9255954553534947E-2</v>
      </c>
      <c r="R164" s="358">
        <f t="shared" si="130"/>
        <v>5.047930589354635E-2</v>
      </c>
      <c r="S164" s="358">
        <f t="shared" si="130"/>
        <v>4.6724358045314981E-2</v>
      </c>
      <c r="T164" s="358">
        <f t="shared" si="130"/>
        <v>4.287550379301891E-2</v>
      </c>
      <c r="U164" s="358">
        <f t="shared" si="130"/>
        <v>4.0841927726095476E-2</v>
      </c>
      <c r="V164" s="358">
        <f t="shared" si="130"/>
        <v>3.7357716248470008E-2</v>
      </c>
      <c r="W164" s="358">
        <f t="shared" si="130"/>
        <v>3.3438312185396807E-2</v>
      </c>
      <c r="X164" s="358">
        <f t="shared" si="130"/>
        <v>3.2939320066464307E-2</v>
      </c>
      <c r="Y164" s="358">
        <f t="shared" si="130"/>
        <v>2.9473878564106205E-2</v>
      </c>
      <c r="Z164" s="358">
        <f t="shared" si="130"/>
        <v>2.2790863878003297E-2</v>
      </c>
      <c r="AA164" s="358">
        <f t="shared" si="130"/>
        <v>1.7692703653310233E-2</v>
      </c>
      <c r="AB164" s="358">
        <f t="shared" ref="AB164" si="131">AB154/INDEX(INDPLAN_2030,$A164,AB$163-8)</f>
        <v>0</v>
      </c>
    </row>
    <row r="165" spans="1:29" ht="13.5" thickBot="1" x14ac:dyDescent="0.25">
      <c r="A165" s="3">
        <v>2</v>
      </c>
      <c r="B165" t="s">
        <v>3</v>
      </c>
      <c r="C165">
        <f t="shared" si="129"/>
        <v>6.7422970676472016E-2</v>
      </c>
      <c r="D165">
        <f t="shared" si="129"/>
        <v>4.2334974729542611E-2</v>
      </c>
      <c r="E165">
        <f t="shared" si="129"/>
        <v>2.0678537269201009E-2</v>
      </c>
      <c r="F165">
        <f t="shared" si="129"/>
        <v>1.5112736252804982E-2</v>
      </c>
      <c r="G165">
        <f t="shared" si="129"/>
        <v>1.5564527986534606E-2</v>
      </c>
      <c r="H165">
        <f t="shared" si="129"/>
        <v>2.4447486143413459E-2</v>
      </c>
      <c r="I165">
        <f t="shared" si="129"/>
        <v>4.261926684621449E-2</v>
      </c>
      <c r="J165">
        <f t="shared" si="129"/>
        <v>5.4669006306446166E-2</v>
      </c>
      <c r="K165" s="358">
        <f t="shared" ref="K165:AA165" si="132">K155/INDEX(INDPLAN_2030,$A165,K$163-8)</f>
        <v>2.8669276930830712E-2</v>
      </c>
      <c r="L165" s="358">
        <f t="shared" si="132"/>
        <v>6.6918498201988197E-2</v>
      </c>
      <c r="M165" s="358">
        <f t="shared" si="132"/>
        <v>8.8052399148120672E-2</v>
      </c>
      <c r="N165" s="358">
        <f t="shared" si="132"/>
        <v>0.10371844193078011</v>
      </c>
      <c r="O165" s="358">
        <f t="shared" si="132"/>
        <v>1.5329748469663507E-2</v>
      </c>
      <c r="P165" s="403">
        <f t="shared" si="132"/>
        <v>4.2099621385346127E-2</v>
      </c>
      <c r="Q165" s="358">
        <f t="shared" si="132"/>
        <v>5.2045402186169459E-2</v>
      </c>
      <c r="R165" s="358">
        <f t="shared" si="132"/>
        <v>5.0044740773086231E-2</v>
      </c>
      <c r="S165" s="358">
        <f t="shared" si="132"/>
        <v>3.8201123265132982E-2</v>
      </c>
      <c r="T165" s="358">
        <f t="shared" si="132"/>
        <v>4.0555539703370475E-2</v>
      </c>
      <c r="U165" s="358">
        <f t="shared" si="132"/>
        <v>3.5059185550143257E-2</v>
      </c>
      <c r="V165" s="358">
        <f t="shared" si="132"/>
        <v>4.0187822655928213E-2</v>
      </c>
      <c r="W165" s="358">
        <f t="shared" si="132"/>
        <v>3.9729482472654266E-2</v>
      </c>
      <c r="X165" s="358">
        <f t="shared" si="132"/>
        <v>1.2230108927057467E-2</v>
      </c>
      <c r="Y165" s="358">
        <f t="shared" si="132"/>
        <v>0</v>
      </c>
      <c r="Z165" s="358">
        <f t="shared" si="132"/>
        <v>0</v>
      </c>
      <c r="AA165" s="358">
        <f t="shared" si="132"/>
        <v>0</v>
      </c>
      <c r="AB165" s="358">
        <f t="shared" ref="AB165" si="133">AB155/INDEX(INDPLAN_2030,$A165,AB$163-8)</f>
        <v>0</v>
      </c>
    </row>
    <row r="166" spans="1:29" ht="13.5" thickBot="1" x14ac:dyDescent="0.25">
      <c r="A166" s="3">
        <v>3</v>
      </c>
      <c r="B166" t="s">
        <v>29</v>
      </c>
      <c r="C166">
        <f t="shared" si="129"/>
        <v>9.6078417458128167E-3</v>
      </c>
      <c r="D166">
        <f t="shared" si="129"/>
        <v>9.9134173172925506E-3</v>
      </c>
      <c r="E166">
        <f t="shared" si="129"/>
        <v>2.5402544029377106E-3</v>
      </c>
      <c r="F166">
        <f t="shared" si="129"/>
        <v>4.28267238666649E-3</v>
      </c>
      <c r="G166">
        <f t="shared" si="129"/>
        <v>8.1668976114272797E-3</v>
      </c>
      <c r="H166">
        <f t="shared" si="129"/>
        <v>0</v>
      </c>
      <c r="I166">
        <f t="shared" si="129"/>
        <v>2.034346469377479E-3</v>
      </c>
      <c r="J166">
        <f t="shared" si="129"/>
        <v>1.1908199363657652E-2</v>
      </c>
      <c r="K166" s="358">
        <f t="shared" ref="K166:AA166" si="134">K156/INDEX(INDPLAN_2030,$A166,K$163-8)</f>
        <v>6.0819455846834423E-2</v>
      </c>
      <c r="L166" s="358">
        <f t="shared" si="134"/>
        <v>5.4764540879504546E-2</v>
      </c>
      <c r="M166" s="358">
        <f t="shared" si="134"/>
        <v>6.4770591718031567E-2</v>
      </c>
      <c r="N166" s="358">
        <f t="shared" si="134"/>
        <v>7.6924583727529125E-2</v>
      </c>
      <c r="O166" s="358">
        <f t="shared" si="134"/>
        <v>6.9961507338635459E-2</v>
      </c>
      <c r="P166" s="403">
        <f t="shared" si="134"/>
        <v>8.3336151653159024E-2</v>
      </c>
      <c r="Q166" s="358">
        <f t="shared" si="134"/>
        <v>8.2128764771470103E-2</v>
      </c>
      <c r="R166" s="358">
        <f t="shared" si="134"/>
        <v>7.1258369664278329E-2</v>
      </c>
      <c r="S166" s="358">
        <f t="shared" si="134"/>
        <v>6.1171181175458313E-2</v>
      </c>
      <c r="T166" s="358">
        <f t="shared" si="134"/>
        <v>5.6864753769571431E-2</v>
      </c>
      <c r="U166" s="358">
        <f t="shared" si="134"/>
        <v>5.3562944591127294E-2</v>
      </c>
      <c r="V166" s="358">
        <f t="shared" si="134"/>
        <v>4.5900277312569827E-2</v>
      </c>
      <c r="W166" s="358">
        <f t="shared" si="134"/>
        <v>3.36183343555033E-2</v>
      </c>
      <c r="X166" s="358">
        <f t="shared" si="134"/>
        <v>2.2059907657849761E-2</v>
      </c>
      <c r="Y166" s="358">
        <f t="shared" si="134"/>
        <v>2.3204173662170084E-2</v>
      </c>
      <c r="Z166" s="358">
        <f t="shared" si="134"/>
        <v>1.7864699343098395E-2</v>
      </c>
      <c r="AA166" s="358">
        <f t="shared" si="134"/>
        <v>1.2617380851514426E-2</v>
      </c>
      <c r="AB166" s="358">
        <f t="shared" ref="AB166" si="135">AB156/INDEX(INDPLAN_2030,$A166,AB$163-8)</f>
        <v>1.4086598690865593E-4</v>
      </c>
    </row>
    <row r="167" spans="1:29" ht="13.5" thickBot="1" x14ac:dyDescent="0.25">
      <c r="A167" s="3">
        <v>4</v>
      </c>
      <c r="B167" t="s">
        <v>5</v>
      </c>
      <c r="C167">
        <f t="shared" si="129"/>
        <v>6.4242325051334049E-3</v>
      </c>
      <c r="D167">
        <f t="shared" si="129"/>
        <v>0</v>
      </c>
      <c r="E167">
        <f t="shared" si="129"/>
        <v>0</v>
      </c>
      <c r="F167">
        <f t="shared" si="129"/>
        <v>4.8626809555393459E-3</v>
      </c>
      <c r="G167">
        <f t="shared" si="129"/>
        <v>7.8022685027419351E-3</v>
      </c>
      <c r="H167">
        <f t="shared" si="129"/>
        <v>3.6601789090768479E-2</v>
      </c>
      <c r="I167">
        <f t="shared" si="129"/>
        <v>8.1323794428516574E-2</v>
      </c>
      <c r="J167">
        <f t="shared" si="129"/>
        <v>7.3116145463605897E-2</v>
      </c>
      <c r="K167" s="358">
        <f t="shared" ref="K167:AA167" si="136">K157/INDEX(INDPLAN_2030,$A167,K$163-8)</f>
        <v>7.5646080952308736E-2</v>
      </c>
      <c r="L167" s="358">
        <f t="shared" si="136"/>
        <v>0.10527528374247246</v>
      </c>
      <c r="M167" s="358">
        <f t="shared" si="136"/>
        <v>0.14263629645026649</v>
      </c>
      <c r="N167" s="358">
        <f t="shared" si="136"/>
        <v>0.14918218206311282</v>
      </c>
      <c r="O167" s="358">
        <f t="shared" si="136"/>
        <v>0.12088955092201917</v>
      </c>
      <c r="P167" s="403">
        <f t="shared" si="136"/>
        <v>0.14316074037200913</v>
      </c>
      <c r="Q167" s="358">
        <f t="shared" si="136"/>
        <v>0.14150783055382163</v>
      </c>
      <c r="R167" s="358">
        <f t="shared" si="136"/>
        <v>4.8746475744971707E-2</v>
      </c>
      <c r="S167" s="358">
        <f t="shared" si="136"/>
        <v>8.0928986399039685E-2</v>
      </c>
      <c r="T167" s="358">
        <f t="shared" si="136"/>
        <v>6.3340090480312347E-2</v>
      </c>
      <c r="U167" s="358">
        <f t="shared" si="136"/>
        <v>8.5116118660898937E-2</v>
      </c>
      <c r="V167" s="358">
        <f t="shared" si="136"/>
        <v>7.3063420043763996E-2</v>
      </c>
      <c r="W167" s="358">
        <f t="shared" si="136"/>
        <v>8.2280078566352069E-2</v>
      </c>
      <c r="X167" s="358">
        <f t="shared" si="136"/>
        <v>3.6018459437022497E-2</v>
      </c>
      <c r="Y167" s="358">
        <f t="shared" si="136"/>
        <v>3.4460668447818171E-2</v>
      </c>
      <c r="Z167" s="358">
        <f t="shared" si="136"/>
        <v>3.3100598614974941E-2</v>
      </c>
      <c r="AA167" s="358">
        <f t="shared" si="136"/>
        <v>3.1848893896108704E-2</v>
      </c>
      <c r="AB167" s="358">
        <f t="shared" ref="AB167" si="137">AB157/INDEX(INDPLAN_2030,$A167,AB$163-8)</f>
        <v>0</v>
      </c>
    </row>
    <row r="168" spans="1:29" ht="13.5" thickBot="1" x14ac:dyDescent="0.25">
      <c r="A168" s="3">
        <v>5</v>
      </c>
      <c r="B168" t="s">
        <v>6</v>
      </c>
      <c r="C168">
        <f t="shared" si="129"/>
        <v>5.5466110460560186E-2</v>
      </c>
      <c r="D168">
        <f t="shared" si="129"/>
        <v>5.1943551501680597E-2</v>
      </c>
      <c r="E168">
        <f t="shared" si="129"/>
        <v>3.3349716245086591E-2</v>
      </c>
      <c r="F168">
        <f t="shared" si="129"/>
        <v>2.3464517359328248E-2</v>
      </c>
      <c r="G168">
        <f t="shared" si="129"/>
        <v>3.7406573581438729E-2</v>
      </c>
      <c r="H168">
        <f t="shared" si="129"/>
        <v>2.4815610671142215E-3</v>
      </c>
      <c r="I168">
        <f t="shared" si="129"/>
        <v>0</v>
      </c>
      <c r="J168">
        <f t="shared" si="129"/>
        <v>4.0398688495110495E-3</v>
      </c>
      <c r="K168" s="358">
        <f t="shared" ref="K168:AA168" si="138">K158/INDEX(INDPLAN_2030,$A168,K$163-8)</f>
        <v>7.4130474962541437E-2</v>
      </c>
      <c r="L168" s="358">
        <f t="shared" si="138"/>
        <v>9.0426703987938423E-2</v>
      </c>
      <c r="M168" s="358">
        <f t="shared" si="138"/>
        <v>0.10533154265309548</v>
      </c>
      <c r="N168" s="358">
        <f t="shared" si="138"/>
        <v>0.11881870885171075</v>
      </c>
      <c r="O168" s="358">
        <f t="shared" si="138"/>
        <v>1.1918479952427551E-2</v>
      </c>
      <c r="P168" s="403">
        <f t="shared" si="138"/>
        <v>5.9665461217425025E-2</v>
      </c>
      <c r="Q168" s="358">
        <f t="shared" si="138"/>
        <v>7.4818904454307208E-2</v>
      </c>
      <c r="R168" s="358">
        <f t="shared" si="138"/>
        <v>6.1197020365670846E-2</v>
      </c>
      <c r="S168" s="358">
        <f t="shared" si="138"/>
        <v>6.0264162726669609E-2</v>
      </c>
      <c r="T168" s="358">
        <f t="shared" si="138"/>
        <v>6.2469967825995731E-2</v>
      </c>
      <c r="U168" s="358">
        <f t="shared" si="138"/>
        <v>6.3999741289075845E-2</v>
      </c>
      <c r="V168" s="358">
        <f t="shared" si="138"/>
        <v>6.1226204362911082E-2</v>
      </c>
      <c r="W168" s="358">
        <f t="shared" si="138"/>
        <v>5.6560255646389827E-2</v>
      </c>
      <c r="X168" s="358">
        <f t="shared" si="138"/>
        <v>3.7063334084967488E-2</v>
      </c>
      <c r="Y168" s="358">
        <f t="shared" si="138"/>
        <v>3.2392654377054339E-2</v>
      </c>
      <c r="Z168" s="358">
        <f t="shared" si="138"/>
        <v>3.1121599739831571E-2</v>
      </c>
      <c r="AA168" s="358">
        <f t="shared" si="138"/>
        <v>3.0124921870167409E-2</v>
      </c>
      <c r="AB168" s="358">
        <f t="shared" ref="AB168" si="139">AB158/INDEX(INDPLAN_2030,$A168,AB$163-8)</f>
        <v>9.1109156586013929E-4</v>
      </c>
    </row>
    <row r="169" spans="1:29" ht="13.5" thickBot="1" x14ac:dyDescent="0.25">
      <c r="A169" s="3">
        <v>6</v>
      </c>
      <c r="B169" t="s">
        <v>1</v>
      </c>
      <c r="C169">
        <f t="shared" si="129"/>
        <v>3.0983326756296756E-2</v>
      </c>
      <c r="D169">
        <f t="shared" si="129"/>
        <v>2.7004304458621859E-2</v>
      </c>
      <c r="E169">
        <f t="shared" si="129"/>
        <v>1.4632555541306092E-2</v>
      </c>
      <c r="F169">
        <f t="shared" si="129"/>
        <v>2.5363404230867841E-2</v>
      </c>
      <c r="G169">
        <f t="shared" si="129"/>
        <v>4.8990657203584545E-2</v>
      </c>
      <c r="H169">
        <f t="shared" si="129"/>
        <v>4.8771436749464998E-2</v>
      </c>
      <c r="I169">
        <f t="shared" si="129"/>
        <v>5.0341147917943939E-2</v>
      </c>
      <c r="J169">
        <f t="shared" si="129"/>
        <v>2.9350458794235104E-2</v>
      </c>
      <c r="K169" s="358">
        <f t="shared" ref="K169:AA169" si="140">K159/INDEX(INDPLAN_2030,$A169,K$163-8)</f>
        <v>6.1564490064322477E-2</v>
      </c>
      <c r="L169" s="358">
        <f t="shared" si="140"/>
        <v>0.10607450664648978</v>
      </c>
      <c r="M169" s="358">
        <f t="shared" si="140"/>
        <v>0.11354038344835193</v>
      </c>
      <c r="N169" s="358">
        <f t="shared" si="140"/>
        <v>0.15016965393087614</v>
      </c>
      <c r="O169" s="358">
        <f t="shared" si="140"/>
        <v>0.13714831567748942</v>
      </c>
      <c r="P169" s="403">
        <f t="shared" si="140"/>
        <v>0.15414133920748119</v>
      </c>
      <c r="Q169" s="358">
        <f t="shared" si="140"/>
        <v>7.4823980750927305E-2</v>
      </c>
      <c r="R169" s="358">
        <f t="shared" si="140"/>
        <v>9.150319811771776E-2</v>
      </c>
      <c r="S169" s="358">
        <f t="shared" si="140"/>
        <v>3.9772906935918277E-2</v>
      </c>
      <c r="T169" s="358">
        <f t="shared" si="140"/>
        <v>6.8175050837295151E-2</v>
      </c>
      <c r="U169" s="358">
        <f t="shared" si="140"/>
        <v>8.0314739897372436E-2</v>
      </c>
      <c r="V169" s="358">
        <f t="shared" si="140"/>
        <v>8.7246202171859202E-2</v>
      </c>
      <c r="W169" s="358">
        <f t="shared" si="140"/>
        <v>3.7932430595441005E-2</v>
      </c>
      <c r="X169" s="358">
        <f t="shared" si="140"/>
        <v>5.8926215953269509E-2</v>
      </c>
      <c r="Y169" s="358">
        <f t="shared" si="140"/>
        <v>3.2183848458894861E-2</v>
      </c>
      <c r="Z169" s="358">
        <f t="shared" si="140"/>
        <v>3.0748814638877228E-2</v>
      </c>
      <c r="AA169" s="358">
        <f t="shared" si="140"/>
        <v>2.9992625916030656E-2</v>
      </c>
      <c r="AB169" s="358">
        <f t="shared" ref="AB169" si="141">AB159/INDEX(INDPLAN_2030,$A169,AB$163-8)</f>
        <v>6.2713513522457326E-5</v>
      </c>
    </row>
    <row r="170" spans="1:29" ht="13.5" thickBot="1" x14ac:dyDescent="0.25">
      <c r="A170" s="3">
        <v>7</v>
      </c>
      <c r="B170" t="s">
        <v>2</v>
      </c>
      <c r="C170">
        <f t="shared" si="129"/>
        <v>3.0983326756296756E-2</v>
      </c>
      <c r="D170">
        <f t="shared" si="129"/>
        <v>2.2303305849198174E-3</v>
      </c>
      <c r="E170">
        <f t="shared" si="129"/>
        <v>7.7077642823683264E-3</v>
      </c>
      <c r="F170">
        <f t="shared" si="129"/>
        <v>5.5136467455827072E-2</v>
      </c>
      <c r="G170">
        <f t="shared" si="129"/>
        <v>5.5661666972984893E-2</v>
      </c>
      <c r="H170">
        <f t="shared" si="129"/>
        <v>4.9148165192669103E-2</v>
      </c>
      <c r="I170">
        <f t="shared" si="129"/>
        <v>4.8704442809532192E-2</v>
      </c>
      <c r="J170">
        <f t="shared" si="129"/>
        <v>5.9241770692879843E-2</v>
      </c>
      <c r="K170" s="358">
        <f t="shared" ref="K170:AA170" si="142">K160/INDEX(INDPLAN_2030,$A170,K$163-8)</f>
        <v>5.7587095271729609E-2</v>
      </c>
      <c r="L170" s="358">
        <f t="shared" si="142"/>
        <v>9.3493105636051274E-2</v>
      </c>
      <c r="M170" s="358">
        <f t="shared" si="142"/>
        <v>0.12210893496761131</v>
      </c>
      <c r="N170" s="358">
        <f t="shared" si="142"/>
        <v>0.14866932548063216</v>
      </c>
      <c r="O170" s="358">
        <f t="shared" si="142"/>
        <v>0.1481688742313805</v>
      </c>
      <c r="P170" s="403">
        <f t="shared" si="142"/>
        <v>9.905918653263146E-2</v>
      </c>
      <c r="Q170" s="358">
        <f t="shared" si="142"/>
        <v>9.7920253743552343E-2</v>
      </c>
      <c r="R170" s="358">
        <f t="shared" si="142"/>
        <v>5.8836331128903151E-2</v>
      </c>
      <c r="S170" s="358">
        <f t="shared" si="142"/>
        <v>6.6314566301938327E-2</v>
      </c>
      <c r="T170" s="358">
        <f t="shared" si="142"/>
        <v>6.924717739795648E-2</v>
      </c>
      <c r="U170" s="358">
        <f t="shared" si="142"/>
        <v>3.5086019995863735E-2</v>
      </c>
      <c r="V170" s="358">
        <f t="shared" si="142"/>
        <v>5.660548272241759E-2</v>
      </c>
      <c r="W170" s="358">
        <f t="shared" si="142"/>
        <v>5.8286111572677178E-2</v>
      </c>
      <c r="X170" s="358">
        <f t="shared" si="142"/>
        <v>4.074075285364559E-2</v>
      </c>
      <c r="Y170" s="358">
        <f t="shared" si="142"/>
        <v>3.0751062979756532E-2</v>
      </c>
      <c r="Z170" s="358">
        <f t="shared" si="142"/>
        <v>2.9571253608200475E-2</v>
      </c>
      <c r="AA170" s="358">
        <f t="shared" si="142"/>
        <v>2.8756019958014099E-2</v>
      </c>
      <c r="AB170" s="358">
        <f t="shared" ref="AB170" si="143">AB160/INDEX(INDPLAN_2030,$A170,AB$163-8)</f>
        <v>0</v>
      </c>
    </row>
    <row r="171" spans="1:29" s="25" customFormat="1" x14ac:dyDescent="0.2">
      <c r="A171" s="59"/>
      <c r="B171" s="78" t="s">
        <v>93</v>
      </c>
      <c r="C171" s="25">
        <f t="shared" ref="C171:AA171" si="144">SUM(C164:C170)</f>
        <v>0.209306768967228</v>
      </c>
      <c r="D171" s="25">
        <f t="shared" si="144"/>
        <v>0.14426861243802344</v>
      </c>
      <c r="E171" s="25">
        <f t="shared" si="144"/>
        <v>9.0924328415507946E-2</v>
      </c>
      <c r="F171" s="25">
        <f t="shared" si="144"/>
        <v>0.1407146988701575</v>
      </c>
      <c r="G171" s="25">
        <f t="shared" si="144"/>
        <v>0.18613986713629646</v>
      </c>
      <c r="H171" s="25">
        <f t="shared" si="144"/>
        <v>0.17419912341746438</v>
      </c>
      <c r="I171" s="25">
        <f t="shared" si="144"/>
        <v>0.24051641371157478</v>
      </c>
      <c r="J171" s="25">
        <f t="shared" si="144"/>
        <v>0.24635245508698217</v>
      </c>
      <c r="K171" s="249">
        <f>SUM(K164:K170)</f>
        <v>0.37975692349841861</v>
      </c>
      <c r="L171" s="25">
        <f t="shared" si="144"/>
        <v>0.55303662745990245</v>
      </c>
      <c r="M171" s="25">
        <f t="shared" si="144"/>
        <v>0.68633175259578783</v>
      </c>
      <c r="N171" s="25">
        <f t="shared" si="144"/>
        <v>0.81111054840479135</v>
      </c>
      <c r="O171" s="25">
        <f t="shared" si="144"/>
        <v>0.5797547778902431</v>
      </c>
      <c r="P171" s="388">
        <f t="shared" si="144"/>
        <v>0.64968655775179018</v>
      </c>
      <c r="Q171" s="25">
        <f t="shared" si="144"/>
        <v>0.58250109101378289</v>
      </c>
      <c r="R171" s="25">
        <f t="shared" si="144"/>
        <v>0.43206544168817435</v>
      </c>
      <c r="S171" s="25">
        <f t="shared" si="144"/>
        <v>0.39337728484947221</v>
      </c>
      <c r="T171" s="25">
        <f t="shared" si="144"/>
        <v>0.40352808380752053</v>
      </c>
      <c r="U171" s="25">
        <f t="shared" si="144"/>
        <v>0.39398067771057699</v>
      </c>
      <c r="V171" s="25">
        <f t="shared" si="144"/>
        <v>0.40158712551791992</v>
      </c>
      <c r="W171" s="25">
        <f t="shared" si="144"/>
        <v>0.34184500539441443</v>
      </c>
      <c r="X171" s="25">
        <f t="shared" si="144"/>
        <v>0.23997809898027661</v>
      </c>
      <c r="Y171" s="25">
        <f t="shared" si="144"/>
        <v>0.18246628648980018</v>
      </c>
      <c r="Z171" s="25">
        <f t="shared" si="144"/>
        <v>0.16519782982298592</v>
      </c>
      <c r="AA171" s="25">
        <f t="shared" si="144"/>
        <v>0.15103254614514552</v>
      </c>
      <c r="AB171" s="25">
        <f t="shared" ref="AB171" si="145">SUM(AB164:AB170)</f>
        <v>1.1146710662912525E-3</v>
      </c>
    </row>
    <row r="172" spans="1:29" x14ac:dyDescent="0.2">
      <c r="A172" s="59"/>
    </row>
    <row r="173" spans="1:29" x14ac:dyDescent="0.2">
      <c r="A173" s="59"/>
      <c r="B173" s="66" t="s">
        <v>94</v>
      </c>
      <c r="C173" s="25">
        <v>2006</v>
      </c>
      <c r="D173" s="25">
        <v>2007</v>
      </c>
      <c r="E173" s="25">
        <v>2008</v>
      </c>
      <c r="F173" s="25">
        <v>2009</v>
      </c>
      <c r="G173" s="25">
        <v>2010</v>
      </c>
      <c r="H173" s="25">
        <v>2011</v>
      </c>
      <c r="I173" s="25">
        <v>2012</v>
      </c>
      <c r="J173" s="25">
        <v>2013</v>
      </c>
      <c r="K173" s="25">
        <v>2014</v>
      </c>
      <c r="L173" s="25">
        <v>2015</v>
      </c>
      <c r="M173" s="25">
        <v>2016</v>
      </c>
      <c r="N173" s="25">
        <v>2017</v>
      </c>
      <c r="O173" s="25">
        <v>2018</v>
      </c>
      <c r="P173" s="388">
        <v>2019</v>
      </c>
      <c r="Q173" s="25">
        <v>2020</v>
      </c>
      <c r="R173" s="25">
        <v>2021</v>
      </c>
      <c r="S173" s="25">
        <v>2022</v>
      </c>
      <c r="T173" s="25">
        <v>2023</v>
      </c>
      <c r="U173" s="25">
        <v>2024</v>
      </c>
      <c r="V173" s="25">
        <v>2025</v>
      </c>
      <c r="W173" s="25">
        <v>2026</v>
      </c>
      <c r="X173" s="25">
        <v>2027</v>
      </c>
      <c r="Y173" s="25">
        <v>2028</v>
      </c>
      <c r="Z173" s="25">
        <v>2029</v>
      </c>
      <c r="AA173" s="25">
        <v>2030</v>
      </c>
      <c r="AB173" s="25">
        <v>2031</v>
      </c>
    </row>
    <row r="174" spans="1:29" ht="13.5" thickBot="1" x14ac:dyDescent="0.25">
      <c r="B174" s="139" t="s">
        <v>162</v>
      </c>
      <c r="C174" s="25">
        <v>1</v>
      </c>
      <c r="D174" s="25">
        <v>2</v>
      </c>
      <c r="E174" s="25">
        <v>3</v>
      </c>
      <c r="F174" s="25">
        <v>4</v>
      </c>
      <c r="G174" s="25">
        <v>5</v>
      </c>
      <c r="H174" s="25">
        <v>6</v>
      </c>
      <c r="I174" s="25">
        <v>7</v>
      </c>
      <c r="J174" s="25">
        <v>8</v>
      </c>
      <c r="K174" s="25">
        <v>9</v>
      </c>
      <c r="L174" s="25">
        <v>10</v>
      </c>
      <c r="M174" s="25">
        <v>11</v>
      </c>
      <c r="N174" s="25">
        <v>12</v>
      </c>
      <c r="O174" s="25">
        <v>13</v>
      </c>
      <c r="P174" s="388">
        <v>14</v>
      </c>
      <c r="Q174" s="25">
        <v>15</v>
      </c>
      <c r="R174" s="25">
        <v>16</v>
      </c>
      <c r="S174" s="25">
        <v>17</v>
      </c>
      <c r="T174" s="25">
        <v>18</v>
      </c>
      <c r="U174" s="25">
        <v>19</v>
      </c>
      <c r="V174" s="25">
        <v>20</v>
      </c>
      <c r="W174" s="25">
        <v>21</v>
      </c>
      <c r="X174" s="25">
        <v>22</v>
      </c>
      <c r="Y174" s="25">
        <v>23</v>
      </c>
      <c r="Z174" s="25">
        <v>24</v>
      </c>
      <c r="AA174" s="25">
        <v>25</v>
      </c>
      <c r="AB174" s="25">
        <v>26</v>
      </c>
    </row>
    <row r="175" spans="1:29" ht="13.5" thickBot="1" x14ac:dyDescent="0.25">
      <c r="A175" s="3">
        <v>1</v>
      </c>
      <c r="B175" t="s">
        <v>41</v>
      </c>
      <c r="C175" s="177">
        <f t="shared" ref="C175:D181" si="146">C164/C$171</f>
        <v>4.0223066402473855E-2</v>
      </c>
      <c r="D175" s="178">
        <f t="shared" si="146"/>
        <v>7.515171639031086E-2</v>
      </c>
      <c r="E175" s="178">
        <f t="shared" ref="E175:AA175" si="147">E164/E$171</f>
        <v>0.13214835769475825</v>
      </c>
      <c r="F175" s="178">
        <f t="shared" si="147"/>
        <v>8.877693893692333E-2</v>
      </c>
      <c r="G175" s="178">
        <f t="shared" si="147"/>
        <v>6.7407780346147167E-2</v>
      </c>
      <c r="H175" s="178">
        <f t="shared" si="147"/>
        <v>7.3184554112147832E-2</v>
      </c>
      <c r="I175" s="178">
        <f t="shared" si="147"/>
        <v>6.441728862035033E-2</v>
      </c>
      <c r="J175" s="179">
        <f t="shared" si="147"/>
        <v>5.6938769340430462E-2</v>
      </c>
      <c r="K175" s="255">
        <f t="shared" si="147"/>
        <v>5.6193970799165868E-2</v>
      </c>
      <c r="L175" s="178">
        <f t="shared" si="147"/>
        <v>6.5247013622210873E-2</v>
      </c>
      <c r="M175" s="178">
        <f t="shared" si="147"/>
        <v>7.2693131305107753E-2</v>
      </c>
      <c r="N175" s="178">
        <f t="shared" si="147"/>
        <v>7.8445105350049435E-2</v>
      </c>
      <c r="O175" s="178">
        <f t="shared" si="147"/>
        <v>0.13167343195760525</v>
      </c>
      <c r="P175" s="404">
        <f t="shared" si="147"/>
        <v>0.10501072643371959</v>
      </c>
      <c r="Q175" s="178">
        <f t="shared" si="147"/>
        <v>0.10172677007420894</v>
      </c>
      <c r="R175" s="178">
        <f t="shared" si="147"/>
        <v>0.11683254670013099</v>
      </c>
      <c r="S175" s="178">
        <f t="shared" si="147"/>
        <v>0.11877746846311751</v>
      </c>
      <c r="T175" s="178">
        <f t="shared" si="147"/>
        <v>0.10625159812537399</v>
      </c>
      <c r="U175" s="178">
        <f t="shared" si="147"/>
        <v>0.10366479890188537</v>
      </c>
      <c r="V175" s="178">
        <f t="shared" si="147"/>
        <v>9.3025184012785297E-2</v>
      </c>
      <c r="W175" s="178">
        <f t="shared" si="147"/>
        <v>9.7817173449166836E-2</v>
      </c>
      <c r="X175" s="178">
        <f t="shared" si="147"/>
        <v>0.13725969247373501</v>
      </c>
      <c r="Y175" s="178">
        <f t="shared" si="147"/>
        <v>0.16153054425072538</v>
      </c>
      <c r="Z175" s="178">
        <f t="shared" si="147"/>
        <v>0.13796103679100594</v>
      </c>
      <c r="AA175" s="178">
        <f t="shared" si="147"/>
        <v>0.11714497374828843</v>
      </c>
      <c r="AB175" s="178">
        <f t="shared" ref="AB175" si="148">AB164/AB$171</f>
        <v>0</v>
      </c>
      <c r="AC175" s="3">
        <v>1</v>
      </c>
    </row>
    <row r="176" spans="1:29" ht="13.5" thickBot="1" x14ac:dyDescent="0.25">
      <c r="A176" s="3">
        <v>2</v>
      </c>
      <c r="B176" t="s">
        <v>3</v>
      </c>
      <c r="C176" s="180">
        <f t="shared" si="146"/>
        <v>0.32212513245106134</v>
      </c>
      <c r="D176" s="181">
        <f t="shared" ref="D176:AA176" si="149">D165/D$171</f>
        <v>0.29344549735466091</v>
      </c>
      <c r="E176" s="181">
        <f t="shared" si="149"/>
        <v>0.22742579053984086</v>
      </c>
      <c r="F176" s="181">
        <f t="shared" si="149"/>
        <v>0.10739984077107713</v>
      </c>
      <c r="G176" s="181">
        <f t="shared" si="149"/>
        <v>8.3617379908936182E-2</v>
      </c>
      <c r="H176" s="181">
        <f t="shared" si="149"/>
        <v>0.140342188087971</v>
      </c>
      <c r="I176" s="181">
        <f t="shared" si="149"/>
        <v>0.17719899523083338</v>
      </c>
      <c r="J176" s="182">
        <f t="shared" si="149"/>
        <v>0.22191378724901939</v>
      </c>
      <c r="K176" s="255">
        <f t="shared" si="149"/>
        <v>7.549375707682153E-2</v>
      </c>
      <c r="L176" s="178">
        <f t="shared" si="149"/>
        <v>0.12100192804470275</v>
      </c>
      <c r="M176" s="178">
        <f t="shared" si="149"/>
        <v>0.12829422333309815</v>
      </c>
      <c r="N176" s="178">
        <f t="shared" si="149"/>
        <v>0.1278721404064623</v>
      </c>
      <c r="O176" s="178">
        <f t="shared" si="149"/>
        <v>2.6441780308304203E-2</v>
      </c>
      <c r="P176" s="404">
        <f t="shared" si="149"/>
        <v>6.4799896016057179E-2</v>
      </c>
      <c r="Q176" s="178">
        <f t="shared" si="149"/>
        <v>8.9348162585566701E-2</v>
      </c>
      <c r="R176" s="178">
        <f t="shared" si="149"/>
        <v>0.11582676128308356</v>
      </c>
      <c r="S176" s="178">
        <f t="shared" si="149"/>
        <v>9.7110648571767003E-2</v>
      </c>
      <c r="T176" s="178">
        <f t="shared" si="149"/>
        <v>0.10050239705922208</v>
      </c>
      <c r="U176" s="178">
        <f t="shared" si="149"/>
        <v>8.8987068487399679E-2</v>
      </c>
      <c r="V176" s="178">
        <f t="shared" si="149"/>
        <v>0.10007248764287122</v>
      </c>
      <c r="W176" s="178">
        <f t="shared" si="149"/>
        <v>0.11622074871860458</v>
      </c>
      <c r="X176" s="178">
        <f t="shared" si="149"/>
        <v>5.0963437826310305E-2</v>
      </c>
      <c r="Y176" s="178">
        <f t="shared" si="149"/>
        <v>0</v>
      </c>
      <c r="Z176" s="178">
        <f t="shared" si="149"/>
        <v>0</v>
      </c>
      <c r="AA176" s="178">
        <f t="shared" si="149"/>
        <v>0</v>
      </c>
      <c r="AB176" s="178">
        <f t="shared" ref="AB176" si="150">AB165/AB$171</f>
        <v>0</v>
      </c>
      <c r="AC176" s="3">
        <v>2</v>
      </c>
    </row>
    <row r="177" spans="1:29" ht="13.5" thickBot="1" x14ac:dyDescent="0.25">
      <c r="A177" s="3">
        <v>3</v>
      </c>
      <c r="B177" t="s">
        <v>29</v>
      </c>
      <c r="C177" s="180">
        <f t="shared" si="146"/>
        <v>4.59031582839882E-2</v>
      </c>
      <c r="D177" s="181">
        <f t="shared" ref="D177:AA177" si="151">D166/D$171</f>
        <v>6.8714997321758189E-2</v>
      </c>
      <c r="E177" s="181">
        <f t="shared" si="151"/>
        <v>2.793811565293286E-2</v>
      </c>
      <c r="F177" s="181">
        <f t="shared" si="151"/>
        <v>3.043514587355416E-2</v>
      </c>
      <c r="G177" s="181">
        <f t="shared" si="151"/>
        <v>4.3875058777426035E-2</v>
      </c>
      <c r="H177" s="181">
        <f t="shared" si="151"/>
        <v>0</v>
      </c>
      <c r="I177" s="181">
        <f t="shared" si="151"/>
        <v>8.4582438178919875E-3</v>
      </c>
      <c r="J177" s="182">
        <f t="shared" si="151"/>
        <v>4.8338058410877634E-2</v>
      </c>
      <c r="K177" s="255">
        <f t="shared" si="151"/>
        <v>0.16015364588102812</v>
      </c>
      <c r="L177" s="178">
        <f t="shared" si="151"/>
        <v>9.9025160649915928E-2</v>
      </c>
      <c r="M177" s="178">
        <f t="shared" si="151"/>
        <v>9.4372133407876771E-2</v>
      </c>
      <c r="N177" s="178">
        <f t="shared" si="151"/>
        <v>9.4838593677294011E-2</v>
      </c>
      <c r="O177" s="178">
        <f t="shared" si="151"/>
        <v>0.12067430921954436</v>
      </c>
      <c r="P177" s="404">
        <f t="shared" si="151"/>
        <v>0.12827131892883833</v>
      </c>
      <c r="Q177" s="178">
        <f t="shared" si="151"/>
        <v>0.14099332351212165</v>
      </c>
      <c r="R177" s="178">
        <f t="shared" si="151"/>
        <v>0.16492494605876432</v>
      </c>
      <c r="S177" s="178">
        <f t="shared" si="151"/>
        <v>0.15550257610544485</v>
      </c>
      <c r="T177" s="178">
        <f t="shared" si="151"/>
        <v>0.14091894976185954</v>
      </c>
      <c r="U177" s="178">
        <f t="shared" si="151"/>
        <v>0.13595322720490188</v>
      </c>
      <c r="V177" s="178">
        <f t="shared" si="151"/>
        <v>0.11429718334065875</v>
      </c>
      <c r="W177" s="178">
        <f t="shared" si="151"/>
        <v>9.8343792727686896E-2</v>
      </c>
      <c r="X177" s="178">
        <f t="shared" si="151"/>
        <v>9.1924670424457469E-2</v>
      </c>
      <c r="Y177" s="178">
        <f t="shared" si="151"/>
        <v>0.12716964930103508</v>
      </c>
      <c r="Z177" s="178">
        <f t="shared" si="151"/>
        <v>0.10814124714738031</v>
      </c>
      <c r="AA177" s="178">
        <f t="shared" si="151"/>
        <v>8.3540807419010543E-2</v>
      </c>
      <c r="AB177" s="178">
        <f t="shared" ref="AB177" si="152">AB166/AB$171</f>
        <v>0.12637448945126656</v>
      </c>
      <c r="AC177" s="3">
        <v>3</v>
      </c>
    </row>
    <row r="178" spans="1:29" ht="13.5" thickBot="1" x14ac:dyDescent="0.25">
      <c r="A178" s="3">
        <v>4</v>
      </c>
      <c r="B178" t="s">
        <v>5</v>
      </c>
      <c r="C178" s="180">
        <f t="shared" si="146"/>
        <v>3.0692903706995126E-2</v>
      </c>
      <c r="D178" s="181">
        <f t="shared" ref="D178:AA178" si="153">D167/D$171</f>
        <v>0</v>
      </c>
      <c r="E178" s="181">
        <f t="shared" si="153"/>
        <v>0</v>
      </c>
      <c r="F178" s="181">
        <f t="shared" si="153"/>
        <v>3.4557022077887654E-2</v>
      </c>
      <c r="G178" s="181">
        <f t="shared" si="153"/>
        <v>4.1916160265811894E-2</v>
      </c>
      <c r="H178" s="181">
        <f t="shared" si="153"/>
        <v>0.2101146571389633</v>
      </c>
      <c r="I178" s="181">
        <f t="shared" si="153"/>
        <v>0.33812159916054363</v>
      </c>
      <c r="J178" s="182">
        <f t="shared" si="153"/>
        <v>0.29679487236199875</v>
      </c>
      <c r="K178" s="255">
        <f t="shared" si="153"/>
        <v>0.19919605482222036</v>
      </c>
      <c r="L178" s="178">
        <f t="shared" si="153"/>
        <v>0.19035861010870456</v>
      </c>
      <c r="M178" s="178">
        <f t="shared" si="153"/>
        <v>0.20782412573919121</v>
      </c>
      <c r="N178" s="178">
        <f t="shared" si="153"/>
        <v>0.18392336575638052</v>
      </c>
      <c r="O178" s="178">
        <f t="shared" si="153"/>
        <v>0.20851842111925725</v>
      </c>
      <c r="P178" s="404">
        <f t="shared" si="153"/>
        <v>0.22035355151476452</v>
      </c>
      <c r="Q178" s="178">
        <f t="shared" si="153"/>
        <v>0.24293144293951774</v>
      </c>
      <c r="R178" s="178">
        <f t="shared" si="153"/>
        <v>0.1128219733439188</v>
      </c>
      <c r="S178" s="178">
        <f t="shared" si="153"/>
        <v>0.20572867197964306</v>
      </c>
      <c r="T178" s="178">
        <f t="shared" si="153"/>
        <v>0.15696575535130544</v>
      </c>
      <c r="U178" s="178">
        <f t="shared" si="153"/>
        <v>0.21604135298083393</v>
      </c>
      <c r="V178" s="178">
        <f t="shared" si="153"/>
        <v>0.18193665932276931</v>
      </c>
      <c r="W178" s="178">
        <f t="shared" si="153"/>
        <v>0.2406941077621387</v>
      </c>
      <c r="X178" s="178">
        <f t="shared" si="153"/>
        <v>0.150090610726868</v>
      </c>
      <c r="Y178" s="178">
        <f t="shared" si="153"/>
        <v>0.18886046902557266</v>
      </c>
      <c r="Z178" s="178">
        <f t="shared" si="153"/>
        <v>0.20036945188955058</v>
      </c>
      <c r="AA178" s="178">
        <f t="shared" si="153"/>
        <v>0.21087437581500634</v>
      </c>
      <c r="AB178" s="178">
        <f t="shared" ref="AB178" si="154">AB167/AB$171</f>
        <v>0</v>
      </c>
      <c r="AC178" s="3">
        <v>4</v>
      </c>
    </row>
    <row r="179" spans="1:29" ht="13.5" thickBot="1" x14ac:dyDescent="0.25">
      <c r="A179" s="3">
        <v>5</v>
      </c>
      <c r="B179" t="s">
        <v>6</v>
      </c>
      <c r="C179" s="180">
        <f t="shared" si="146"/>
        <v>0.26499912417665161</v>
      </c>
      <c r="D179" s="181">
        <f t="shared" ref="D179:AA179" si="155">D168/D$171</f>
        <v>0.36004748797313829</v>
      </c>
      <c r="E179" s="181">
        <f t="shared" si="155"/>
        <v>0.36678540085206174</v>
      </c>
      <c r="F179" s="181">
        <f t="shared" si="155"/>
        <v>0.16675242563664083</v>
      </c>
      <c r="G179" s="181">
        <f t="shared" si="155"/>
        <v>0.20095949436801017</v>
      </c>
      <c r="H179" s="181">
        <f t="shared" si="155"/>
        <v>1.424554279281426E-2</v>
      </c>
      <c r="I179" s="181">
        <f t="shared" si="155"/>
        <v>0</v>
      </c>
      <c r="J179" s="182">
        <f t="shared" si="155"/>
        <v>1.6398735900905279E-2</v>
      </c>
      <c r="K179" s="255">
        <f t="shared" si="155"/>
        <v>0.19520506507065732</v>
      </c>
      <c r="L179" s="178">
        <f t="shared" si="155"/>
        <v>0.16350943047528033</v>
      </c>
      <c r="M179" s="178">
        <f t="shared" si="155"/>
        <v>0.15347030390874258</v>
      </c>
      <c r="N179" s="178">
        <f t="shared" si="155"/>
        <v>0.14648892075857126</v>
      </c>
      <c r="O179" s="178">
        <f t="shared" si="155"/>
        <v>2.0557795135038821E-2</v>
      </c>
      <c r="P179" s="404">
        <f t="shared" si="155"/>
        <v>9.1837302935579512E-2</v>
      </c>
      <c r="Q179" s="178">
        <f t="shared" si="155"/>
        <v>0.12844423059207091</v>
      </c>
      <c r="R179" s="178">
        <f t="shared" si="155"/>
        <v>0.14163831322996043</v>
      </c>
      <c r="S179" s="178">
        <f t="shared" si="155"/>
        <v>0.15319685464230604</v>
      </c>
      <c r="T179" s="178">
        <f t="shared" si="155"/>
        <v>0.15480946762504236</v>
      </c>
      <c r="U179" s="178">
        <f t="shared" si="155"/>
        <v>0.16244385806171652</v>
      </c>
      <c r="V179" s="178">
        <f t="shared" si="155"/>
        <v>0.15246057573172625</v>
      </c>
      <c r="W179" s="178">
        <f t="shared" si="155"/>
        <v>0.16545584915342454</v>
      </c>
      <c r="X179" s="178">
        <f t="shared" si="155"/>
        <v>0.15444465241810945</v>
      </c>
      <c r="Y179" s="178">
        <f t="shared" si="155"/>
        <v>0.17752679138820027</v>
      </c>
      <c r="Z179" s="178">
        <f t="shared" si="155"/>
        <v>0.18838988244082402</v>
      </c>
      <c r="AA179" s="178">
        <f t="shared" si="155"/>
        <v>0.1994598027978467</v>
      </c>
      <c r="AB179" s="178">
        <f t="shared" ref="AB179" si="156">AB168/AB$171</f>
        <v>0.81736360924082707</v>
      </c>
      <c r="AC179" s="3">
        <v>5</v>
      </c>
    </row>
    <row r="180" spans="1:29" ht="13.5" thickBot="1" x14ac:dyDescent="0.25">
      <c r="A180" s="3">
        <v>6</v>
      </c>
      <c r="B180" t="s">
        <v>1</v>
      </c>
      <c r="C180" s="180">
        <f t="shared" si="146"/>
        <v>0.14802830748941492</v>
      </c>
      <c r="D180" s="181">
        <f t="shared" ref="D180:AA180" si="157">D169/D$171</f>
        <v>0.18718073184645534</v>
      </c>
      <c r="E180" s="181">
        <f t="shared" si="157"/>
        <v>0.1609311368728282</v>
      </c>
      <c r="F180" s="181">
        <f t="shared" si="157"/>
        <v>0.18024701352821401</v>
      </c>
      <c r="G180" s="181">
        <f t="shared" si="157"/>
        <v>0.26319271608651312</v>
      </c>
      <c r="H180" s="181">
        <f t="shared" si="157"/>
        <v>0.27997521338029535</v>
      </c>
      <c r="I180" s="181">
        <f t="shared" si="157"/>
        <v>0.20930441769480485</v>
      </c>
      <c r="J180" s="182">
        <f t="shared" si="157"/>
        <v>0.11914011079723982</v>
      </c>
      <c r="K180" s="255">
        <f t="shared" si="157"/>
        <v>0.16211551720288478</v>
      </c>
      <c r="L180" s="178">
        <f t="shared" si="157"/>
        <v>0.19180376376459918</v>
      </c>
      <c r="M180" s="178">
        <f t="shared" si="157"/>
        <v>0.16543076000626342</v>
      </c>
      <c r="N180" s="178">
        <f t="shared" si="157"/>
        <v>0.18514079767081607</v>
      </c>
      <c r="O180" s="178">
        <f t="shared" si="157"/>
        <v>0.23656263114653245</v>
      </c>
      <c r="P180" s="404">
        <f t="shared" si="157"/>
        <v>0.23725493065591513</v>
      </c>
      <c r="Q180" s="178">
        <f t="shared" si="157"/>
        <v>0.12845294524805767</v>
      </c>
      <c r="R180" s="178">
        <f t="shared" si="157"/>
        <v>0.21178087689724667</v>
      </c>
      <c r="S180" s="178">
        <f t="shared" si="157"/>
        <v>0.10110626227728828</v>
      </c>
      <c r="T180" s="178">
        <f t="shared" si="157"/>
        <v>0.16894747496636212</v>
      </c>
      <c r="U180" s="178">
        <f t="shared" si="157"/>
        <v>0.20385451480534947</v>
      </c>
      <c r="V180" s="178">
        <f t="shared" si="157"/>
        <v>0.21725348405863185</v>
      </c>
      <c r="W180" s="178">
        <f t="shared" si="157"/>
        <v>0.11096382862658845</v>
      </c>
      <c r="X180" s="178">
        <f t="shared" si="157"/>
        <v>0.24554830713161269</v>
      </c>
      <c r="Y180" s="178">
        <f t="shared" si="157"/>
        <v>0.17638243797269326</v>
      </c>
      <c r="Z180" s="178">
        <f t="shared" si="157"/>
        <v>0.18613328438893803</v>
      </c>
      <c r="AA180" s="178">
        <f t="shared" si="157"/>
        <v>0.19858385944978441</v>
      </c>
      <c r="AB180" s="178">
        <f t="shared" ref="AB180" si="158">AB169/AB$171</f>
        <v>5.6261901307906481E-2</v>
      </c>
      <c r="AC180" s="3">
        <v>6</v>
      </c>
    </row>
    <row r="181" spans="1:29" ht="13.5" thickBot="1" x14ac:dyDescent="0.25">
      <c r="A181" s="3">
        <v>7</v>
      </c>
      <c r="B181" t="s">
        <v>2</v>
      </c>
      <c r="C181" s="183">
        <f t="shared" si="146"/>
        <v>0.14802830748941492</v>
      </c>
      <c r="D181" s="184">
        <f t="shared" ref="D181:AA181" si="159">D170/D$171</f>
        <v>1.5459569113676396E-2</v>
      </c>
      <c r="E181" s="184">
        <f t="shared" si="159"/>
        <v>8.4771198387578073E-2</v>
      </c>
      <c r="F181" s="184">
        <f t="shared" si="159"/>
        <v>0.39183161317570292</v>
      </c>
      <c r="G181" s="184">
        <f t="shared" si="159"/>
        <v>0.29903141024715552</v>
      </c>
      <c r="H181" s="184">
        <f t="shared" si="159"/>
        <v>0.28213784448780838</v>
      </c>
      <c r="I181" s="184">
        <f t="shared" si="159"/>
        <v>0.20249945547557574</v>
      </c>
      <c r="J181" s="185">
        <f t="shared" si="159"/>
        <v>0.24047566593952857</v>
      </c>
      <c r="K181" s="255">
        <f t="shared" si="159"/>
        <v>0.15164198914722199</v>
      </c>
      <c r="L181" s="178">
        <f t="shared" si="159"/>
        <v>0.16905409333458646</v>
      </c>
      <c r="M181" s="178">
        <f t="shared" si="159"/>
        <v>0.17791532229972004</v>
      </c>
      <c r="N181" s="178">
        <f t="shared" si="159"/>
        <v>0.18329107638042641</v>
      </c>
      <c r="O181" s="178">
        <f t="shared" si="159"/>
        <v>0.25557163111371761</v>
      </c>
      <c r="P181" s="404">
        <f t="shared" si="159"/>
        <v>0.15247227351512568</v>
      </c>
      <c r="Q181" s="178">
        <f t="shared" si="159"/>
        <v>0.16810312504845659</v>
      </c>
      <c r="R181" s="178">
        <f t="shared" si="159"/>
        <v>0.13617458248689532</v>
      </c>
      <c r="S181" s="178">
        <f t="shared" si="159"/>
        <v>0.16857751796043316</v>
      </c>
      <c r="T181" s="178">
        <f t="shared" si="159"/>
        <v>0.17160435711083444</v>
      </c>
      <c r="U181" s="178">
        <f t="shared" si="159"/>
        <v>8.9055179557913131E-2</v>
      </c>
      <c r="V181" s="178">
        <f t="shared" si="159"/>
        <v>0.14095442589055734</v>
      </c>
      <c r="W181" s="178">
        <f t="shared" si="159"/>
        <v>0.17050449956239011</v>
      </c>
      <c r="X181" s="178">
        <f t="shared" si="159"/>
        <v>0.16976862899890713</v>
      </c>
      <c r="Y181" s="178">
        <f t="shared" si="159"/>
        <v>0.16853010806177343</v>
      </c>
      <c r="Z181" s="178">
        <f t="shared" si="159"/>
        <v>0.17900509734230102</v>
      </c>
      <c r="AA181" s="178">
        <f t="shared" si="159"/>
        <v>0.19039618077006359</v>
      </c>
      <c r="AB181" s="178">
        <f t="shared" ref="AB181" si="160">AB170/AB$171</f>
        <v>0</v>
      </c>
      <c r="AC181" s="3">
        <v>7</v>
      </c>
    </row>
    <row r="182" spans="1:29" s="25" customFormat="1" x14ac:dyDescent="0.2">
      <c r="A182" s="59"/>
      <c r="B182" s="78" t="s">
        <v>93</v>
      </c>
      <c r="C182" s="310">
        <f>SUM(C175:C181)</f>
        <v>1</v>
      </c>
      <c r="D182" s="310">
        <f>SUM(D175:D181)</f>
        <v>1</v>
      </c>
      <c r="E182" s="310">
        <f t="shared" ref="E182:AA182" si="161">SUM(E175:E181)</f>
        <v>1</v>
      </c>
      <c r="F182" s="310">
        <f t="shared" si="161"/>
        <v>1</v>
      </c>
      <c r="G182" s="310">
        <f t="shared" si="161"/>
        <v>1</v>
      </c>
      <c r="H182" s="310">
        <f t="shared" si="161"/>
        <v>1.0000000000000002</v>
      </c>
      <c r="I182" s="310">
        <f t="shared" si="161"/>
        <v>1</v>
      </c>
      <c r="J182" s="310">
        <f t="shared" si="161"/>
        <v>1</v>
      </c>
      <c r="K182" s="311">
        <f t="shared" si="161"/>
        <v>1</v>
      </c>
      <c r="L182" s="134">
        <f t="shared" si="161"/>
        <v>1.0000000000000002</v>
      </c>
      <c r="M182" s="310">
        <f t="shared" si="161"/>
        <v>1</v>
      </c>
      <c r="N182" s="310">
        <f t="shared" si="161"/>
        <v>1</v>
      </c>
      <c r="O182" s="310">
        <f t="shared" si="161"/>
        <v>1</v>
      </c>
      <c r="P182" s="405">
        <f t="shared" si="161"/>
        <v>0.99999999999999989</v>
      </c>
      <c r="Q182" s="310">
        <f t="shared" si="161"/>
        <v>1.0000000000000002</v>
      </c>
      <c r="R182" s="310">
        <f t="shared" si="161"/>
        <v>1</v>
      </c>
      <c r="S182" s="310">
        <f t="shared" si="161"/>
        <v>0.99999999999999989</v>
      </c>
      <c r="T182" s="310">
        <f t="shared" si="161"/>
        <v>0.99999999999999989</v>
      </c>
      <c r="U182" s="310">
        <f t="shared" si="161"/>
        <v>1</v>
      </c>
      <c r="V182" s="310">
        <f t="shared" si="161"/>
        <v>1</v>
      </c>
      <c r="W182" s="310">
        <f t="shared" si="161"/>
        <v>1</v>
      </c>
      <c r="X182" s="310">
        <f t="shared" si="161"/>
        <v>1</v>
      </c>
      <c r="Y182" s="310">
        <f t="shared" si="161"/>
        <v>1</v>
      </c>
      <c r="Z182" s="310">
        <f t="shared" si="161"/>
        <v>1</v>
      </c>
      <c r="AA182" s="310">
        <f t="shared" si="161"/>
        <v>1</v>
      </c>
      <c r="AB182" s="310">
        <f t="shared" ref="AB182" si="162">SUM(AB175:AB181)</f>
        <v>1</v>
      </c>
    </row>
    <row r="183" spans="1:29" x14ac:dyDescent="0.2">
      <c r="A183" s="59"/>
    </row>
    <row r="184" spans="1:29" s="333" customFormat="1" x14ac:dyDescent="0.2">
      <c r="A184" s="385"/>
      <c r="B184" s="386" t="s">
        <v>95</v>
      </c>
      <c r="P184" s="387"/>
    </row>
    <row r="185" spans="1:29" x14ac:dyDescent="0.2">
      <c r="A185" s="59"/>
      <c r="C185" s="147" t="s">
        <v>133</v>
      </c>
    </row>
    <row r="186" spans="1:29" s="149" customFormat="1" x14ac:dyDescent="0.2">
      <c r="A186" s="148"/>
      <c r="B186" s="136" t="s">
        <v>105</v>
      </c>
      <c r="C186" s="148">
        <f t="shared" ref="C186:AB186" si="163">INDEX(Doli_Prior,1,C189)</f>
        <v>0.7</v>
      </c>
      <c r="D186" s="148">
        <f t="shared" si="163"/>
        <v>0.7</v>
      </c>
      <c r="E186" s="148">
        <f t="shared" si="163"/>
        <v>0.7</v>
      </c>
      <c r="F186" s="148">
        <f t="shared" si="163"/>
        <v>0.7</v>
      </c>
      <c r="G186" s="148">
        <f t="shared" si="163"/>
        <v>0.7</v>
      </c>
      <c r="H186" s="148">
        <f t="shared" si="163"/>
        <v>0.7</v>
      </c>
      <c r="I186" s="148">
        <f t="shared" si="163"/>
        <v>0.7</v>
      </c>
      <c r="J186" s="148">
        <f t="shared" si="163"/>
        <v>0.7</v>
      </c>
      <c r="K186" s="261">
        <f t="shared" si="163"/>
        <v>0.7</v>
      </c>
      <c r="L186" s="241">
        <f t="shared" si="163"/>
        <v>0.7</v>
      </c>
      <c r="M186" s="149">
        <f t="shared" si="163"/>
        <v>0.7</v>
      </c>
      <c r="N186" s="149">
        <f t="shared" si="163"/>
        <v>0.7</v>
      </c>
      <c r="O186" s="149">
        <f t="shared" si="163"/>
        <v>0.7</v>
      </c>
      <c r="P186" s="406">
        <f t="shared" si="163"/>
        <v>0.7</v>
      </c>
      <c r="Q186" s="149">
        <f t="shared" si="163"/>
        <v>0.7</v>
      </c>
      <c r="R186" s="149">
        <f t="shared" si="163"/>
        <v>0.7</v>
      </c>
      <c r="S186" s="149">
        <f t="shared" si="163"/>
        <v>0.7</v>
      </c>
      <c r="T186" s="149">
        <f t="shared" si="163"/>
        <v>0.7</v>
      </c>
      <c r="U186" s="149">
        <f t="shared" si="163"/>
        <v>0.7</v>
      </c>
      <c r="V186" s="149">
        <f t="shared" si="163"/>
        <v>0.7</v>
      </c>
      <c r="W186" s="149">
        <f t="shared" si="163"/>
        <v>0.7</v>
      </c>
      <c r="X186" s="149">
        <f t="shared" si="163"/>
        <v>0.7</v>
      </c>
      <c r="Y186" s="149">
        <f t="shared" si="163"/>
        <v>0.7</v>
      </c>
      <c r="Z186" s="149">
        <f t="shared" si="163"/>
        <v>0.7</v>
      </c>
      <c r="AA186" s="149">
        <f t="shared" si="163"/>
        <v>0.7</v>
      </c>
      <c r="AB186" s="149">
        <f t="shared" si="163"/>
        <v>0.7</v>
      </c>
    </row>
    <row r="187" spans="1:29" x14ac:dyDescent="0.2">
      <c r="A187" s="59"/>
    </row>
    <row r="188" spans="1:29" x14ac:dyDescent="0.2">
      <c r="A188" s="59" t="s">
        <v>98</v>
      </c>
      <c r="B188" s="137" t="s">
        <v>100</v>
      </c>
    </row>
    <row r="189" spans="1:29" x14ac:dyDescent="0.2">
      <c r="B189" s="25"/>
      <c r="C189">
        <v>1</v>
      </c>
      <c r="D189">
        <v>2</v>
      </c>
      <c r="E189">
        <v>3</v>
      </c>
      <c r="F189">
        <v>4</v>
      </c>
      <c r="G189">
        <v>5</v>
      </c>
      <c r="H189">
        <v>6</v>
      </c>
      <c r="I189">
        <v>7</v>
      </c>
      <c r="J189">
        <v>8</v>
      </c>
      <c r="K189" s="248">
        <v>9</v>
      </c>
      <c r="L189" s="3">
        <v>10</v>
      </c>
      <c r="M189" s="3">
        <v>11</v>
      </c>
      <c r="N189" s="3">
        <v>12</v>
      </c>
      <c r="O189" s="3">
        <v>13</v>
      </c>
      <c r="P189" s="387">
        <v>14</v>
      </c>
      <c r="Q189" s="3">
        <v>15</v>
      </c>
      <c r="R189" s="3">
        <v>16</v>
      </c>
      <c r="S189" s="3">
        <v>17</v>
      </c>
      <c r="T189" s="3">
        <v>18</v>
      </c>
      <c r="U189" s="3">
        <v>19</v>
      </c>
      <c r="V189" s="3">
        <v>20</v>
      </c>
      <c r="W189" s="3">
        <v>21</v>
      </c>
      <c r="X189" s="3">
        <v>22</v>
      </c>
      <c r="Y189" s="3">
        <v>23</v>
      </c>
      <c r="Z189" s="3">
        <v>24</v>
      </c>
      <c r="AA189" s="3">
        <v>25</v>
      </c>
      <c r="AB189" s="3">
        <v>26</v>
      </c>
    </row>
    <row r="190" spans="1:29" x14ac:dyDescent="0.2">
      <c r="A190" s="3">
        <v>1</v>
      </c>
      <c r="B190" t="s">
        <v>41</v>
      </c>
      <c r="C190" s="21">
        <f t="shared" ref="C190:AA190" si="164">MIN(C$141*INDEX(Doli_Prior,1,C$189)*C175,C145)</f>
        <v>141140.33369063173</v>
      </c>
      <c r="D190" s="150">
        <f t="shared" si="164"/>
        <v>305773.25823571603</v>
      </c>
      <c r="E190" s="150">
        <f t="shared" si="164"/>
        <v>652957.41098128934</v>
      </c>
      <c r="F190" s="150">
        <f t="shared" si="164"/>
        <v>618465.27827787283</v>
      </c>
      <c r="G190" s="150">
        <f t="shared" si="164"/>
        <v>528019.66921109229</v>
      </c>
      <c r="H190" s="150">
        <f t="shared" si="164"/>
        <v>446628.29796973808</v>
      </c>
      <c r="I190" s="150">
        <f t="shared" si="164"/>
        <v>681149.9737788511</v>
      </c>
      <c r="J190" s="21">
        <f t="shared" si="164"/>
        <v>672282.82793722453</v>
      </c>
      <c r="K190" s="304">
        <f t="shared" si="164"/>
        <v>264197.07708163111</v>
      </c>
      <c r="L190" s="77">
        <f t="shared" si="164"/>
        <v>362128.58885682578</v>
      </c>
      <c r="M190" s="77">
        <f t="shared" si="164"/>
        <v>455450.86558525567</v>
      </c>
      <c r="N190" s="77">
        <f t="shared" si="164"/>
        <v>570893.1482157415</v>
      </c>
      <c r="O190" s="77">
        <f t="shared" si="164"/>
        <v>1589726.5240972077</v>
      </c>
      <c r="P190" s="396">
        <f t="shared" si="164"/>
        <v>2076925.2007439744</v>
      </c>
      <c r="Q190" s="77">
        <f t="shared" si="164"/>
        <v>2562144.8511932525</v>
      </c>
      <c r="R190" s="77">
        <f t="shared" si="164"/>
        <v>2791316.4630379267</v>
      </c>
      <c r="S190" s="77">
        <f t="shared" si="164"/>
        <v>2660697.2304091174</v>
      </c>
      <c r="T190" s="77">
        <f t="shared" si="164"/>
        <v>2324958.2280038758</v>
      </c>
      <c r="U190" s="77">
        <f t="shared" si="164"/>
        <v>2465646.5162075418</v>
      </c>
      <c r="V190" s="77">
        <f t="shared" si="164"/>
        <v>2613183.1468978426</v>
      </c>
      <c r="W190" s="77">
        <f t="shared" si="164"/>
        <v>3540096.1960551017</v>
      </c>
      <c r="X190" s="77">
        <f t="shared" si="164"/>
        <v>6332324.8305947632</v>
      </c>
      <c r="Y190" s="77">
        <f t="shared" si="164"/>
        <v>9109388.6191398073</v>
      </c>
      <c r="Z190" s="77">
        <f t="shared" si="164"/>
        <v>9068510.1254323702</v>
      </c>
      <c r="AA190" s="77">
        <f t="shared" si="164"/>
        <v>8218129.0205645086</v>
      </c>
      <c r="AB190" s="77">
        <f t="shared" ref="AB190" si="165">MIN(AB$141*INDEX(Doli_Prior,1,AB$189)*AB175,AB145)</f>
        <v>0</v>
      </c>
    </row>
    <row r="191" spans="1:29" x14ac:dyDescent="0.2">
      <c r="A191" s="3">
        <v>2</v>
      </c>
      <c r="B191" t="s">
        <v>3</v>
      </c>
      <c r="C191" s="21">
        <f t="shared" ref="C191:AA191" si="166">MIN(C$141*INDEX(Doli_Prior,1,C$189)*C176,C146)</f>
        <v>387443.61469495052</v>
      </c>
      <c r="D191" s="150">
        <f t="shared" si="166"/>
        <v>374485.24387340422</v>
      </c>
      <c r="E191" s="150">
        <f t="shared" si="166"/>
        <v>462314.60427742742</v>
      </c>
      <c r="F191" s="150">
        <f t="shared" si="166"/>
        <v>614795.16778573976</v>
      </c>
      <c r="G191" s="150">
        <f t="shared" si="166"/>
        <v>561892.63524348754</v>
      </c>
      <c r="H191" s="150">
        <f t="shared" si="166"/>
        <v>654009.19149225252</v>
      </c>
      <c r="I191" s="150">
        <f t="shared" si="166"/>
        <v>1635996.2428694558</v>
      </c>
      <c r="J191" s="21">
        <f t="shared" si="166"/>
        <v>2051383.5044463722</v>
      </c>
      <c r="K191" s="304">
        <f t="shared" si="166"/>
        <v>354935.40808657382</v>
      </c>
      <c r="L191" s="77">
        <f t="shared" si="166"/>
        <v>671574.91230935231</v>
      </c>
      <c r="M191" s="77">
        <f t="shared" si="166"/>
        <v>803813.42800323106</v>
      </c>
      <c r="N191" s="77">
        <f t="shared" si="166"/>
        <v>930603.99982858321</v>
      </c>
      <c r="O191" s="77">
        <f t="shared" si="166"/>
        <v>319238.27666310436</v>
      </c>
      <c r="P191" s="396">
        <f t="shared" si="166"/>
        <v>1281626.5691322968</v>
      </c>
      <c r="Q191" s="77">
        <f t="shared" si="166"/>
        <v>2250370.6208816986</v>
      </c>
      <c r="R191" s="77">
        <f t="shared" si="166"/>
        <v>2767286.6402515266</v>
      </c>
      <c r="S191" s="77">
        <f t="shared" si="166"/>
        <v>2175345.5183157548</v>
      </c>
      <c r="T191" s="77">
        <f t="shared" si="166"/>
        <v>2199156.3336415319</v>
      </c>
      <c r="U191" s="77">
        <f t="shared" si="166"/>
        <v>2116539.6328134723</v>
      </c>
      <c r="V191" s="77">
        <f t="shared" si="166"/>
        <v>2811149.9154954888</v>
      </c>
      <c r="W191" s="77">
        <f t="shared" si="166"/>
        <v>4206139.0237903288</v>
      </c>
      <c r="X191" s="77">
        <f t="shared" si="166"/>
        <v>2351142.1086840178</v>
      </c>
      <c r="Y191" s="77">
        <f t="shared" si="166"/>
        <v>0</v>
      </c>
      <c r="Z191" s="77">
        <f t="shared" si="166"/>
        <v>0</v>
      </c>
      <c r="AA191" s="77">
        <f t="shared" si="166"/>
        <v>0</v>
      </c>
      <c r="AB191" s="77">
        <f t="shared" ref="AB191" si="167">MIN(AB$141*INDEX(Doli_Prior,1,AB$189)*AB176,AB146)</f>
        <v>0</v>
      </c>
    </row>
    <row r="192" spans="1:29" x14ac:dyDescent="0.2">
      <c r="A192" s="3">
        <v>3</v>
      </c>
      <c r="B192" t="s">
        <v>29</v>
      </c>
      <c r="C192" s="21">
        <f t="shared" ref="C192:AA192" si="168">MIN(C$141*INDEX(Doli_Prior,1,C$189)*C177,C147)</f>
        <v>161071.43629550614</v>
      </c>
      <c r="D192" s="150">
        <f t="shared" si="168"/>
        <v>279583.88217785844</v>
      </c>
      <c r="E192" s="150">
        <f t="shared" si="168"/>
        <v>138044.8458282919</v>
      </c>
      <c r="F192" s="150">
        <f t="shared" si="168"/>
        <v>212026.69508000568</v>
      </c>
      <c r="G192" s="150">
        <f t="shared" si="168"/>
        <v>343682.79007718246</v>
      </c>
      <c r="H192" s="150">
        <f t="shared" si="168"/>
        <v>0</v>
      </c>
      <c r="I192" s="150">
        <f t="shared" si="168"/>
        <v>89437.675477576224</v>
      </c>
      <c r="J192" s="21">
        <f t="shared" si="168"/>
        <v>570733.21011145471</v>
      </c>
      <c r="K192" s="304">
        <f t="shared" si="168"/>
        <v>752965.56772888359</v>
      </c>
      <c r="L192" s="77">
        <f t="shared" si="168"/>
        <v>549601.27209971496</v>
      </c>
      <c r="M192" s="77">
        <f t="shared" si="168"/>
        <v>591278.28277669195</v>
      </c>
      <c r="N192" s="77">
        <f t="shared" si="168"/>
        <v>690198.61819523678</v>
      </c>
      <c r="O192" s="77">
        <f t="shared" si="168"/>
        <v>1456931.3436379794</v>
      </c>
      <c r="P192" s="396">
        <f t="shared" si="168"/>
        <v>2536978.3055840861</v>
      </c>
      <c r="Q192" s="77">
        <f t="shared" si="168"/>
        <v>3551133.2722515543</v>
      </c>
      <c r="R192" s="77">
        <f t="shared" si="168"/>
        <v>3940320.8275605855</v>
      </c>
      <c r="S192" s="77">
        <f t="shared" si="168"/>
        <v>3483364.9758557975</v>
      </c>
      <c r="T192" s="77">
        <f t="shared" si="168"/>
        <v>3083536.4127314575</v>
      </c>
      <c r="U192" s="77">
        <f t="shared" si="168"/>
        <v>3233620.327978489</v>
      </c>
      <c r="V192" s="77">
        <f t="shared" si="168"/>
        <v>3210737.7847557073</v>
      </c>
      <c r="W192" s="77">
        <f t="shared" si="168"/>
        <v>3559155.0467550452</v>
      </c>
      <c r="X192" s="77">
        <f t="shared" si="168"/>
        <v>4240843.4885894684</v>
      </c>
      <c r="Y192" s="77">
        <f t="shared" si="168"/>
        <v>7171632.8414317677</v>
      </c>
      <c r="Z192" s="77">
        <f t="shared" si="168"/>
        <v>7108383.7693863725</v>
      </c>
      <c r="AA192" s="77">
        <f t="shared" si="168"/>
        <v>5860679.3948049545</v>
      </c>
      <c r="AB192" s="77">
        <f t="shared" ref="AB192" si="169">MIN(AB$141*INDEX(Doli_Prior,1,AB$189)*AB177,AB147)</f>
        <v>0</v>
      </c>
    </row>
    <row r="193" spans="1:28" x14ac:dyDescent="0.2">
      <c r="A193" s="3">
        <v>4</v>
      </c>
      <c r="B193" t="s">
        <v>5</v>
      </c>
      <c r="C193" s="21">
        <f t="shared" ref="C193:AA193" si="170">MIN(C$141*INDEX(Doli_Prior,1,C$189)*C178,C148)</f>
        <v>107699.56292723837</v>
      </c>
      <c r="D193" s="150">
        <f t="shared" si="170"/>
        <v>0</v>
      </c>
      <c r="E193" s="150">
        <f t="shared" si="170"/>
        <v>0</v>
      </c>
      <c r="F193" s="150">
        <f t="shared" si="170"/>
        <v>240741.77969844817</v>
      </c>
      <c r="G193" s="150">
        <f t="shared" si="170"/>
        <v>328338.31591100828</v>
      </c>
      <c r="H193" s="150">
        <f t="shared" si="170"/>
        <v>1282280.8423846546</v>
      </c>
      <c r="I193" s="150">
        <f t="shared" si="170"/>
        <v>2651470.6770810289</v>
      </c>
      <c r="J193" s="21">
        <f t="shared" si="170"/>
        <v>2585002.2098353682</v>
      </c>
      <c r="K193" s="304">
        <f t="shared" si="170"/>
        <v>936524.23385969631</v>
      </c>
      <c r="L193" s="77">
        <f t="shared" si="170"/>
        <v>1056512.6436981601</v>
      </c>
      <c r="M193" s="77">
        <f t="shared" si="170"/>
        <v>1302099.3353571887</v>
      </c>
      <c r="N193" s="77">
        <f t="shared" si="170"/>
        <v>1338523.147346748</v>
      </c>
      <c r="O193" s="77">
        <f t="shared" si="170"/>
        <v>2517495.4422307699</v>
      </c>
      <c r="P193" s="396">
        <f t="shared" si="170"/>
        <v>4358200.9167731386</v>
      </c>
      <c r="Q193" s="77">
        <f t="shared" si="170"/>
        <v>6118601.2813183581</v>
      </c>
      <c r="R193" s="77">
        <f t="shared" si="170"/>
        <v>2695497.4489737251</v>
      </c>
      <c r="S193" s="77">
        <f t="shared" si="170"/>
        <v>4608464.1711483663</v>
      </c>
      <c r="T193" s="77">
        <f t="shared" si="170"/>
        <v>3434666.6860318007</v>
      </c>
      <c r="U193" s="77">
        <f t="shared" si="170"/>
        <v>5138500.3875627927</v>
      </c>
      <c r="V193" s="77">
        <f t="shared" si="170"/>
        <v>5110807.5408892697</v>
      </c>
      <c r="W193" s="77">
        <f t="shared" si="170"/>
        <v>8710947.8351920377</v>
      </c>
      <c r="X193" s="77">
        <f t="shared" si="170"/>
        <v>6924265.1212171745</v>
      </c>
      <c r="Y193" s="77">
        <f t="shared" si="170"/>
        <v>10650638.336713411</v>
      </c>
      <c r="Z193" s="77">
        <f t="shared" si="170"/>
        <v>12004051.266772218</v>
      </c>
      <c r="AA193" s="77">
        <f t="shared" si="170"/>
        <v>3695272.9346607625</v>
      </c>
      <c r="AB193" s="77">
        <f t="shared" ref="AB193" si="171">MIN(AB$141*INDEX(Doli_Prior,1,AB$189)*AB178,AB148)</f>
        <v>0</v>
      </c>
    </row>
    <row r="194" spans="1:28" x14ac:dyDescent="0.2">
      <c r="A194" s="3">
        <v>5</v>
      </c>
      <c r="B194" t="s">
        <v>6</v>
      </c>
      <c r="C194" s="21">
        <f t="shared" ref="C194:AA194" si="172">MIN(C$141*INDEX(Doli_Prior,1,C$189)*C179,C149)</f>
        <v>172733.95512539131</v>
      </c>
      <c r="D194" s="150">
        <f t="shared" si="172"/>
        <v>199353.27547750011</v>
      </c>
      <c r="E194" s="150">
        <f t="shared" si="172"/>
        <v>345044.02984877967</v>
      </c>
      <c r="F194" s="150">
        <f t="shared" si="172"/>
        <v>398233.3704615545</v>
      </c>
      <c r="G194" s="150">
        <f t="shared" si="172"/>
        <v>517544.27995554614</v>
      </c>
      <c r="H194" s="150">
        <f t="shared" si="172"/>
        <v>86937.23161119326</v>
      </c>
      <c r="I194" s="150">
        <f t="shared" si="172"/>
        <v>0</v>
      </c>
      <c r="J194" s="21">
        <f t="shared" si="172"/>
        <v>193621.82698648653</v>
      </c>
      <c r="K194" s="304">
        <f t="shared" si="172"/>
        <v>917760.51575915329</v>
      </c>
      <c r="L194" s="77">
        <f t="shared" si="172"/>
        <v>907496.54329987976</v>
      </c>
      <c r="M194" s="77">
        <f t="shared" si="172"/>
        <v>961551.40797955543</v>
      </c>
      <c r="N194" s="77">
        <f t="shared" si="172"/>
        <v>1066089.729593745</v>
      </c>
      <c r="O194" s="77">
        <f t="shared" si="172"/>
        <v>248199.4409749273</v>
      </c>
      <c r="P194" s="396">
        <f t="shared" si="172"/>
        <v>1816378.3387943134</v>
      </c>
      <c r="Q194" s="77">
        <f t="shared" si="172"/>
        <v>3235065.1046610703</v>
      </c>
      <c r="R194" s="77">
        <f t="shared" si="172"/>
        <v>3383965.9126018854</v>
      </c>
      <c r="S194" s="77">
        <f t="shared" si="172"/>
        <v>3431715.2245145044</v>
      </c>
      <c r="T194" s="77">
        <f t="shared" si="172"/>
        <v>3387483.5943929949</v>
      </c>
      <c r="U194" s="77">
        <f t="shared" si="172"/>
        <v>3863694.6866435218</v>
      </c>
      <c r="V194" s="77">
        <f t="shared" si="172"/>
        <v>4282790.8517088499</v>
      </c>
      <c r="W194" s="77">
        <f t="shared" si="172"/>
        <v>5988003.9623869741</v>
      </c>
      <c r="X194" s="77">
        <f t="shared" si="172"/>
        <v>5312100.6774535337</v>
      </c>
      <c r="Y194" s="77">
        <f t="shared" si="172"/>
        <v>4305711.2487288946</v>
      </c>
      <c r="Z194" s="77">
        <f t="shared" si="172"/>
        <v>3555276.6393974572</v>
      </c>
      <c r="AA194" s="77">
        <f t="shared" si="172"/>
        <v>1083852.3111994676</v>
      </c>
      <c r="AB194" s="77">
        <f t="shared" ref="AB194" si="173">MIN(AB$141*INDEX(Doli_Prior,1,AB$189)*AB179,AB149)</f>
        <v>0</v>
      </c>
    </row>
    <row r="195" spans="1:28" x14ac:dyDescent="0.2">
      <c r="A195" s="3">
        <v>6</v>
      </c>
      <c r="B195" t="s">
        <v>1</v>
      </c>
      <c r="C195" s="21">
        <f t="shared" ref="C195:AA195" si="174">MIN(C$141*INDEX(Doli_Prior,1,C$189)*C180,C150)</f>
        <v>239595.91404930188</v>
      </c>
      <c r="D195" s="150">
        <f t="shared" si="174"/>
        <v>251250.04495647026</v>
      </c>
      <c r="E195" s="150">
        <f t="shared" si="174"/>
        <v>212870.59978706058</v>
      </c>
      <c r="F195" s="150">
        <f t="shared" si="174"/>
        <v>414336.14123391616</v>
      </c>
      <c r="G195" s="150">
        <f t="shared" si="174"/>
        <v>801255.33565141121</v>
      </c>
      <c r="H195" s="150">
        <f t="shared" si="174"/>
        <v>827512.17311807116</v>
      </c>
      <c r="I195" s="150">
        <f t="shared" si="174"/>
        <v>2174525.9860318</v>
      </c>
      <c r="J195" s="21">
        <f t="shared" si="174"/>
        <v>1406701.4713408824</v>
      </c>
      <c r="K195" s="304">
        <f t="shared" si="174"/>
        <v>762189.3449682116</v>
      </c>
      <c r="L195" s="77">
        <f t="shared" si="174"/>
        <v>1064533.4162214906</v>
      </c>
      <c r="M195" s="77">
        <f t="shared" si="174"/>
        <v>1036488.3378463743</v>
      </c>
      <c r="N195" s="77">
        <f t="shared" si="174"/>
        <v>1347383.1461353146</v>
      </c>
      <c r="O195" s="77">
        <f t="shared" si="174"/>
        <v>2856080.2566834413</v>
      </c>
      <c r="P195" s="396">
        <f t="shared" si="174"/>
        <v>4692480.10384019</v>
      </c>
      <c r="Q195" s="77">
        <f t="shared" si="174"/>
        <v>3235284.596648775</v>
      </c>
      <c r="R195" s="77">
        <f t="shared" si="174"/>
        <v>5059783.9808898931</v>
      </c>
      <c r="S195" s="77">
        <f t="shared" si="174"/>
        <v>2264850.0216329503</v>
      </c>
      <c r="T195" s="77">
        <f t="shared" si="174"/>
        <v>3696846.2494092002</v>
      </c>
      <c r="U195" s="77">
        <f t="shared" si="174"/>
        <v>4848638.8780699903</v>
      </c>
      <c r="V195" s="77">
        <f t="shared" si="174"/>
        <v>6102897.2871349389</v>
      </c>
      <c r="W195" s="77">
        <f t="shared" si="174"/>
        <v>4015886.1043437957</v>
      </c>
      <c r="X195" s="77">
        <f t="shared" si="174"/>
        <v>11328100.874607107</v>
      </c>
      <c r="Y195" s="77">
        <f t="shared" si="174"/>
        <v>9946949.5415717307</v>
      </c>
      <c r="Z195" s="77">
        <f t="shared" si="174"/>
        <v>8390101.3865471222</v>
      </c>
      <c r="AA195" s="77">
        <f t="shared" si="174"/>
        <v>2533405.9293215908</v>
      </c>
      <c r="AB195" s="77">
        <f t="shared" ref="AB195" si="175">MIN(AB$141*INDEX(Doli_Prior,1,AB$189)*AB180,AB150)</f>
        <v>0</v>
      </c>
    </row>
    <row r="196" spans="1:28" x14ac:dyDescent="0.2">
      <c r="A196" s="3">
        <v>7</v>
      </c>
      <c r="B196" t="s">
        <v>2</v>
      </c>
      <c r="C196" s="21">
        <f t="shared" ref="C196:AA196" si="176">MIN(C$141*INDEX(Doli_Prior,1,C$189)*C181,C151)</f>
        <v>223904.79125647969</v>
      </c>
      <c r="D196" s="150">
        <f t="shared" si="176"/>
        <v>62901.062621884834</v>
      </c>
      <c r="E196" s="150">
        <f t="shared" si="176"/>
        <v>206281.07277433085</v>
      </c>
      <c r="F196" s="150">
        <f t="shared" si="176"/>
        <v>641802.22438046942</v>
      </c>
      <c r="G196" s="150">
        <f t="shared" si="176"/>
        <v>832757.59182344237</v>
      </c>
      <c r="H196" s="150">
        <f t="shared" si="176"/>
        <v>753472.99938476528</v>
      </c>
      <c r="I196" s="150">
        <f t="shared" si="176"/>
        <v>1471861.0519561113</v>
      </c>
      <c r="J196" s="21">
        <f t="shared" si="176"/>
        <v>1522106.7858693928</v>
      </c>
      <c r="K196" s="304">
        <f t="shared" si="176"/>
        <v>712947.84343901824</v>
      </c>
      <c r="L196" s="77">
        <f t="shared" si="176"/>
        <v>938270.07338898524</v>
      </c>
      <c r="M196" s="77">
        <f t="shared" si="176"/>
        <v>1114708.9977756066</v>
      </c>
      <c r="N196" s="77">
        <f t="shared" si="176"/>
        <v>1333921.5897248792</v>
      </c>
      <c r="O196" s="77">
        <f t="shared" si="176"/>
        <v>3085580.7033196832</v>
      </c>
      <c r="P196" s="396">
        <f t="shared" si="176"/>
        <v>3015630.098304003</v>
      </c>
      <c r="Q196" s="77">
        <f t="shared" si="176"/>
        <v>4233935.2364987377</v>
      </c>
      <c r="R196" s="77">
        <f t="shared" si="176"/>
        <v>3253428.6436346327</v>
      </c>
      <c r="S196" s="77">
        <f t="shared" si="176"/>
        <v>3776252.6929578851</v>
      </c>
      <c r="T196" s="77">
        <f t="shared" si="176"/>
        <v>3754983.1632214389</v>
      </c>
      <c r="U196" s="77">
        <f t="shared" si="176"/>
        <v>2118159.641008208</v>
      </c>
      <c r="V196" s="77">
        <f t="shared" si="176"/>
        <v>3959570.0253303568</v>
      </c>
      <c r="W196" s="77">
        <f t="shared" si="176"/>
        <v>6170719.4046531422</v>
      </c>
      <c r="X196" s="77">
        <f t="shared" si="176"/>
        <v>7832088.8346119486</v>
      </c>
      <c r="Y196" s="77">
        <f t="shared" si="176"/>
        <v>6250383.69576337</v>
      </c>
      <c r="Z196" s="77">
        <f t="shared" si="176"/>
        <v>5398423.7440254409</v>
      </c>
      <c r="AA196" s="77">
        <f t="shared" si="176"/>
        <v>1605961.5037570707</v>
      </c>
      <c r="AB196" s="77">
        <f t="shared" ref="AB196" si="177">MIN(AB$141*INDEX(Doli_Prior,1,AB$189)*AB181,AB151)</f>
        <v>0</v>
      </c>
    </row>
    <row r="197" spans="1:28" x14ac:dyDescent="0.2">
      <c r="A197" s="59"/>
      <c r="B197" s="78" t="s">
        <v>93</v>
      </c>
      <c r="C197" s="150">
        <f>SUM(C190:C196)</f>
        <v>1433589.6080394995</v>
      </c>
      <c r="D197" s="150">
        <f t="shared" ref="D197:AA197" si="178">SUM(D190:D196)</f>
        <v>1473346.767342834</v>
      </c>
      <c r="E197" s="150">
        <f t="shared" si="178"/>
        <v>2017512.5634971799</v>
      </c>
      <c r="F197" s="150">
        <f t="shared" si="178"/>
        <v>3140400.6569180065</v>
      </c>
      <c r="G197" s="150">
        <f t="shared" si="178"/>
        <v>3913490.6178731704</v>
      </c>
      <c r="H197" s="150">
        <f t="shared" si="178"/>
        <v>4050840.7359606745</v>
      </c>
      <c r="I197" s="150">
        <f t="shared" si="178"/>
        <v>8704441.6071948241</v>
      </c>
      <c r="J197" s="150">
        <f t="shared" si="178"/>
        <v>9001831.8365271818</v>
      </c>
      <c r="K197" s="262">
        <f t="shared" si="178"/>
        <v>4701519.9909231681</v>
      </c>
      <c r="L197" s="77">
        <f t="shared" si="178"/>
        <v>5550117.4498744095</v>
      </c>
      <c r="M197" s="21">
        <f t="shared" si="178"/>
        <v>6265390.655323904</v>
      </c>
      <c r="N197" s="21">
        <f t="shared" si="178"/>
        <v>7277613.3790402487</v>
      </c>
      <c r="O197" s="21">
        <f t="shared" si="178"/>
        <v>12073251.987607114</v>
      </c>
      <c r="P197" s="391">
        <f t="shared" si="178"/>
        <v>19778219.533172004</v>
      </c>
      <c r="Q197" s="21">
        <f t="shared" si="178"/>
        <v>25186534.963453449</v>
      </c>
      <c r="R197" s="21">
        <f t="shared" si="178"/>
        <v>23891599.916950174</v>
      </c>
      <c r="S197" s="21">
        <f t="shared" si="178"/>
        <v>22400689.834834374</v>
      </c>
      <c r="T197" s="21">
        <f t="shared" si="178"/>
        <v>21881630.667432297</v>
      </c>
      <c r="U197" s="21">
        <f t="shared" si="178"/>
        <v>23784800.070284016</v>
      </c>
      <c r="V197" s="21">
        <f t="shared" si="178"/>
        <v>28091136.552212454</v>
      </c>
      <c r="W197" s="21">
        <f t="shared" si="178"/>
        <v>36190947.573176421</v>
      </c>
      <c r="X197" s="21">
        <f t="shared" si="178"/>
        <v>44320865.93575801</v>
      </c>
      <c r="Y197" s="21">
        <f t="shared" si="178"/>
        <v>47434704.283348985</v>
      </c>
      <c r="Z197" s="21">
        <f t="shared" si="178"/>
        <v>45524746.931560978</v>
      </c>
      <c r="AA197" s="21">
        <f t="shared" si="178"/>
        <v>22997301.094308354</v>
      </c>
      <c r="AB197" s="21">
        <f t="shared" ref="AB197" si="179">SUM(AB190:AB196)</f>
        <v>0</v>
      </c>
    </row>
    <row r="198" spans="1:28" x14ac:dyDescent="0.2">
      <c r="A198" s="59"/>
    </row>
    <row r="199" spans="1:28" x14ac:dyDescent="0.2">
      <c r="A199" s="59"/>
      <c r="B199" s="135" t="s">
        <v>97</v>
      </c>
    </row>
    <row r="200" spans="1:28" x14ac:dyDescent="0.2">
      <c r="A200" s="3">
        <v>1</v>
      </c>
      <c r="B200" t="s">
        <v>41</v>
      </c>
      <c r="C200" s="140">
        <f t="shared" ref="C200:AA200" si="180">C145-C190</f>
        <v>999844.61097833468</v>
      </c>
      <c r="D200" s="140">
        <f t="shared" si="180"/>
        <v>1315884.3177703747</v>
      </c>
      <c r="E200" s="140">
        <f t="shared" si="180"/>
        <v>2628996.7121552387</v>
      </c>
      <c r="F200" s="140">
        <f t="shared" si="180"/>
        <v>3725703.5172845842</v>
      </c>
      <c r="G200" s="140">
        <f t="shared" si="180"/>
        <v>4810425.4000434615</v>
      </c>
      <c r="H200" s="140">
        <f t="shared" si="180"/>
        <v>4198415.8285432272</v>
      </c>
      <c r="I200" s="140">
        <f t="shared" si="180"/>
        <v>10852031.492049797</v>
      </c>
      <c r="J200" s="140">
        <f t="shared" si="180"/>
        <v>8125787.680452982</v>
      </c>
      <c r="K200" s="312">
        <f t="shared" si="180"/>
        <v>28504494.983920921</v>
      </c>
      <c r="L200" s="27">
        <f t="shared" si="180"/>
        <v>68161825.480473757</v>
      </c>
      <c r="M200" s="27">
        <f t="shared" si="180"/>
        <v>121698868.41537008</v>
      </c>
      <c r="N200" s="27">
        <f t="shared" si="180"/>
        <v>190734407.67604798</v>
      </c>
      <c r="O200" s="27">
        <f t="shared" si="180"/>
        <v>197214254.12626454</v>
      </c>
      <c r="P200" s="391">
        <f t="shared" si="180"/>
        <v>184777458.23468885</v>
      </c>
      <c r="Q200" s="27">
        <f t="shared" si="180"/>
        <v>163001387.11459333</v>
      </c>
      <c r="R200" s="27">
        <f t="shared" si="180"/>
        <v>160718881.90585062</v>
      </c>
      <c r="S200" s="27">
        <f t="shared" si="180"/>
        <v>155195356.03776339</v>
      </c>
      <c r="T200" s="27">
        <f t="shared" si="180"/>
        <v>156157353.78288689</v>
      </c>
      <c r="U200" s="27">
        <f t="shared" si="180"/>
        <v>146478554.21829262</v>
      </c>
      <c r="V200" s="27">
        <f t="shared" si="180"/>
        <v>131352196.09649782</v>
      </c>
      <c r="W200" s="27">
        <f t="shared" si="180"/>
        <v>144626766.98541427</v>
      </c>
      <c r="X200" s="27">
        <f t="shared" si="180"/>
        <v>129926494.31496416</v>
      </c>
      <c r="Y200" s="27">
        <f t="shared" si="180"/>
        <v>96110099.58836703</v>
      </c>
      <c r="Z200" s="27">
        <f t="shared" si="180"/>
        <v>65394080.29846999</v>
      </c>
      <c r="AA200" s="27">
        <f t="shared" si="180"/>
        <v>6343273.704831141</v>
      </c>
      <c r="AB200" s="27">
        <f t="shared" ref="AB200" si="181">AB145-AB190</f>
        <v>0</v>
      </c>
    </row>
    <row r="201" spans="1:28" x14ac:dyDescent="0.2">
      <c r="A201" s="3">
        <v>2</v>
      </c>
      <c r="B201" t="s">
        <v>3</v>
      </c>
      <c r="C201" s="140">
        <f t="shared" ref="C201:AA201" si="182">C146-C191</f>
        <v>0</v>
      </c>
      <c r="D201" s="140">
        <f t="shared" si="182"/>
        <v>0</v>
      </c>
      <c r="E201" s="140">
        <f t="shared" si="182"/>
        <v>0</v>
      </c>
      <c r="F201" s="140">
        <f t="shared" si="182"/>
        <v>0</v>
      </c>
      <c r="G201" s="140">
        <f t="shared" si="182"/>
        <v>0</v>
      </c>
      <c r="H201" s="140">
        <f t="shared" si="182"/>
        <v>0</v>
      </c>
      <c r="I201" s="140">
        <f t="shared" si="182"/>
        <v>0</v>
      </c>
      <c r="J201" s="140">
        <f t="shared" si="182"/>
        <v>0</v>
      </c>
      <c r="K201" s="312">
        <f t="shared" si="182"/>
        <v>3554471.3232373269</v>
      </c>
      <c r="L201" s="27">
        <f t="shared" si="182"/>
        <v>5367496.6754048076</v>
      </c>
      <c r="M201" s="27">
        <f t="shared" si="182"/>
        <v>7557639.4984426834</v>
      </c>
      <c r="N201" s="27">
        <f t="shared" si="182"/>
        <v>9989433.181127375</v>
      </c>
      <c r="O201" s="27">
        <f t="shared" si="182"/>
        <v>5364081.1543738171</v>
      </c>
      <c r="P201" s="391">
        <f t="shared" si="182"/>
        <v>5640802.3549371753</v>
      </c>
      <c r="Q201" s="27">
        <f t="shared" si="182"/>
        <v>4998832.5569398217</v>
      </c>
      <c r="R201" s="27">
        <f t="shared" si="182"/>
        <v>4206089.0422285758</v>
      </c>
      <c r="S201" s="27">
        <f t="shared" si="182"/>
        <v>5445343.3683836423</v>
      </c>
      <c r="T201" s="27">
        <f t="shared" si="182"/>
        <v>5508485.6286426643</v>
      </c>
      <c r="U201" s="27">
        <f t="shared" si="182"/>
        <v>6579707.711363934</v>
      </c>
      <c r="V201" s="27">
        <f t="shared" si="182"/>
        <v>6518640.3965443093</v>
      </c>
      <c r="W201" s="27">
        <f t="shared" si="182"/>
        <v>2024948.8225291679</v>
      </c>
      <c r="X201" s="27">
        <f t="shared" si="182"/>
        <v>3282977.1108546439</v>
      </c>
      <c r="Y201" s="27">
        <f t="shared" si="182"/>
        <v>4497861.4538987475</v>
      </c>
      <c r="Z201" s="27">
        <f t="shared" si="182"/>
        <v>3449356.594678076</v>
      </c>
      <c r="AA201" s="27">
        <f t="shared" si="182"/>
        <v>1019346.9918896649</v>
      </c>
      <c r="AB201" s="27">
        <f t="shared" ref="AB201" si="183">AB146-AB191</f>
        <v>0</v>
      </c>
    </row>
    <row r="202" spans="1:28" x14ac:dyDescent="0.2">
      <c r="A202" s="3">
        <v>3</v>
      </c>
      <c r="B202" t="s">
        <v>29</v>
      </c>
      <c r="C202" s="140">
        <f t="shared" ref="C202:AA202" si="184">C147-C192</f>
        <v>1216702.346189233</v>
      </c>
      <c r="D202" s="140">
        <f t="shared" si="184"/>
        <v>1192128.8467508203</v>
      </c>
      <c r="E202" s="140">
        <f t="shared" si="184"/>
        <v>1232062.0305396379</v>
      </c>
      <c r="F202" s="140">
        <f t="shared" si="184"/>
        <v>1704990.3138308586</v>
      </c>
      <c r="G202" s="140">
        <f t="shared" si="184"/>
        <v>2160893.9450151562</v>
      </c>
      <c r="H202" s="140">
        <f t="shared" si="184"/>
        <v>2003248.412922943</v>
      </c>
      <c r="I202" s="140">
        <f t="shared" si="184"/>
        <v>9639582.1693514623</v>
      </c>
      <c r="J202" s="140">
        <f t="shared" si="184"/>
        <v>8460410.5258107446</v>
      </c>
      <c r="K202" s="312">
        <f t="shared" si="184"/>
        <v>12777058.295564596</v>
      </c>
      <c r="L202" s="27">
        <f t="shared" si="184"/>
        <v>17284789.969512898</v>
      </c>
      <c r="M202" s="27">
        <f t="shared" si="184"/>
        <v>22307222.077843517</v>
      </c>
      <c r="N202" s="27">
        <f t="shared" si="184"/>
        <v>28122035.79505888</v>
      </c>
      <c r="O202" s="27">
        <f t="shared" si="184"/>
        <v>29036453.848419297</v>
      </c>
      <c r="P202" s="391">
        <f t="shared" si="184"/>
        <v>28595434.040448315</v>
      </c>
      <c r="Q202" s="27">
        <f t="shared" si="184"/>
        <v>27162775.384061921</v>
      </c>
      <c r="R202" s="27">
        <f t="shared" si="184"/>
        <v>29727495.8681692</v>
      </c>
      <c r="S202" s="27">
        <f t="shared" si="184"/>
        <v>33494774.674426593</v>
      </c>
      <c r="T202" s="27">
        <f t="shared" si="184"/>
        <v>37322019.13007687</v>
      </c>
      <c r="U202" s="27">
        <f t="shared" si="184"/>
        <v>38152278.935498029</v>
      </c>
      <c r="V202" s="27">
        <f t="shared" si="184"/>
        <v>36879935.348160774</v>
      </c>
      <c r="W202" s="27">
        <f t="shared" si="184"/>
        <v>34708083.674440533</v>
      </c>
      <c r="X202" s="27">
        <f t="shared" si="184"/>
        <v>31292059.409037601</v>
      </c>
      <c r="Y202" s="27">
        <f t="shared" si="184"/>
        <v>21752243.087791368</v>
      </c>
      <c r="Z202" s="27">
        <f t="shared" si="184"/>
        <v>15311995.52512183</v>
      </c>
      <c r="AA202" s="27">
        <f t="shared" si="184"/>
        <v>810152.45208051801</v>
      </c>
      <c r="AB202" s="27">
        <f t="shared" ref="AB202" si="185">AB147-AB192</f>
        <v>0</v>
      </c>
    </row>
    <row r="203" spans="1:28" x14ac:dyDescent="0.2">
      <c r="A203" s="3">
        <v>4</v>
      </c>
      <c r="B203" t="s">
        <v>5</v>
      </c>
      <c r="C203" s="140">
        <f t="shared" ref="C203:AA203" si="186">C148-C193</f>
        <v>1377311.9161124493</v>
      </c>
      <c r="D203" s="140">
        <f t="shared" si="186"/>
        <v>1728427.1402395247</v>
      </c>
      <c r="E203" s="140">
        <f t="shared" si="186"/>
        <v>1496465.9693169906</v>
      </c>
      <c r="F203" s="140">
        <f t="shared" si="186"/>
        <v>1051920.704385309</v>
      </c>
      <c r="G203" s="140">
        <f t="shared" si="186"/>
        <v>1206493.5283258117</v>
      </c>
      <c r="H203" s="140">
        <f t="shared" si="186"/>
        <v>196474.11675243918</v>
      </c>
      <c r="I203" s="140">
        <f t="shared" si="186"/>
        <v>0</v>
      </c>
      <c r="J203" s="140">
        <f t="shared" si="186"/>
        <v>0</v>
      </c>
      <c r="K203" s="312">
        <f t="shared" si="186"/>
        <v>3413335.10090579</v>
      </c>
      <c r="L203" s="27">
        <f t="shared" si="186"/>
        <v>5362538.7021876667</v>
      </c>
      <c r="M203" s="27">
        <f t="shared" si="186"/>
        <v>7880286.2073480189</v>
      </c>
      <c r="N203" s="27">
        <f t="shared" si="186"/>
        <v>10655812.366866041</v>
      </c>
      <c r="O203" s="27">
        <f t="shared" si="186"/>
        <v>9564197.553014094</v>
      </c>
      <c r="P203" s="391">
        <f t="shared" si="186"/>
        <v>8736299.9129051492</v>
      </c>
      <c r="Q203" s="27">
        <f t="shared" si="186"/>
        <v>7320222.816590949</v>
      </c>
      <c r="R203" s="27">
        <f t="shared" si="186"/>
        <v>9883802.6263025459</v>
      </c>
      <c r="S203" s="27">
        <f t="shared" si="186"/>
        <v>11026568.031625263</v>
      </c>
      <c r="T203" s="27">
        <f t="shared" si="186"/>
        <v>13699589.03259249</v>
      </c>
      <c r="U203" s="27">
        <f t="shared" si="186"/>
        <v>14367458.044605907</v>
      </c>
      <c r="V203" s="27">
        <f t="shared" si="186"/>
        <v>14573871.104691103</v>
      </c>
      <c r="W203" s="27">
        <f t="shared" si="186"/>
        <v>12327687.187266065</v>
      </c>
      <c r="X203" s="27">
        <f t="shared" si="186"/>
        <v>10789241.653731348</v>
      </c>
      <c r="Y203" s="27">
        <f t="shared" si="186"/>
        <v>4076720.249582652</v>
      </c>
      <c r="Z203" s="27">
        <f t="shared" si="186"/>
        <v>0</v>
      </c>
      <c r="AA203" s="27">
        <f t="shared" si="186"/>
        <v>0</v>
      </c>
      <c r="AB203" s="27">
        <f t="shared" ref="AB203" si="187">AB148-AB193</f>
        <v>0</v>
      </c>
    </row>
    <row r="204" spans="1:28" x14ac:dyDescent="0.2">
      <c r="A204" s="3">
        <v>5</v>
      </c>
      <c r="B204" t="s">
        <v>6</v>
      </c>
      <c r="C204" s="140">
        <f t="shared" ref="C204:AA204" si="188">C149-C194</f>
        <v>0</v>
      </c>
      <c r="D204" s="140">
        <f t="shared" si="188"/>
        <v>0</v>
      </c>
      <c r="E204" s="140">
        <f t="shared" si="188"/>
        <v>0</v>
      </c>
      <c r="F204" s="140">
        <f t="shared" si="188"/>
        <v>0</v>
      </c>
      <c r="G204" s="140">
        <f t="shared" si="188"/>
        <v>0</v>
      </c>
      <c r="H204" s="140">
        <f t="shared" si="188"/>
        <v>279292.17070730007</v>
      </c>
      <c r="I204" s="140">
        <f t="shared" si="188"/>
        <v>656758.45441008254</v>
      </c>
      <c r="J204" s="140">
        <f t="shared" si="188"/>
        <v>486531.60401533486</v>
      </c>
      <c r="K204" s="312">
        <f t="shared" si="188"/>
        <v>763595.63282244722</v>
      </c>
      <c r="L204" s="27">
        <f t="shared" si="188"/>
        <v>1523686.3253266686</v>
      </c>
      <c r="M204" s="27">
        <f t="shared" si="188"/>
        <v>2411350.5946286139</v>
      </c>
      <c r="N204" s="27">
        <f t="shared" si="188"/>
        <v>3447058.7247837945</v>
      </c>
      <c r="O204" s="27">
        <f t="shared" si="188"/>
        <v>2347031.7094051344</v>
      </c>
      <c r="P204" s="391">
        <f t="shared" si="188"/>
        <v>1755746.1056892355</v>
      </c>
      <c r="Q204" s="27">
        <f t="shared" si="188"/>
        <v>716415.84034125181</v>
      </c>
      <c r="R204" s="27">
        <f t="shared" si="188"/>
        <v>847939.95514885429</v>
      </c>
      <c r="S204" s="27">
        <f t="shared" si="188"/>
        <v>1405924.0225327075</v>
      </c>
      <c r="T204" s="27">
        <f t="shared" si="188"/>
        <v>2118749.1492502592</v>
      </c>
      <c r="U204" s="27">
        <f t="shared" si="188"/>
        <v>2028205.4428824498</v>
      </c>
      <c r="V204" s="27">
        <f t="shared" si="188"/>
        <v>1717011.0482382365</v>
      </c>
      <c r="W204" s="27">
        <f t="shared" si="188"/>
        <v>263967.70561801549</v>
      </c>
      <c r="X204" s="27">
        <f t="shared" si="188"/>
        <v>0</v>
      </c>
      <c r="Y204" s="27">
        <f t="shared" si="188"/>
        <v>0</v>
      </c>
      <c r="Z204" s="27">
        <f t="shared" si="188"/>
        <v>0</v>
      </c>
      <c r="AA204" s="27">
        <f t="shared" si="188"/>
        <v>0</v>
      </c>
      <c r="AB204" s="27">
        <f t="shared" ref="AB204" si="189">AB149-AB194</f>
        <v>0</v>
      </c>
    </row>
    <row r="205" spans="1:28" x14ac:dyDescent="0.2">
      <c r="A205" s="3">
        <v>6</v>
      </c>
      <c r="B205" t="s">
        <v>1</v>
      </c>
      <c r="C205" s="140">
        <f t="shared" ref="C205:AA205" si="190">C150-C195</f>
        <v>0</v>
      </c>
      <c r="D205" s="140">
        <f t="shared" si="190"/>
        <v>0</v>
      </c>
      <c r="E205" s="140">
        <f t="shared" si="190"/>
        <v>0</v>
      </c>
      <c r="F205" s="140">
        <f t="shared" si="190"/>
        <v>0</v>
      </c>
      <c r="G205" s="140">
        <f t="shared" si="190"/>
        <v>0</v>
      </c>
      <c r="H205" s="140">
        <f t="shared" si="190"/>
        <v>0</v>
      </c>
      <c r="I205" s="140">
        <f t="shared" si="190"/>
        <v>0</v>
      </c>
      <c r="J205" s="140">
        <f t="shared" si="190"/>
        <v>247564.57508580782</v>
      </c>
      <c r="K205" s="312">
        <f t="shared" si="190"/>
        <v>3227308.9358878667</v>
      </c>
      <c r="L205" s="27">
        <f t="shared" si="190"/>
        <v>6219283.6798449121</v>
      </c>
      <c r="M205" s="27">
        <f t="shared" si="190"/>
        <v>8906993.0233428162</v>
      </c>
      <c r="N205" s="27">
        <f t="shared" si="190"/>
        <v>13944250.749732688</v>
      </c>
      <c r="O205" s="27">
        <f t="shared" si="190"/>
        <v>12725384.029496852</v>
      </c>
      <c r="P205" s="391">
        <f t="shared" si="190"/>
        <v>12608619.635224637</v>
      </c>
      <c r="Q205" s="27">
        <f t="shared" si="190"/>
        <v>7725467.5193115249</v>
      </c>
      <c r="R205" s="27">
        <f t="shared" si="190"/>
        <v>9064752.8449438512</v>
      </c>
      <c r="S205" s="27">
        <f t="shared" si="190"/>
        <v>8050914.8046572879</v>
      </c>
      <c r="T205" s="27">
        <f t="shared" si="190"/>
        <v>11410734.619557397</v>
      </c>
      <c r="U205" s="27">
        <f t="shared" si="190"/>
        <v>12736240.965811156</v>
      </c>
      <c r="V205" s="27">
        <f t="shared" si="190"/>
        <v>13008140.454659112</v>
      </c>
      <c r="W205" s="27">
        <f t="shared" si="190"/>
        <v>9421102.3719385155</v>
      </c>
      <c r="X205" s="27">
        <f t="shared" si="190"/>
        <v>4328017.4349886533</v>
      </c>
      <c r="Y205" s="27">
        <f t="shared" si="190"/>
        <v>52680.49605451338</v>
      </c>
      <c r="Z205" s="27">
        <f t="shared" si="190"/>
        <v>0</v>
      </c>
      <c r="AA205" s="27">
        <f t="shared" si="190"/>
        <v>0</v>
      </c>
      <c r="AB205" s="27">
        <f t="shared" ref="AB205" si="191">AB150-AB195</f>
        <v>0</v>
      </c>
    </row>
    <row r="206" spans="1:28" x14ac:dyDescent="0.2">
      <c r="A206" s="3">
        <v>7</v>
      </c>
      <c r="B206" t="s">
        <v>2</v>
      </c>
      <c r="C206" s="140">
        <f t="shared" ref="C206:AA206" si="192">C151-C196</f>
        <v>0</v>
      </c>
      <c r="D206" s="140">
        <f t="shared" si="192"/>
        <v>84756.914637598296</v>
      </c>
      <c r="E206" s="140">
        <f t="shared" si="192"/>
        <v>0</v>
      </c>
      <c r="F206" s="140">
        <f t="shared" si="192"/>
        <v>0</v>
      </c>
      <c r="G206" s="140">
        <f t="shared" si="192"/>
        <v>0</v>
      </c>
      <c r="H206" s="140">
        <f t="shared" si="192"/>
        <v>0</v>
      </c>
      <c r="I206" s="140">
        <f t="shared" si="192"/>
        <v>0</v>
      </c>
      <c r="J206" s="140">
        <f t="shared" si="192"/>
        <v>0</v>
      </c>
      <c r="K206" s="312">
        <f t="shared" si="192"/>
        <v>2273331.6204422959</v>
      </c>
      <c r="L206" s="27">
        <f t="shared" si="192"/>
        <v>4687011.4533582898</v>
      </c>
      <c r="M206" s="27">
        <f t="shared" si="192"/>
        <v>7928710.461954318</v>
      </c>
      <c r="N206" s="27">
        <f t="shared" si="192"/>
        <v>12144552.332217662</v>
      </c>
      <c r="O206" s="27">
        <f t="shared" si="192"/>
        <v>11514640.572982607</v>
      </c>
      <c r="P206" s="391">
        <f t="shared" si="192"/>
        <v>7565061.912663348</v>
      </c>
      <c r="Q206" s="27">
        <f t="shared" si="192"/>
        <v>6404962.9114823267</v>
      </c>
      <c r="R206" s="27">
        <f t="shared" si="192"/>
        <v>4838450.4160181396</v>
      </c>
      <c r="S206" s="27">
        <f t="shared" si="192"/>
        <v>6219065.8282035254</v>
      </c>
      <c r="T206" s="27">
        <f t="shared" si="192"/>
        <v>7736620.3914492186</v>
      </c>
      <c r="U206" s="27">
        <f t="shared" si="192"/>
        <v>5048869.3507328499</v>
      </c>
      <c r="V206" s="27">
        <f t="shared" si="192"/>
        <v>6539282.8832969442</v>
      </c>
      <c r="W206" s="27">
        <f t="shared" si="192"/>
        <v>5804953.9312046831</v>
      </c>
      <c r="X206" s="27">
        <f t="shared" si="192"/>
        <v>1120894.4991984349</v>
      </c>
      <c r="Y206" s="27">
        <f t="shared" si="192"/>
        <v>0</v>
      </c>
      <c r="Z206" s="27">
        <f t="shared" si="192"/>
        <v>0</v>
      </c>
      <c r="AA206" s="27">
        <f t="shared" si="192"/>
        <v>0</v>
      </c>
      <c r="AB206" s="27">
        <f t="shared" ref="AB206" si="193">AB151-AB196</f>
        <v>0</v>
      </c>
    </row>
    <row r="207" spans="1:28" x14ac:dyDescent="0.2">
      <c r="A207" s="59"/>
      <c r="B207" s="78" t="s">
        <v>96</v>
      </c>
      <c r="C207" s="140">
        <f>SUM(C200:C206)</f>
        <v>3593858.8732800167</v>
      </c>
      <c r="D207" s="140">
        <f t="shared" ref="D207:AA207" si="194">SUM(D200:D206)</f>
        <v>4321197.2193983179</v>
      </c>
      <c r="E207" s="140">
        <f t="shared" si="194"/>
        <v>5357524.7120118672</v>
      </c>
      <c r="F207" s="140">
        <f t="shared" si="194"/>
        <v>6482614.5355007518</v>
      </c>
      <c r="G207" s="140">
        <f t="shared" si="194"/>
        <v>8177812.8733844301</v>
      </c>
      <c r="H207" s="140">
        <f t="shared" si="194"/>
        <v>6677430.5289259097</v>
      </c>
      <c r="I207" s="140">
        <f t="shared" si="194"/>
        <v>21148372.115811341</v>
      </c>
      <c r="J207" s="140">
        <f t="shared" si="194"/>
        <v>17320294.385364868</v>
      </c>
      <c r="K207" s="263">
        <f t="shared" si="194"/>
        <v>54513595.892781235</v>
      </c>
      <c r="L207" s="76">
        <f t="shared" si="194"/>
        <v>108606632.286109</v>
      </c>
      <c r="M207" s="76">
        <f t="shared" si="194"/>
        <v>178691070.27893004</v>
      </c>
      <c r="N207" s="76">
        <f t="shared" si="194"/>
        <v>269037550.82583439</v>
      </c>
      <c r="O207" s="76">
        <f t="shared" si="194"/>
        <v>267766042.99395636</v>
      </c>
      <c r="P207" s="390">
        <f t="shared" si="194"/>
        <v>249679422.19655669</v>
      </c>
      <c r="Q207" s="76">
        <f t="shared" si="194"/>
        <v>217330064.1433211</v>
      </c>
      <c r="R207" s="76">
        <f t="shared" si="194"/>
        <v>219287412.65866175</v>
      </c>
      <c r="S207" s="76">
        <f t="shared" si="194"/>
        <v>220837946.7675924</v>
      </c>
      <c r="T207" s="76">
        <f t="shared" si="194"/>
        <v>233953551.73445579</v>
      </c>
      <c r="U207" s="76">
        <f t="shared" si="194"/>
        <v>225391314.66918698</v>
      </c>
      <c r="V207" s="76">
        <f t="shared" si="194"/>
        <v>210589077.33208829</v>
      </c>
      <c r="W207" s="76">
        <f t="shared" si="194"/>
        <v>209177510.67841125</v>
      </c>
      <c r="X207" s="76">
        <f t="shared" si="194"/>
        <v>180739684.42277482</v>
      </c>
      <c r="Y207" s="76">
        <f t="shared" si="194"/>
        <v>126489604.8756943</v>
      </c>
      <c r="Z207" s="76">
        <f t="shared" si="194"/>
        <v>84155432.418269902</v>
      </c>
      <c r="AA207" s="38">
        <f t="shared" si="194"/>
        <v>8172773.148801324</v>
      </c>
      <c r="AB207" s="38">
        <f t="shared" ref="AB207" si="195">SUM(AB200:AB206)</f>
        <v>0</v>
      </c>
    </row>
    <row r="208" spans="1:28" x14ac:dyDescent="0.2">
      <c r="A208" s="59"/>
    </row>
    <row r="209" spans="1:28" x14ac:dyDescent="0.2">
      <c r="A209" s="59"/>
      <c r="B209" s="137" t="s">
        <v>99</v>
      </c>
      <c r="C209" s="38">
        <f t="shared" ref="C209:AA209" si="196">C141-C197</f>
        <v>3579182.0715725021</v>
      </c>
      <c r="D209" s="38">
        <f t="shared" si="196"/>
        <v>4339147.7612991668</v>
      </c>
      <c r="E209" s="38">
        <f t="shared" si="196"/>
        <v>5041192.6498998236</v>
      </c>
      <c r="F209" s="38">
        <f t="shared" si="196"/>
        <v>6811753.9982340001</v>
      </c>
      <c r="G209" s="38">
        <f t="shared" si="196"/>
        <v>7276817.2261948278</v>
      </c>
      <c r="H209" s="38">
        <f t="shared" si="196"/>
        <v>4667398.1521703219</v>
      </c>
      <c r="I209" s="38">
        <f t="shared" si="196"/>
        <v>6401307.3610291723</v>
      </c>
      <c r="J209" s="38">
        <f t="shared" si="196"/>
        <v>7865481.0863808226</v>
      </c>
      <c r="K209" s="251">
        <f t="shared" si="196"/>
        <v>2014937.1389670726</v>
      </c>
      <c r="L209" s="76">
        <f t="shared" si="196"/>
        <v>2378621.7642318895</v>
      </c>
      <c r="M209" s="38">
        <f t="shared" si="196"/>
        <v>2685167.4237102456</v>
      </c>
      <c r="N209" s="38">
        <f t="shared" si="196"/>
        <v>3118977.1624458209</v>
      </c>
      <c r="O209" s="38">
        <f t="shared" si="196"/>
        <v>5174250.8518316224</v>
      </c>
      <c r="P209" s="390">
        <f t="shared" si="196"/>
        <v>8476379.7999308631</v>
      </c>
      <c r="Q209" s="38">
        <f t="shared" si="196"/>
        <v>10794229.270051472</v>
      </c>
      <c r="R209" s="38">
        <f t="shared" si="196"/>
        <v>10239257.107264362</v>
      </c>
      <c r="S209" s="38">
        <f t="shared" si="196"/>
        <v>9600295.6435004547</v>
      </c>
      <c r="T209" s="38">
        <f t="shared" si="196"/>
        <v>9377841.7146138512</v>
      </c>
      <c r="U209" s="38">
        <f t="shared" si="196"/>
        <v>10193485.744407438</v>
      </c>
      <c r="V209" s="38">
        <f t="shared" si="196"/>
        <v>12039058.522376768</v>
      </c>
      <c r="W209" s="38">
        <f t="shared" si="196"/>
        <v>15510406.102789901</v>
      </c>
      <c r="X209" s="38">
        <f t="shared" si="196"/>
        <v>21584704.493463948</v>
      </c>
      <c r="Y209" s="38">
        <f t="shared" si="196"/>
        <v>33128463.341825597</v>
      </c>
      <c r="Z209" s="38">
        <f t="shared" si="196"/>
        <v>48378682.371660665</v>
      </c>
      <c r="AA209" s="38">
        <f t="shared" si="196"/>
        <v>77221973.702052146</v>
      </c>
      <c r="AB209" s="38">
        <f t="shared" ref="AB209" si="197">AB141-AB197</f>
        <v>153647810.07906795</v>
      </c>
    </row>
    <row r="210" spans="1:28" x14ac:dyDescent="0.2">
      <c r="A210" s="59"/>
    </row>
    <row r="211" spans="1:28" x14ac:dyDescent="0.2">
      <c r="A211" s="59" t="s">
        <v>101</v>
      </c>
      <c r="B211" s="137" t="s">
        <v>102</v>
      </c>
    </row>
    <row r="212" spans="1:28" x14ac:dyDescent="0.2">
      <c r="A212" s="59">
        <v>27</v>
      </c>
      <c r="B212" s="137">
        <v>0</v>
      </c>
      <c r="C212">
        <v>1</v>
      </c>
      <c r="D212">
        <v>2</v>
      </c>
      <c r="E212">
        <v>3</v>
      </c>
      <c r="F212">
        <v>4</v>
      </c>
      <c r="G212">
        <v>5</v>
      </c>
      <c r="H212">
        <v>6</v>
      </c>
      <c r="I212">
        <v>7</v>
      </c>
      <c r="J212">
        <v>8</v>
      </c>
      <c r="K212" s="248">
        <v>9</v>
      </c>
      <c r="L212" s="3">
        <v>10</v>
      </c>
      <c r="M212">
        <v>11</v>
      </c>
      <c r="N212">
        <v>12</v>
      </c>
      <c r="O212">
        <v>13</v>
      </c>
      <c r="P212" s="387">
        <v>14</v>
      </c>
      <c r="Q212">
        <v>15</v>
      </c>
      <c r="R212">
        <v>16</v>
      </c>
      <c r="S212">
        <v>17</v>
      </c>
      <c r="T212">
        <v>18</v>
      </c>
      <c r="U212">
        <v>19</v>
      </c>
      <c r="V212">
        <v>20</v>
      </c>
      <c r="W212">
        <v>21</v>
      </c>
      <c r="X212">
        <v>22</v>
      </c>
      <c r="Y212">
        <v>23</v>
      </c>
      <c r="Z212">
        <v>24</v>
      </c>
      <c r="AA212">
        <v>25</v>
      </c>
      <c r="AB212">
        <v>26</v>
      </c>
    </row>
    <row r="213" spans="1:28" x14ac:dyDescent="0.2">
      <c r="A213" s="59"/>
      <c r="B213" s="25" t="s">
        <v>103</v>
      </c>
    </row>
    <row r="214" spans="1:28" x14ac:dyDescent="0.2">
      <c r="A214" s="59"/>
      <c r="B214" t="s">
        <v>104</v>
      </c>
      <c r="C214">
        <f>MAX(C175:C181)</f>
        <v>0.32212513245106134</v>
      </c>
      <c r="D214">
        <f>MAX(D175:D181)</f>
        <v>0.36004748797313829</v>
      </c>
      <c r="E214">
        <f t="shared" ref="E214:AA214" si="198">MAX(E175:E181)</f>
        <v>0.36678540085206174</v>
      </c>
      <c r="F214">
        <f t="shared" si="198"/>
        <v>0.39183161317570292</v>
      </c>
      <c r="G214">
        <f t="shared" si="198"/>
        <v>0.29903141024715552</v>
      </c>
      <c r="H214">
        <f t="shared" si="198"/>
        <v>0.28213784448780838</v>
      </c>
      <c r="I214">
        <f t="shared" si="198"/>
        <v>0.33812159916054363</v>
      </c>
      <c r="J214">
        <f t="shared" si="198"/>
        <v>0.29679487236199875</v>
      </c>
      <c r="K214" s="248">
        <f t="shared" si="198"/>
        <v>0.19919605482222036</v>
      </c>
      <c r="L214" s="3">
        <f t="shared" si="198"/>
        <v>0.19180376376459918</v>
      </c>
      <c r="M214" s="3">
        <f t="shared" si="198"/>
        <v>0.20782412573919121</v>
      </c>
      <c r="N214" s="3">
        <f t="shared" si="198"/>
        <v>0.18514079767081607</v>
      </c>
      <c r="O214" s="3">
        <f t="shared" si="198"/>
        <v>0.25557163111371761</v>
      </c>
      <c r="P214" s="387">
        <f t="shared" si="198"/>
        <v>0.23725493065591513</v>
      </c>
      <c r="Q214" s="3">
        <f t="shared" si="198"/>
        <v>0.24293144293951774</v>
      </c>
      <c r="R214" s="3">
        <f t="shared" si="198"/>
        <v>0.21178087689724667</v>
      </c>
      <c r="S214" s="3">
        <f t="shared" si="198"/>
        <v>0.20572867197964306</v>
      </c>
      <c r="T214" s="3">
        <f t="shared" si="198"/>
        <v>0.17160435711083444</v>
      </c>
      <c r="U214" s="3">
        <f t="shared" si="198"/>
        <v>0.21604135298083393</v>
      </c>
      <c r="V214" s="3">
        <f t="shared" si="198"/>
        <v>0.21725348405863185</v>
      </c>
      <c r="W214" s="3">
        <f t="shared" si="198"/>
        <v>0.2406941077621387</v>
      </c>
      <c r="X214" s="3">
        <f t="shared" si="198"/>
        <v>0.24554830713161269</v>
      </c>
      <c r="Y214" s="3">
        <f t="shared" si="198"/>
        <v>0.18886046902557266</v>
      </c>
      <c r="Z214" s="3">
        <f t="shared" si="198"/>
        <v>0.20036945188955058</v>
      </c>
      <c r="AA214" s="3">
        <f t="shared" si="198"/>
        <v>0.21087437581500634</v>
      </c>
      <c r="AB214" s="3">
        <f t="shared" ref="AB214" si="199">MAX(AB175:AB181)</f>
        <v>0.81736360924082707</v>
      </c>
    </row>
    <row r="215" spans="1:28" x14ac:dyDescent="0.2">
      <c r="A215" s="59"/>
      <c r="B215" t="s">
        <v>108</v>
      </c>
      <c r="C215" s="138">
        <f>VLOOKUP(C214,C$175:$AC$181,$A$212-B212,FALSE)</f>
        <v>2</v>
      </c>
      <c r="D215" s="138">
        <f>VLOOKUP(D214,D$175:$AC$181,$A$212-C212,FALSE)</f>
        <v>5</v>
      </c>
      <c r="E215" s="138">
        <f>VLOOKUP(E214,E$175:$AC$181,$A$212-D212,FALSE)</f>
        <v>5</v>
      </c>
      <c r="F215" s="138">
        <f>VLOOKUP(F214,F$175:$AC$181,$A$212-E212,FALSE)</f>
        <v>7</v>
      </c>
      <c r="G215" s="138">
        <f>VLOOKUP(G214,G$175:$AC$181,$A$212-F212,FALSE)</f>
        <v>7</v>
      </c>
      <c r="H215" s="138">
        <f>VLOOKUP(H214,H$175:$AC$181,$A$212-G212,FALSE)</f>
        <v>7</v>
      </c>
      <c r="I215" s="138">
        <f>VLOOKUP(I214,I$175:$AC$181,$A$212-H212,FALSE)</f>
        <v>4</v>
      </c>
      <c r="J215" s="138">
        <f>VLOOKUP(J214,J$175:$AC$181,$A$212-I212,FALSE)</f>
        <v>4</v>
      </c>
      <c r="K215" s="313">
        <f>VLOOKUP(K214,K$175:$AC$181,$A$212-J212,FALSE)</f>
        <v>4</v>
      </c>
      <c r="L215" s="313">
        <f>VLOOKUP(L214,L$175:$AC$181,$A$212-K212,FALSE)</f>
        <v>6</v>
      </c>
      <c r="M215" s="313">
        <f>VLOOKUP(M214,M$175:$AC$181,$A$212-L212,FALSE)</f>
        <v>4</v>
      </c>
      <c r="N215" s="313">
        <f>VLOOKUP(N214,N$175:$AC$181,$A$212-M212,FALSE)</f>
        <v>6</v>
      </c>
      <c r="O215" s="313">
        <f>VLOOKUP(O214,O$175:$AC$181,$A$212-N212,FALSE)</f>
        <v>7</v>
      </c>
      <c r="P215" s="407">
        <f>VLOOKUP(P214,P$175:$AC$181,$A$212-O212,FALSE)</f>
        <v>6</v>
      </c>
      <c r="Q215" s="313">
        <f>VLOOKUP(Q214,Q$175:$AC$181,$A$212-P212,FALSE)</f>
        <v>4</v>
      </c>
      <c r="R215" s="313">
        <f>VLOOKUP(R214,R$175:$AC$181,$A$212-Q212,FALSE)</f>
        <v>6</v>
      </c>
      <c r="S215" s="313">
        <f>VLOOKUP(S214,S$175:$AC$181,$A$212-R212,FALSE)</f>
        <v>4</v>
      </c>
      <c r="T215" s="313">
        <f>VLOOKUP(T214,T$175:$AC$181,$A$212-S212,FALSE)</f>
        <v>7</v>
      </c>
      <c r="U215" s="313">
        <f>VLOOKUP(U214,U$175:$AC$181,$A$212-T212,FALSE)</f>
        <v>4</v>
      </c>
      <c r="V215" s="313">
        <f>VLOOKUP(V214,V$175:$AC$181,$A$212-U212,FALSE)</f>
        <v>6</v>
      </c>
      <c r="W215" s="313">
        <f>VLOOKUP(W214,W$175:$AC$181,$A$212-V212,FALSE)</f>
        <v>4</v>
      </c>
      <c r="X215" s="313">
        <f>VLOOKUP(X214,X$175:$AC$181,$A$212-W212,FALSE)</f>
        <v>6</v>
      </c>
      <c r="Y215" s="313">
        <f>VLOOKUP(Y214,Y$175:$AC$181,$A$212-X212,FALSE)</f>
        <v>4</v>
      </c>
      <c r="Z215" s="313">
        <f>VLOOKUP(Z214,Z$175:$AC$181,$A$212-Y212,FALSE)</f>
        <v>4</v>
      </c>
      <c r="AA215" s="313">
        <f>VLOOKUP(AA214,AA$175:$AC$181,$A$212-Z212,FALSE)</f>
        <v>4</v>
      </c>
      <c r="AB215" s="313">
        <f>VLOOKUP(AB214,AB$175:$AC$181,$A$212-AA212,FALSE)</f>
        <v>5</v>
      </c>
    </row>
    <row r="216" spans="1:28" x14ac:dyDescent="0.2">
      <c r="A216" s="59"/>
      <c r="B216" s="4" t="s">
        <v>110</v>
      </c>
    </row>
    <row r="217" spans="1:28" x14ac:dyDescent="0.2">
      <c r="A217" s="3">
        <v>1</v>
      </c>
      <c r="B217" t="s">
        <v>41</v>
      </c>
      <c r="C217">
        <f t="shared" ref="C217:L217" si="200">IF($A217=C$215,MIN(C200,C$209),0)</f>
        <v>0</v>
      </c>
      <c r="D217">
        <f t="shared" si="200"/>
        <v>0</v>
      </c>
      <c r="E217">
        <f t="shared" si="200"/>
        <v>0</v>
      </c>
      <c r="F217">
        <f t="shared" si="200"/>
        <v>0</v>
      </c>
      <c r="G217">
        <f t="shared" si="200"/>
        <v>0</v>
      </c>
      <c r="H217">
        <f t="shared" si="200"/>
        <v>0</v>
      </c>
      <c r="I217">
        <f t="shared" si="200"/>
        <v>0</v>
      </c>
      <c r="J217">
        <f t="shared" si="200"/>
        <v>0</v>
      </c>
      <c r="K217" s="248">
        <f t="shared" si="200"/>
        <v>0</v>
      </c>
      <c r="L217" s="3">
        <f t="shared" si="200"/>
        <v>0</v>
      </c>
      <c r="M217" s="3">
        <f t="shared" ref="M217:W217" si="201">IF($A217=M$215,MIN(M200,M$209),0)</f>
        <v>0</v>
      </c>
      <c r="N217" s="3">
        <f t="shared" si="201"/>
        <v>0</v>
      </c>
      <c r="O217" s="3">
        <f t="shared" si="201"/>
        <v>0</v>
      </c>
      <c r="P217" s="387">
        <f t="shared" si="201"/>
        <v>0</v>
      </c>
      <c r="Q217" s="3">
        <f t="shared" si="201"/>
        <v>0</v>
      </c>
      <c r="R217" s="3">
        <f t="shared" si="201"/>
        <v>0</v>
      </c>
      <c r="S217" s="3">
        <f t="shared" si="201"/>
        <v>0</v>
      </c>
      <c r="T217" s="3">
        <f t="shared" si="201"/>
        <v>0</v>
      </c>
      <c r="U217" s="3">
        <f t="shared" si="201"/>
        <v>0</v>
      </c>
      <c r="V217" s="3">
        <f t="shared" si="201"/>
        <v>0</v>
      </c>
      <c r="W217" s="3">
        <f t="shared" si="201"/>
        <v>0</v>
      </c>
      <c r="X217" s="3">
        <f t="shared" ref="X217:AA223" si="202">IF($A217=X$215,MIN(X200,X$209),0)</f>
        <v>0</v>
      </c>
      <c r="Y217" s="3">
        <f t="shared" si="202"/>
        <v>0</v>
      </c>
      <c r="Z217" s="3">
        <f t="shared" si="202"/>
        <v>0</v>
      </c>
      <c r="AA217" s="3">
        <f t="shared" si="202"/>
        <v>0</v>
      </c>
      <c r="AB217" s="3">
        <f t="shared" ref="AB217" si="203">IF($A217=AB$215,MIN(AB200,AB$209),0)</f>
        <v>0</v>
      </c>
    </row>
    <row r="218" spans="1:28" x14ac:dyDescent="0.2">
      <c r="A218" s="3">
        <v>2</v>
      </c>
      <c r="B218" t="s">
        <v>3</v>
      </c>
      <c r="C218">
        <f t="shared" ref="C218:C223" si="204">IF(A218=C$215,MIN(C201,C$209),0)</f>
        <v>0</v>
      </c>
      <c r="D218">
        <f t="shared" ref="D218:L218" si="205">IF($A218=D$215,MIN(D201,D$209),0)</f>
        <v>0</v>
      </c>
      <c r="E218">
        <f t="shared" si="205"/>
        <v>0</v>
      </c>
      <c r="F218">
        <f t="shared" si="205"/>
        <v>0</v>
      </c>
      <c r="G218">
        <f t="shared" si="205"/>
        <v>0</v>
      </c>
      <c r="H218">
        <f t="shared" si="205"/>
        <v>0</v>
      </c>
      <c r="I218">
        <f t="shared" si="205"/>
        <v>0</v>
      </c>
      <c r="J218">
        <f t="shared" si="205"/>
        <v>0</v>
      </c>
      <c r="K218" s="248">
        <f t="shared" si="205"/>
        <v>0</v>
      </c>
      <c r="L218" s="3">
        <f t="shared" si="205"/>
        <v>0</v>
      </c>
      <c r="M218" s="3">
        <f t="shared" ref="M218:W218" si="206">IF($A218=M$215,MIN(M201,M$209),0)</f>
        <v>0</v>
      </c>
      <c r="N218" s="3">
        <f t="shared" si="206"/>
        <v>0</v>
      </c>
      <c r="O218" s="3">
        <f t="shared" si="206"/>
        <v>0</v>
      </c>
      <c r="P218" s="387">
        <f t="shared" si="206"/>
        <v>0</v>
      </c>
      <c r="Q218" s="3">
        <f t="shared" si="206"/>
        <v>0</v>
      </c>
      <c r="R218" s="3">
        <f t="shared" si="206"/>
        <v>0</v>
      </c>
      <c r="S218" s="3">
        <f t="shared" si="206"/>
        <v>0</v>
      </c>
      <c r="T218" s="3">
        <f t="shared" si="206"/>
        <v>0</v>
      </c>
      <c r="U218" s="3">
        <f t="shared" si="206"/>
        <v>0</v>
      </c>
      <c r="V218" s="3">
        <f t="shared" si="206"/>
        <v>0</v>
      </c>
      <c r="W218" s="3">
        <f t="shared" si="206"/>
        <v>0</v>
      </c>
      <c r="X218" s="3">
        <f t="shared" si="202"/>
        <v>0</v>
      </c>
      <c r="Y218" s="3">
        <f t="shared" si="202"/>
        <v>0</v>
      </c>
      <c r="Z218" s="3">
        <f t="shared" si="202"/>
        <v>0</v>
      </c>
      <c r="AA218" s="3">
        <f t="shared" si="202"/>
        <v>0</v>
      </c>
      <c r="AB218" s="3">
        <f t="shared" ref="AB218" si="207">IF($A218=AB$215,MIN(AB201,AB$209),0)</f>
        <v>0</v>
      </c>
    </row>
    <row r="219" spans="1:28" x14ac:dyDescent="0.2">
      <c r="A219" s="3">
        <v>3</v>
      </c>
      <c r="B219" t="s">
        <v>29</v>
      </c>
      <c r="C219">
        <f t="shared" si="204"/>
        <v>0</v>
      </c>
      <c r="D219">
        <f t="shared" ref="D219:E223" si="208">IF($A219=D$215,MIN(D202,D$209),0)</f>
        <v>0</v>
      </c>
      <c r="E219">
        <f t="shared" si="208"/>
        <v>0</v>
      </c>
      <c r="F219">
        <f t="shared" ref="F219:K223" si="209">IF($A219=F$215,MIN(F202,F$209),0)</f>
        <v>0</v>
      </c>
      <c r="G219">
        <f t="shared" si="209"/>
        <v>0</v>
      </c>
      <c r="H219">
        <f t="shared" si="209"/>
        <v>0</v>
      </c>
      <c r="I219">
        <f t="shared" si="209"/>
        <v>0</v>
      </c>
      <c r="J219">
        <f t="shared" si="209"/>
        <v>0</v>
      </c>
      <c r="K219" s="248">
        <f t="shared" si="209"/>
        <v>0</v>
      </c>
      <c r="L219" s="3">
        <f t="shared" ref="L219:W219" si="210">IF($A219=L$215,MIN(L202,L$209),0)</f>
        <v>0</v>
      </c>
      <c r="M219" s="3">
        <f t="shared" si="210"/>
        <v>0</v>
      </c>
      <c r="N219" s="3">
        <f t="shared" si="210"/>
        <v>0</v>
      </c>
      <c r="O219" s="3">
        <f t="shared" si="210"/>
        <v>0</v>
      </c>
      <c r="P219" s="387">
        <f t="shared" si="210"/>
        <v>0</v>
      </c>
      <c r="Q219" s="3">
        <f t="shared" si="210"/>
        <v>0</v>
      </c>
      <c r="R219" s="3">
        <f t="shared" si="210"/>
        <v>0</v>
      </c>
      <c r="S219" s="3">
        <f t="shared" si="210"/>
        <v>0</v>
      </c>
      <c r="T219" s="3">
        <f t="shared" si="210"/>
        <v>0</v>
      </c>
      <c r="U219" s="3">
        <f t="shared" si="210"/>
        <v>0</v>
      </c>
      <c r="V219" s="3">
        <f t="shared" si="210"/>
        <v>0</v>
      </c>
      <c r="W219" s="3">
        <f t="shared" si="210"/>
        <v>0</v>
      </c>
      <c r="X219" s="3">
        <f t="shared" si="202"/>
        <v>0</v>
      </c>
      <c r="Y219" s="3">
        <f t="shared" si="202"/>
        <v>0</v>
      </c>
      <c r="Z219" s="3">
        <f t="shared" si="202"/>
        <v>0</v>
      </c>
      <c r="AA219" s="3">
        <f t="shared" si="202"/>
        <v>0</v>
      </c>
      <c r="AB219" s="3">
        <f t="shared" ref="AB219" si="211">IF($A219=AB$215,MIN(AB202,AB$209),0)</f>
        <v>0</v>
      </c>
    </row>
    <row r="220" spans="1:28" x14ac:dyDescent="0.2">
      <c r="A220" s="3">
        <v>4</v>
      </c>
      <c r="B220" t="s">
        <v>5</v>
      </c>
      <c r="C220">
        <f t="shared" si="204"/>
        <v>0</v>
      </c>
      <c r="D220">
        <f t="shared" si="208"/>
        <v>0</v>
      </c>
      <c r="E220">
        <f t="shared" si="208"/>
        <v>0</v>
      </c>
      <c r="F220">
        <f t="shared" si="209"/>
        <v>0</v>
      </c>
      <c r="G220">
        <f t="shared" si="209"/>
        <v>0</v>
      </c>
      <c r="H220">
        <f t="shared" si="209"/>
        <v>0</v>
      </c>
      <c r="I220">
        <f t="shared" si="209"/>
        <v>0</v>
      </c>
      <c r="J220">
        <f t="shared" si="209"/>
        <v>0</v>
      </c>
      <c r="K220" s="312">
        <f t="shared" si="209"/>
        <v>2014937.1389670726</v>
      </c>
      <c r="L220" s="3">
        <f t="shared" ref="L220:W220" si="212">IF($A220=L$215,MIN(L203,L$209),0)</f>
        <v>0</v>
      </c>
      <c r="M220" s="3">
        <f t="shared" si="212"/>
        <v>2685167.4237102456</v>
      </c>
      <c r="N220" s="3">
        <f t="shared" si="212"/>
        <v>0</v>
      </c>
      <c r="O220" s="3">
        <f t="shared" si="212"/>
        <v>0</v>
      </c>
      <c r="P220" s="387">
        <f t="shared" si="212"/>
        <v>0</v>
      </c>
      <c r="Q220" s="3">
        <f t="shared" si="212"/>
        <v>7320222.816590949</v>
      </c>
      <c r="R220" s="3">
        <f t="shared" si="212"/>
        <v>0</v>
      </c>
      <c r="S220" s="3">
        <f t="shared" si="212"/>
        <v>9600295.6435004547</v>
      </c>
      <c r="T220" s="3">
        <f t="shared" si="212"/>
        <v>0</v>
      </c>
      <c r="U220" s="3">
        <f t="shared" si="212"/>
        <v>10193485.744407438</v>
      </c>
      <c r="V220" s="3">
        <f t="shared" si="212"/>
        <v>0</v>
      </c>
      <c r="W220" s="3">
        <f t="shared" si="212"/>
        <v>12327687.187266065</v>
      </c>
      <c r="X220" s="3">
        <f t="shared" si="202"/>
        <v>0</v>
      </c>
      <c r="Y220" s="3">
        <f t="shared" si="202"/>
        <v>4076720.249582652</v>
      </c>
      <c r="Z220" s="3">
        <f t="shared" si="202"/>
        <v>0</v>
      </c>
      <c r="AA220" s="3">
        <f t="shared" si="202"/>
        <v>0</v>
      </c>
      <c r="AB220" s="3">
        <f t="shared" ref="AB220" si="213">IF($A220=AB$215,MIN(AB203,AB$209),0)</f>
        <v>0</v>
      </c>
    </row>
    <row r="221" spans="1:28" x14ac:dyDescent="0.2">
      <c r="A221" s="3">
        <v>5</v>
      </c>
      <c r="B221" t="s">
        <v>6</v>
      </c>
      <c r="C221">
        <f t="shared" si="204"/>
        <v>0</v>
      </c>
      <c r="D221">
        <f t="shared" si="208"/>
        <v>0</v>
      </c>
      <c r="E221">
        <f t="shared" si="208"/>
        <v>0</v>
      </c>
      <c r="F221">
        <f t="shared" si="209"/>
        <v>0</v>
      </c>
      <c r="G221">
        <f t="shared" si="209"/>
        <v>0</v>
      </c>
      <c r="H221">
        <f t="shared" si="209"/>
        <v>0</v>
      </c>
      <c r="I221">
        <f t="shared" si="209"/>
        <v>0</v>
      </c>
      <c r="J221">
        <f t="shared" si="209"/>
        <v>0</v>
      </c>
      <c r="K221" s="248">
        <f t="shared" si="209"/>
        <v>0</v>
      </c>
      <c r="L221" s="3">
        <f t="shared" ref="L221:W221" si="214">IF($A221=L$215,MIN(L204,L$209),0)</f>
        <v>0</v>
      </c>
      <c r="M221" s="3">
        <f t="shared" si="214"/>
        <v>0</v>
      </c>
      <c r="N221" s="3">
        <f t="shared" si="214"/>
        <v>0</v>
      </c>
      <c r="O221" s="3">
        <f t="shared" si="214"/>
        <v>0</v>
      </c>
      <c r="P221" s="387">
        <f t="shared" si="214"/>
        <v>0</v>
      </c>
      <c r="Q221" s="3">
        <f t="shared" si="214"/>
        <v>0</v>
      </c>
      <c r="R221" s="3">
        <f t="shared" si="214"/>
        <v>0</v>
      </c>
      <c r="S221" s="3">
        <f t="shared" si="214"/>
        <v>0</v>
      </c>
      <c r="T221" s="3">
        <f t="shared" si="214"/>
        <v>0</v>
      </c>
      <c r="U221" s="3">
        <f t="shared" si="214"/>
        <v>0</v>
      </c>
      <c r="V221" s="3">
        <f t="shared" si="214"/>
        <v>0</v>
      </c>
      <c r="W221" s="3">
        <f t="shared" si="214"/>
        <v>0</v>
      </c>
      <c r="X221" s="3">
        <f t="shared" si="202"/>
        <v>0</v>
      </c>
      <c r="Y221" s="3">
        <f t="shared" si="202"/>
        <v>0</v>
      </c>
      <c r="Z221" s="3">
        <f t="shared" si="202"/>
        <v>0</v>
      </c>
      <c r="AA221" s="3">
        <f t="shared" si="202"/>
        <v>0</v>
      </c>
      <c r="AB221" s="3">
        <f t="shared" ref="AB221" si="215">IF($A221=AB$215,MIN(AB204,AB$209),0)</f>
        <v>0</v>
      </c>
    </row>
    <row r="222" spans="1:28" x14ac:dyDescent="0.2">
      <c r="A222" s="3">
        <v>6</v>
      </c>
      <c r="B222" t="s">
        <v>1</v>
      </c>
      <c r="C222">
        <f t="shared" si="204"/>
        <v>0</v>
      </c>
      <c r="D222">
        <f t="shared" si="208"/>
        <v>0</v>
      </c>
      <c r="E222">
        <f t="shared" si="208"/>
        <v>0</v>
      </c>
      <c r="F222">
        <f t="shared" si="209"/>
        <v>0</v>
      </c>
      <c r="G222">
        <f t="shared" si="209"/>
        <v>0</v>
      </c>
      <c r="H222">
        <f t="shared" si="209"/>
        <v>0</v>
      </c>
      <c r="I222">
        <f t="shared" si="209"/>
        <v>0</v>
      </c>
      <c r="J222">
        <f t="shared" si="209"/>
        <v>0</v>
      </c>
      <c r="K222" s="248">
        <f t="shared" si="209"/>
        <v>0</v>
      </c>
      <c r="L222" s="3">
        <f t="shared" ref="L222:W222" si="216">IF($A222=L$215,MIN(L205,L$209),0)</f>
        <v>2378621.7642318895</v>
      </c>
      <c r="M222" s="3">
        <f t="shared" si="216"/>
        <v>0</v>
      </c>
      <c r="N222" s="3">
        <f t="shared" si="216"/>
        <v>3118977.1624458209</v>
      </c>
      <c r="O222" s="3">
        <f t="shared" si="216"/>
        <v>0</v>
      </c>
      <c r="P222" s="387">
        <f t="shared" si="216"/>
        <v>8476379.7999308631</v>
      </c>
      <c r="Q222" s="3">
        <f t="shared" si="216"/>
        <v>0</v>
      </c>
      <c r="R222" s="3">
        <f t="shared" si="216"/>
        <v>9064752.8449438512</v>
      </c>
      <c r="S222" s="3">
        <f t="shared" si="216"/>
        <v>0</v>
      </c>
      <c r="T222" s="3">
        <f t="shared" si="216"/>
        <v>0</v>
      </c>
      <c r="U222" s="3">
        <f t="shared" si="216"/>
        <v>0</v>
      </c>
      <c r="V222" s="3">
        <f t="shared" si="216"/>
        <v>12039058.522376768</v>
      </c>
      <c r="W222" s="3">
        <f t="shared" si="216"/>
        <v>0</v>
      </c>
      <c r="X222" s="3">
        <f t="shared" si="202"/>
        <v>4328017.4349886533</v>
      </c>
      <c r="Y222" s="3">
        <f t="shared" si="202"/>
        <v>0</v>
      </c>
      <c r="Z222" s="3">
        <f t="shared" si="202"/>
        <v>0</v>
      </c>
      <c r="AA222" s="3">
        <f t="shared" si="202"/>
        <v>0</v>
      </c>
      <c r="AB222" s="3">
        <f t="shared" ref="AB222" si="217">IF($A222=AB$215,MIN(AB205,AB$209),0)</f>
        <v>0</v>
      </c>
    </row>
    <row r="223" spans="1:28" x14ac:dyDescent="0.2">
      <c r="A223" s="3">
        <v>7</v>
      </c>
      <c r="B223" t="s">
        <v>2</v>
      </c>
      <c r="C223">
        <f t="shared" si="204"/>
        <v>0</v>
      </c>
      <c r="D223">
        <f t="shared" si="208"/>
        <v>0</v>
      </c>
      <c r="E223">
        <f t="shared" si="208"/>
        <v>0</v>
      </c>
      <c r="F223">
        <f t="shared" si="209"/>
        <v>0</v>
      </c>
      <c r="G223">
        <f t="shared" si="209"/>
        <v>0</v>
      </c>
      <c r="H223">
        <f t="shared" si="209"/>
        <v>0</v>
      </c>
      <c r="I223">
        <f t="shared" si="209"/>
        <v>0</v>
      </c>
      <c r="J223">
        <f t="shared" si="209"/>
        <v>0</v>
      </c>
      <c r="K223" s="248">
        <f t="shared" si="209"/>
        <v>0</v>
      </c>
      <c r="L223" s="3">
        <f t="shared" ref="L223:W223" si="218">IF($A223=L$215,MIN(L206,L$209),0)</f>
        <v>0</v>
      </c>
      <c r="M223" s="3">
        <f t="shared" si="218"/>
        <v>0</v>
      </c>
      <c r="N223" s="3">
        <f t="shared" si="218"/>
        <v>0</v>
      </c>
      <c r="O223" s="3">
        <f t="shared" si="218"/>
        <v>5174250.8518316224</v>
      </c>
      <c r="P223" s="387">
        <f t="shared" si="218"/>
        <v>0</v>
      </c>
      <c r="Q223" s="3">
        <f t="shared" si="218"/>
        <v>0</v>
      </c>
      <c r="R223" s="3">
        <f t="shared" si="218"/>
        <v>0</v>
      </c>
      <c r="S223" s="3">
        <f t="shared" si="218"/>
        <v>0</v>
      </c>
      <c r="T223" s="3">
        <f t="shared" si="218"/>
        <v>7736620.3914492186</v>
      </c>
      <c r="U223" s="3">
        <f t="shared" si="218"/>
        <v>0</v>
      </c>
      <c r="V223" s="3">
        <f t="shared" si="218"/>
        <v>0</v>
      </c>
      <c r="W223" s="3">
        <f t="shared" si="218"/>
        <v>0</v>
      </c>
      <c r="X223" s="3">
        <f t="shared" si="202"/>
        <v>0</v>
      </c>
      <c r="Y223" s="3">
        <f t="shared" si="202"/>
        <v>0</v>
      </c>
      <c r="Z223" s="3">
        <f t="shared" si="202"/>
        <v>0</v>
      </c>
      <c r="AA223" s="3">
        <f t="shared" si="202"/>
        <v>0</v>
      </c>
      <c r="AB223" s="3">
        <f t="shared" ref="AB223" si="219">IF($A223=AB$215,MIN(AB206,AB$209),0)</f>
        <v>0</v>
      </c>
    </row>
    <row r="224" spans="1:28" x14ac:dyDescent="0.2">
      <c r="A224" s="3"/>
      <c r="B224" s="78" t="s">
        <v>93</v>
      </c>
      <c r="C224">
        <f>SUM(C217:C223)</f>
        <v>0</v>
      </c>
      <c r="D224">
        <f t="shared" ref="D224:AA224" si="220">SUM(D217:D223)</f>
        <v>0</v>
      </c>
      <c r="E224">
        <f t="shared" si="220"/>
        <v>0</v>
      </c>
      <c r="F224">
        <f t="shared" si="220"/>
        <v>0</v>
      </c>
      <c r="G224">
        <f t="shared" si="220"/>
        <v>0</v>
      </c>
      <c r="H224">
        <f t="shared" si="220"/>
        <v>0</v>
      </c>
      <c r="I224">
        <f t="shared" si="220"/>
        <v>0</v>
      </c>
      <c r="J224">
        <f t="shared" si="220"/>
        <v>0</v>
      </c>
      <c r="K224" s="248">
        <f t="shared" si="220"/>
        <v>2014937.1389670726</v>
      </c>
      <c r="L224" s="27">
        <f t="shared" si="220"/>
        <v>2378621.7642318895</v>
      </c>
      <c r="M224" s="27">
        <f t="shared" si="220"/>
        <v>2685167.4237102456</v>
      </c>
      <c r="N224" s="27">
        <f t="shared" si="220"/>
        <v>3118977.1624458209</v>
      </c>
      <c r="O224" s="27">
        <f t="shared" si="220"/>
        <v>5174250.8518316224</v>
      </c>
      <c r="P224" s="391">
        <f t="shared" si="220"/>
        <v>8476379.7999308631</v>
      </c>
      <c r="Q224" s="27">
        <f t="shared" si="220"/>
        <v>7320222.816590949</v>
      </c>
      <c r="R224" s="27">
        <f t="shared" si="220"/>
        <v>9064752.8449438512</v>
      </c>
      <c r="S224" s="27">
        <f t="shared" si="220"/>
        <v>9600295.6435004547</v>
      </c>
      <c r="T224" s="27">
        <f t="shared" si="220"/>
        <v>7736620.3914492186</v>
      </c>
      <c r="U224" s="27">
        <f t="shared" si="220"/>
        <v>10193485.744407438</v>
      </c>
      <c r="V224" s="27">
        <f t="shared" si="220"/>
        <v>12039058.522376768</v>
      </c>
      <c r="W224" s="27">
        <f t="shared" si="220"/>
        <v>12327687.187266065</v>
      </c>
      <c r="X224" s="27">
        <f t="shared" si="220"/>
        <v>4328017.4349886533</v>
      </c>
      <c r="Y224" s="27">
        <f t="shared" si="220"/>
        <v>4076720.249582652</v>
      </c>
      <c r="Z224" s="27">
        <f t="shared" si="220"/>
        <v>0</v>
      </c>
      <c r="AA224" s="27">
        <f t="shared" si="220"/>
        <v>0</v>
      </c>
      <c r="AB224" s="27">
        <f t="shared" ref="AB224" si="221">SUM(AB217:AB223)</f>
        <v>0</v>
      </c>
    </row>
    <row r="225" spans="1:29" x14ac:dyDescent="0.2">
      <c r="A225" s="3"/>
    </row>
    <row r="226" spans="1:29" x14ac:dyDescent="0.2">
      <c r="A226" s="3"/>
      <c r="B226" s="137" t="s">
        <v>99</v>
      </c>
      <c r="C226" s="38">
        <f>C209-C224</f>
        <v>3579182.0715725021</v>
      </c>
      <c r="D226" s="38">
        <f t="shared" ref="D226:AB226" si="222">D209-D224</f>
        <v>4339147.7612991668</v>
      </c>
      <c r="E226" s="38">
        <f t="shared" si="222"/>
        <v>5041192.6498998236</v>
      </c>
      <c r="F226" s="38">
        <f t="shared" si="222"/>
        <v>6811753.9982340001</v>
      </c>
      <c r="G226" s="38">
        <f t="shared" si="222"/>
        <v>7276817.2261948278</v>
      </c>
      <c r="H226" s="38">
        <f t="shared" si="222"/>
        <v>4667398.1521703219</v>
      </c>
      <c r="I226" s="38">
        <f t="shared" si="222"/>
        <v>6401307.3610291723</v>
      </c>
      <c r="J226" s="38">
        <f t="shared" si="222"/>
        <v>7865481.0863808226</v>
      </c>
      <c r="K226" s="251">
        <f t="shared" si="222"/>
        <v>0</v>
      </c>
      <c r="L226" s="76">
        <f t="shared" si="222"/>
        <v>0</v>
      </c>
      <c r="M226" s="76">
        <f t="shared" si="222"/>
        <v>0</v>
      </c>
      <c r="N226" s="76">
        <f t="shared" si="222"/>
        <v>0</v>
      </c>
      <c r="O226" s="76">
        <f t="shared" si="222"/>
        <v>0</v>
      </c>
      <c r="P226" s="390">
        <f t="shared" si="222"/>
        <v>0</v>
      </c>
      <c r="Q226" s="76">
        <f t="shared" si="222"/>
        <v>3474006.4534605229</v>
      </c>
      <c r="R226" s="76">
        <f t="shared" si="222"/>
        <v>1174504.262320511</v>
      </c>
      <c r="S226" s="76">
        <f t="shared" si="222"/>
        <v>0</v>
      </c>
      <c r="T226" s="76">
        <f t="shared" si="222"/>
        <v>1641221.3231646325</v>
      </c>
      <c r="U226" s="76">
        <f t="shared" si="222"/>
        <v>0</v>
      </c>
      <c r="V226" s="76">
        <f t="shared" si="222"/>
        <v>0</v>
      </c>
      <c r="W226" s="76">
        <f t="shared" si="222"/>
        <v>3182718.9155238364</v>
      </c>
      <c r="X226" s="76">
        <f t="shared" si="222"/>
        <v>17256687.058475293</v>
      </c>
      <c r="Y226" s="76">
        <f t="shared" si="222"/>
        <v>29051743.092242945</v>
      </c>
      <c r="Z226" s="76">
        <f t="shared" si="222"/>
        <v>48378682.371660665</v>
      </c>
      <c r="AA226" s="76">
        <f t="shared" si="222"/>
        <v>77221973.702052146</v>
      </c>
      <c r="AB226" s="76">
        <f t="shared" si="222"/>
        <v>153647810.07906795</v>
      </c>
    </row>
    <row r="227" spans="1:29" x14ac:dyDescent="0.2">
      <c r="A227" s="3"/>
    </row>
    <row r="228" spans="1:29" x14ac:dyDescent="0.2">
      <c r="A228" s="59"/>
      <c r="B228" s="137" t="s">
        <v>94</v>
      </c>
    </row>
    <row r="229" spans="1:29" x14ac:dyDescent="0.2">
      <c r="A229" s="3">
        <v>1</v>
      </c>
      <c r="B229" t="s">
        <v>41</v>
      </c>
      <c r="C229">
        <f>IF($A229=C$215,-1000000,C175)</f>
        <v>4.0223066402473855E-2</v>
      </c>
      <c r="D229">
        <f t="shared" ref="D229:L229" si="223">IF($A229=D$215,-1000000,D175)</f>
        <v>7.515171639031086E-2</v>
      </c>
      <c r="E229">
        <f t="shared" si="223"/>
        <v>0.13214835769475825</v>
      </c>
      <c r="F229">
        <f t="shared" si="223"/>
        <v>8.877693893692333E-2</v>
      </c>
      <c r="G229">
        <f t="shared" si="223"/>
        <v>6.7407780346147167E-2</v>
      </c>
      <c r="H229">
        <f t="shared" si="223"/>
        <v>7.3184554112147832E-2</v>
      </c>
      <c r="I229">
        <f t="shared" si="223"/>
        <v>6.441728862035033E-2</v>
      </c>
      <c r="J229">
        <f t="shared" si="223"/>
        <v>5.6938769340430462E-2</v>
      </c>
      <c r="K229" s="248">
        <f t="shared" si="223"/>
        <v>5.6193970799165868E-2</v>
      </c>
      <c r="L229" s="3">
        <f t="shared" si="223"/>
        <v>6.5247013622210873E-2</v>
      </c>
      <c r="M229" s="3">
        <f t="shared" ref="M229:AA229" si="224">IF($A229=M$215,-1000000,M175)</f>
        <v>7.2693131305107753E-2</v>
      </c>
      <c r="N229" s="3">
        <f t="shared" si="224"/>
        <v>7.8445105350049435E-2</v>
      </c>
      <c r="O229" s="3">
        <f t="shared" si="224"/>
        <v>0.13167343195760525</v>
      </c>
      <c r="P229" s="387">
        <f t="shared" si="224"/>
        <v>0.10501072643371959</v>
      </c>
      <c r="Q229" s="3">
        <f t="shared" si="224"/>
        <v>0.10172677007420894</v>
      </c>
      <c r="R229" s="3">
        <f t="shared" si="224"/>
        <v>0.11683254670013099</v>
      </c>
      <c r="S229" s="3">
        <f t="shared" si="224"/>
        <v>0.11877746846311751</v>
      </c>
      <c r="T229" s="3">
        <f t="shared" si="224"/>
        <v>0.10625159812537399</v>
      </c>
      <c r="U229" s="3">
        <f t="shared" si="224"/>
        <v>0.10366479890188537</v>
      </c>
      <c r="V229" s="3">
        <f t="shared" si="224"/>
        <v>9.3025184012785297E-2</v>
      </c>
      <c r="W229" s="3">
        <f t="shared" si="224"/>
        <v>9.7817173449166836E-2</v>
      </c>
      <c r="X229" s="3">
        <f t="shared" si="224"/>
        <v>0.13725969247373501</v>
      </c>
      <c r="Y229" s="3">
        <f t="shared" si="224"/>
        <v>0.16153054425072538</v>
      </c>
      <c r="Z229" s="3">
        <f t="shared" si="224"/>
        <v>0.13796103679100594</v>
      </c>
      <c r="AA229" s="3">
        <f t="shared" si="224"/>
        <v>0.11714497374828843</v>
      </c>
      <c r="AB229" s="3">
        <f t="shared" ref="AB229" si="225">IF($A229=AB$215,-1000000,AB175)</f>
        <v>0</v>
      </c>
      <c r="AC229" s="3">
        <v>1</v>
      </c>
    </row>
    <row r="230" spans="1:29" x14ac:dyDescent="0.2">
      <c r="A230" s="3">
        <v>2</v>
      </c>
      <c r="B230" t="s">
        <v>3</v>
      </c>
      <c r="C230">
        <f t="shared" ref="C230:L235" si="226">IF($A230=C$215,-1000000,C176)</f>
        <v>-1000000</v>
      </c>
      <c r="D230">
        <f t="shared" si="226"/>
        <v>0.29344549735466091</v>
      </c>
      <c r="E230">
        <f t="shared" si="226"/>
        <v>0.22742579053984086</v>
      </c>
      <c r="F230">
        <f t="shared" si="226"/>
        <v>0.10739984077107713</v>
      </c>
      <c r="G230">
        <f t="shared" si="226"/>
        <v>8.3617379908936182E-2</v>
      </c>
      <c r="H230">
        <f t="shared" si="226"/>
        <v>0.140342188087971</v>
      </c>
      <c r="I230">
        <f t="shared" si="226"/>
        <v>0.17719899523083338</v>
      </c>
      <c r="J230">
        <f t="shared" si="226"/>
        <v>0.22191378724901939</v>
      </c>
      <c r="K230" s="248">
        <f t="shared" si="226"/>
        <v>7.549375707682153E-2</v>
      </c>
      <c r="L230" s="3">
        <f t="shared" si="226"/>
        <v>0.12100192804470275</v>
      </c>
      <c r="M230" s="3">
        <f t="shared" ref="M230:AA230" si="227">IF($A230=M$215,-1000000,M176)</f>
        <v>0.12829422333309815</v>
      </c>
      <c r="N230" s="3">
        <f t="shared" si="227"/>
        <v>0.1278721404064623</v>
      </c>
      <c r="O230" s="3">
        <f t="shared" si="227"/>
        <v>2.6441780308304203E-2</v>
      </c>
      <c r="P230" s="387">
        <f t="shared" si="227"/>
        <v>6.4799896016057179E-2</v>
      </c>
      <c r="Q230" s="3">
        <f t="shared" si="227"/>
        <v>8.9348162585566701E-2</v>
      </c>
      <c r="R230" s="3">
        <f t="shared" si="227"/>
        <v>0.11582676128308356</v>
      </c>
      <c r="S230" s="3">
        <f t="shared" si="227"/>
        <v>9.7110648571767003E-2</v>
      </c>
      <c r="T230" s="3">
        <f t="shared" si="227"/>
        <v>0.10050239705922208</v>
      </c>
      <c r="U230" s="3">
        <f t="shared" si="227"/>
        <v>8.8987068487399679E-2</v>
      </c>
      <c r="V230" s="3">
        <f t="shared" si="227"/>
        <v>0.10007248764287122</v>
      </c>
      <c r="W230" s="3">
        <f t="shared" si="227"/>
        <v>0.11622074871860458</v>
      </c>
      <c r="X230" s="3">
        <f t="shared" si="227"/>
        <v>5.0963437826310305E-2</v>
      </c>
      <c r="Y230" s="3">
        <f t="shared" si="227"/>
        <v>0</v>
      </c>
      <c r="Z230" s="3">
        <f t="shared" si="227"/>
        <v>0</v>
      </c>
      <c r="AA230" s="3">
        <f t="shared" si="227"/>
        <v>0</v>
      </c>
      <c r="AB230" s="3">
        <f t="shared" ref="AB230" si="228">IF($A230=AB$215,-1000000,AB176)</f>
        <v>0</v>
      </c>
      <c r="AC230" s="3">
        <v>2</v>
      </c>
    </row>
    <row r="231" spans="1:29" x14ac:dyDescent="0.2">
      <c r="A231" s="3">
        <v>3</v>
      </c>
      <c r="B231" t="s">
        <v>29</v>
      </c>
      <c r="C231">
        <f t="shared" si="226"/>
        <v>4.59031582839882E-2</v>
      </c>
      <c r="D231">
        <f t="shared" si="226"/>
        <v>6.8714997321758189E-2</v>
      </c>
      <c r="E231">
        <f t="shared" si="226"/>
        <v>2.793811565293286E-2</v>
      </c>
      <c r="F231">
        <f t="shared" si="226"/>
        <v>3.043514587355416E-2</v>
      </c>
      <c r="G231">
        <f t="shared" si="226"/>
        <v>4.3875058777426035E-2</v>
      </c>
      <c r="H231">
        <f t="shared" si="226"/>
        <v>0</v>
      </c>
      <c r="I231">
        <f t="shared" si="226"/>
        <v>8.4582438178919875E-3</v>
      </c>
      <c r="J231">
        <f t="shared" si="226"/>
        <v>4.8338058410877634E-2</v>
      </c>
      <c r="K231" s="248">
        <f t="shared" si="226"/>
        <v>0.16015364588102812</v>
      </c>
      <c r="L231" s="3">
        <f t="shared" si="226"/>
        <v>9.9025160649915928E-2</v>
      </c>
      <c r="M231" s="3">
        <f t="shared" ref="M231:AA231" si="229">IF($A231=M$215,-1000000,M177)</f>
        <v>9.4372133407876771E-2</v>
      </c>
      <c r="N231" s="3">
        <f t="shared" si="229"/>
        <v>9.4838593677294011E-2</v>
      </c>
      <c r="O231" s="3">
        <f t="shared" si="229"/>
        <v>0.12067430921954436</v>
      </c>
      <c r="P231" s="387">
        <f t="shared" si="229"/>
        <v>0.12827131892883833</v>
      </c>
      <c r="Q231" s="3">
        <f t="shared" si="229"/>
        <v>0.14099332351212165</v>
      </c>
      <c r="R231" s="3">
        <f t="shared" si="229"/>
        <v>0.16492494605876432</v>
      </c>
      <c r="S231" s="3">
        <f t="shared" si="229"/>
        <v>0.15550257610544485</v>
      </c>
      <c r="T231" s="3">
        <f t="shared" si="229"/>
        <v>0.14091894976185954</v>
      </c>
      <c r="U231" s="3">
        <f t="shared" si="229"/>
        <v>0.13595322720490188</v>
      </c>
      <c r="V231" s="3">
        <f t="shared" si="229"/>
        <v>0.11429718334065875</v>
      </c>
      <c r="W231" s="3">
        <f t="shared" si="229"/>
        <v>9.8343792727686896E-2</v>
      </c>
      <c r="X231" s="3">
        <f t="shared" si="229"/>
        <v>9.1924670424457469E-2</v>
      </c>
      <c r="Y231" s="3">
        <f t="shared" si="229"/>
        <v>0.12716964930103508</v>
      </c>
      <c r="Z231" s="3">
        <f t="shared" si="229"/>
        <v>0.10814124714738031</v>
      </c>
      <c r="AA231" s="3">
        <f t="shared" si="229"/>
        <v>8.3540807419010543E-2</v>
      </c>
      <c r="AB231" s="3">
        <f t="shared" ref="AB231" si="230">IF($A231=AB$215,-1000000,AB177)</f>
        <v>0.12637448945126656</v>
      </c>
      <c r="AC231" s="3">
        <v>3</v>
      </c>
    </row>
    <row r="232" spans="1:29" x14ac:dyDescent="0.2">
      <c r="A232" s="3">
        <v>4</v>
      </c>
      <c r="B232" t="s">
        <v>5</v>
      </c>
      <c r="C232">
        <f t="shared" si="226"/>
        <v>3.0692903706995126E-2</v>
      </c>
      <c r="D232">
        <f t="shared" si="226"/>
        <v>0</v>
      </c>
      <c r="E232">
        <f t="shared" si="226"/>
        <v>0</v>
      </c>
      <c r="F232">
        <f t="shared" si="226"/>
        <v>3.4557022077887654E-2</v>
      </c>
      <c r="G232">
        <f t="shared" si="226"/>
        <v>4.1916160265811894E-2</v>
      </c>
      <c r="H232">
        <f t="shared" si="226"/>
        <v>0.2101146571389633</v>
      </c>
      <c r="I232">
        <f t="shared" si="226"/>
        <v>-1000000</v>
      </c>
      <c r="J232">
        <f t="shared" si="226"/>
        <v>-1000000</v>
      </c>
      <c r="K232" s="248">
        <f t="shared" si="226"/>
        <v>-1000000</v>
      </c>
      <c r="L232" s="3">
        <f t="shared" si="226"/>
        <v>0.19035861010870456</v>
      </c>
      <c r="M232" s="3">
        <f t="shared" ref="M232:AA232" si="231">IF($A232=M$215,-1000000,M178)</f>
        <v>-1000000</v>
      </c>
      <c r="N232" s="3">
        <f t="shared" si="231"/>
        <v>0.18392336575638052</v>
      </c>
      <c r="O232" s="3">
        <f t="shared" si="231"/>
        <v>0.20851842111925725</v>
      </c>
      <c r="P232" s="387">
        <f t="shared" si="231"/>
        <v>0.22035355151476452</v>
      </c>
      <c r="Q232" s="3">
        <f t="shared" si="231"/>
        <v>-1000000</v>
      </c>
      <c r="R232" s="3">
        <f t="shared" si="231"/>
        <v>0.1128219733439188</v>
      </c>
      <c r="S232" s="3">
        <f t="shared" si="231"/>
        <v>-1000000</v>
      </c>
      <c r="T232" s="3">
        <f t="shared" si="231"/>
        <v>0.15696575535130544</v>
      </c>
      <c r="U232" s="3">
        <f t="shared" si="231"/>
        <v>-1000000</v>
      </c>
      <c r="V232" s="3">
        <f t="shared" si="231"/>
        <v>0.18193665932276931</v>
      </c>
      <c r="W232" s="3">
        <f t="shared" si="231"/>
        <v>-1000000</v>
      </c>
      <c r="X232" s="3">
        <f t="shared" si="231"/>
        <v>0.150090610726868</v>
      </c>
      <c r="Y232" s="3">
        <f t="shared" si="231"/>
        <v>-1000000</v>
      </c>
      <c r="Z232" s="3">
        <f t="shared" si="231"/>
        <v>-1000000</v>
      </c>
      <c r="AA232" s="3">
        <f t="shared" si="231"/>
        <v>-1000000</v>
      </c>
      <c r="AB232" s="3">
        <f t="shared" ref="AB232" si="232">IF($A232=AB$215,-1000000,AB178)</f>
        <v>0</v>
      </c>
      <c r="AC232" s="3">
        <v>4</v>
      </c>
    </row>
    <row r="233" spans="1:29" x14ac:dyDescent="0.2">
      <c r="A233" s="3">
        <v>5</v>
      </c>
      <c r="B233" t="s">
        <v>6</v>
      </c>
      <c r="C233">
        <f t="shared" si="226"/>
        <v>0.26499912417665161</v>
      </c>
      <c r="D233">
        <f t="shared" si="226"/>
        <v>-1000000</v>
      </c>
      <c r="E233">
        <f t="shared" si="226"/>
        <v>-1000000</v>
      </c>
      <c r="F233">
        <f t="shared" si="226"/>
        <v>0.16675242563664083</v>
      </c>
      <c r="G233">
        <f t="shared" si="226"/>
        <v>0.20095949436801017</v>
      </c>
      <c r="H233">
        <f t="shared" si="226"/>
        <v>1.424554279281426E-2</v>
      </c>
      <c r="I233">
        <f t="shared" si="226"/>
        <v>0</v>
      </c>
      <c r="J233">
        <f t="shared" si="226"/>
        <v>1.6398735900905279E-2</v>
      </c>
      <c r="K233" s="248">
        <f t="shared" si="226"/>
        <v>0.19520506507065732</v>
      </c>
      <c r="L233" s="3">
        <f t="shared" si="226"/>
        <v>0.16350943047528033</v>
      </c>
      <c r="M233" s="3">
        <f t="shared" ref="M233:AA233" si="233">IF($A233=M$215,-1000000,M179)</f>
        <v>0.15347030390874258</v>
      </c>
      <c r="N233" s="3">
        <f t="shared" si="233"/>
        <v>0.14648892075857126</v>
      </c>
      <c r="O233" s="3">
        <f t="shared" si="233"/>
        <v>2.0557795135038821E-2</v>
      </c>
      <c r="P233" s="387">
        <f t="shared" si="233"/>
        <v>9.1837302935579512E-2</v>
      </c>
      <c r="Q233" s="3">
        <f t="shared" si="233"/>
        <v>0.12844423059207091</v>
      </c>
      <c r="R233" s="3">
        <f t="shared" si="233"/>
        <v>0.14163831322996043</v>
      </c>
      <c r="S233" s="3">
        <f t="shared" si="233"/>
        <v>0.15319685464230604</v>
      </c>
      <c r="T233" s="3">
        <f t="shared" si="233"/>
        <v>0.15480946762504236</v>
      </c>
      <c r="U233" s="3">
        <f t="shared" si="233"/>
        <v>0.16244385806171652</v>
      </c>
      <c r="V233" s="3">
        <f t="shared" si="233"/>
        <v>0.15246057573172625</v>
      </c>
      <c r="W233" s="3">
        <f t="shared" si="233"/>
        <v>0.16545584915342454</v>
      </c>
      <c r="X233" s="3">
        <f t="shared" si="233"/>
        <v>0.15444465241810945</v>
      </c>
      <c r="Y233" s="3">
        <f t="shared" si="233"/>
        <v>0.17752679138820027</v>
      </c>
      <c r="Z233" s="3">
        <f t="shared" si="233"/>
        <v>0.18838988244082402</v>
      </c>
      <c r="AA233" s="3">
        <f t="shared" si="233"/>
        <v>0.1994598027978467</v>
      </c>
      <c r="AB233" s="3">
        <f t="shared" ref="AB233" si="234">IF($A233=AB$215,-1000000,AB179)</f>
        <v>-1000000</v>
      </c>
      <c r="AC233" s="3">
        <v>5</v>
      </c>
    </row>
    <row r="234" spans="1:29" x14ac:dyDescent="0.2">
      <c r="A234" s="3">
        <v>6</v>
      </c>
      <c r="B234" t="s">
        <v>1</v>
      </c>
      <c r="C234">
        <f t="shared" si="226"/>
        <v>0.14802830748941492</v>
      </c>
      <c r="D234">
        <f t="shared" si="226"/>
        <v>0.18718073184645534</v>
      </c>
      <c r="E234">
        <f t="shared" si="226"/>
        <v>0.1609311368728282</v>
      </c>
      <c r="F234">
        <f t="shared" si="226"/>
        <v>0.18024701352821401</v>
      </c>
      <c r="G234">
        <f t="shared" si="226"/>
        <v>0.26319271608651312</v>
      </c>
      <c r="H234">
        <f t="shared" si="226"/>
        <v>0.27997521338029535</v>
      </c>
      <c r="I234">
        <f t="shared" si="226"/>
        <v>0.20930441769480485</v>
      </c>
      <c r="J234">
        <f t="shared" si="226"/>
        <v>0.11914011079723982</v>
      </c>
      <c r="K234" s="248">
        <f t="shared" si="226"/>
        <v>0.16211551720288478</v>
      </c>
      <c r="L234" s="3">
        <f t="shared" si="226"/>
        <v>-1000000</v>
      </c>
      <c r="M234" s="3">
        <f t="shared" ref="M234:AA234" si="235">IF($A234=M$215,-1000000,M180)</f>
        <v>0.16543076000626342</v>
      </c>
      <c r="N234" s="3">
        <f t="shared" si="235"/>
        <v>-1000000</v>
      </c>
      <c r="O234" s="3">
        <f t="shared" si="235"/>
        <v>0.23656263114653245</v>
      </c>
      <c r="P234" s="387">
        <f t="shared" si="235"/>
        <v>-1000000</v>
      </c>
      <c r="Q234" s="3">
        <f t="shared" si="235"/>
        <v>0.12845294524805767</v>
      </c>
      <c r="R234" s="3">
        <f t="shared" si="235"/>
        <v>-1000000</v>
      </c>
      <c r="S234" s="3">
        <f t="shared" si="235"/>
        <v>0.10110626227728828</v>
      </c>
      <c r="T234" s="3">
        <f t="shared" si="235"/>
        <v>0.16894747496636212</v>
      </c>
      <c r="U234" s="3">
        <f t="shared" si="235"/>
        <v>0.20385451480534947</v>
      </c>
      <c r="V234" s="3">
        <f t="shared" si="235"/>
        <v>-1000000</v>
      </c>
      <c r="W234" s="3">
        <f t="shared" si="235"/>
        <v>0.11096382862658845</v>
      </c>
      <c r="X234" s="3">
        <f t="shared" si="235"/>
        <v>-1000000</v>
      </c>
      <c r="Y234" s="3">
        <f t="shared" si="235"/>
        <v>0.17638243797269326</v>
      </c>
      <c r="Z234" s="3">
        <f t="shared" si="235"/>
        <v>0.18613328438893803</v>
      </c>
      <c r="AA234" s="3">
        <f t="shared" si="235"/>
        <v>0.19858385944978441</v>
      </c>
      <c r="AB234" s="3">
        <f t="shared" ref="AB234" si="236">IF($A234=AB$215,-1000000,AB180)</f>
        <v>5.6261901307906481E-2</v>
      </c>
      <c r="AC234" s="3">
        <v>6</v>
      </c>
    </row>
    <row r="235" spans="1:29" x14ac:dyDescent="0.2">
      <c r="A235" s="3">
        <v>7</v>
      </c>
      <c r="B235" t="s">
        <v>2</v>
      </c>
      <c r="C235">
        <f t="shared" si="226"/>
        <v>0.14802830748941492</v>
      </c>
      <c r="D235">
        <f t="shared" si="226"/>
        <v>1.5459569113676396E-2</v>
      </c>
      <c r="E235">
        <f t="shared" si="226"/>
        <v>8.4771198387578073E-2</v>
      </c>
      <c r="F235">
        <f t="shared" si="226"/>
        <v>-1000000</v>
      </c>
      <c r="G235">
        <f t="shared" si="226"/>
        <v>-1000000</v>
      </c>
      <c r="H235">
        <f t="shared" si="226"/>
        <v>-1000000</v>
      </c>
      <c r="I235">
        <f t="shared" si="226"/>
        <v>0.20249945547557574</v>
      </c>
      <c r="J235">
        <f t="shared" si="226"/>
        <v>0.24047566593952857</v>
      </c>
      <c r="K235" s="248">
        <f t="shared" si="226"/>
        <v>0.15164198914722199</v>
      </c>
      <c r="L235" s="3">
        <f t="shared" si="226"/>
        <v>0.16905409333458646</v>
      </c>
      <c r="M235" s="3">
        <f t="shared" ref="M235:AA235" si="237">IF($A235=M$215,-1000000,M181)</f>
        <v>0.17791532229972004</v>
      </c>
      <c r="N235" s="3">
        <f t="shared" si="237"/>
        <v>0.18329107638042641</v>
      </c>
      <c r="O235" s="3">
        <f t="shared" si="237"/>
        <v>-1000000</v>
      </c>
      <c r="P235" s="387">
        <f t="shared" si="237"/>
        <v>0.15247227351512568</v>
      </c>
      <c r="Q235" s="3">
        <f t="shared" si="237"/>
        <v>0.16810312504845659</v>
      </c>
      <c r="R235" s="3">
        <f t="shared" si="237"/>
        <v>0.13617458248689532</v>
      </c>
      <c r="S235" s="3">
        <f t="shared" si="237"/>
        <v>0.16857751796043316</v>
      </c>
      <c r="T235" s="3">
        <f t="shared" si="237"/>
        <v>-1000000</v>
      </c>
      <c r="U235" s="3">
        <f t="shared" si="237"/>
        <v>8.9055179557913131E-2</v>
      </c>
      <c r="V235" s="3">
        <f t="shared" si="237"/>
        <v>0.14095442589055734</v>
      </c>
      <c r="W235" s="3">
        <f t="shared" si="237"/>
        <v>0.17050449956239011</v>
      </c>
      <c r="X235" s="3">
        <f t="shared" si="237"/>
        <v>0.16976862899890713</v>
      </c>
      <c r="Y235" s="3">
        <f t="shared" si="237"/>
        <v>0.16853010806177343</v>
      </c>
      <c r="Z235" s="3">
        <f t="shared" si="237"/>
        <v>0.17900509734230102</v>
      </c>
      <c r="AA235" s="3">
        <f t="shared" si="237"/>
        <v>0.19039618077006359</v>
      </c>
      <c r="AB235" s="3">
        <f t="shared" ref="AB235" si="238">IF($A235=AB$215,-1000000,AB181)</f>
        <v>0</v>
      </c>
      <c r="AC235" s="3">
        <v>7</v>
      </c>
    </row>
    <row r="236" spans="1:29" x14ac:dyDescent="0.2">
      <c r="A236" s="59"/>
    </row>
    <row r="237" spans="1:29" x14ac:dyDescent="0.2">
      <c r="A237" s="59">
        <v>27</v>
      </c>
      <c r="B237" s="137">
        <v>0</v>
      </c>
      <c r="C237">
        <v>1</v>
      </c>
      <c r="D237">
        <v>2</v>
      </c>
      <c r="E237">
        <v>3</v>
      </c>
      <c r="F237">
        <v>4</v>
      </c>
      <c r="G237">
        <v>5</v>
      </c>
      <c r="H237">
        <v>6</v>
      </c>
      <c r="I237">
        <v>7</v>
      </c>
      <c r="J237">
        <v>8</v>
      </c>
      <c r="K237" s="248">
        <v>9</v>
      </c>
      <c r="L237" s="3">
        <v>10</v>
      </c>
      <c r="M237">
        <v>11</v>
      </c>
      <c r="N237">
        <v>12</v>
      </c>
      <c r="O237">
        <v>13</v>
      </c>
      <c r="P237" s="387">
        <v>14</v>
      </c>
      <c r="Q237">
        <v>15</v>
      </c>
      <c r="R237">
        <v>16</v>
      </c>
      <c r="S237">
        <v>17</v>
      </c>
      <c r="T237">
        <v>18</v>
      </c>
      <c r="U237">
        <v>19</v>
      </c>
      <c r="V237">
        <v>20</v>
      </c>
      <c r="W237">
        <v>21</v>
      </c>
      <c r="X237">
        <v>22</v>
      </c>
      <c r="Y237">
        <v>23</v>
      </c>
      <c r="Z237">
        <v>24</v>
      </c>
      <c r="AA237">
        <v>25</v>
      </c>
      <c r="AB237">
        <v>26</v>
      </c>
    </row>
    <row r="238" spans="1:29" x14ac:dyDescent="0.2">
      <c r="A238" s="59"/>
      <c r="B238" s="25" t="s">
        <v>106</v>
      </c>
    </row>
    <row r="239" spans="1:29" x14ac:dyDescent="0.2">
      <c r="A239" s="59"/>
      <c r="B239" t="s">
        <v>107</v>
      </c>
      <c r="C239">
        <f>MAX(C229:C235)</f>
        <v>0.26499912417665161</v>
      </c>
      <c r="D239">
        <f t="shared" ref="D239:AA239" si="239">MAX(D229:D235)</f>
        <v>0.29344549735466091</v>
      </c>
      <c r="E239">
        <f t="shared" si="239"/>
        <v>0.22742579053984086</v>
      </c>
      <c r="F239">
        <f t="shared" si="239"/>
        <v>0.18024701352821401</v>
      </c>
      <c r="G239">
        <f t="shared" si="239"/>
        <v>0.26319271608651312</v>
      </c>
      <c r="H239">
        <f t="shared" si="239"/>
        <v>0.27997521338029535</v>
      </c>
      <c r="I239">
        <f t="shared" si="239"/>
        <v>0.20930441769480485</v>
      </c>
      <c r="J239">
        <f t="shared" si="239"/>
        <v>0.24047566593952857</v>
      </c>
      <c r="K239" s="248">
        <f t="shared" si="239"/>
        <v>0.19520506507065732</v>
      </c>
      <c r="L239" s="3">
        <f t="shared" si="239"/>
        <v>0.19035861010870456</v>
      </c>
      <c r="M239">
        <f t="shared" si="239"/>
        <v>0.17791532229972004</v>
      </c>
      <c r="N239">
        <f t="shared" si="239"/>
        <v>0.18392336575638052</v>
      </c>
      <c r="O239">
        <f t="shared" si="239"/>
        <v>0.23656263114653245</v>
      </c>
      <c r="P239" s="387">
        <f t="shared" si="239"/>
        <v>0.22035355151476452</v>
      </c>
      <c r="Q239">
        <f t="shared" si="239"/>
        <v>0.16810312504845659</v>
      </c>
      <c r="R239">
        <f t="shared" si="239"/>
        <v>0.16492494605876432</v>
      </c>
      <c r="S239">
        <f t="shared" si="239"/>
        <v>0.16857751796043316</v>
      </c>
      <c r="T239">
        <f t="shared" si="239"/>
        <v>0.16894747496636212</v>
      </c>
      <c r="U239">
        <f t="shared" si="239"/>
        <v>0.20385451480534947</v>
      </c>
      <c r="V239">
        <f t="shared" si="239"/>
        <v>0.18193665932276931</v>
      </c>
      <c r="W239">
        <f t="shared" si="239"/>
        <v>0.17050449956239011</v>
      </c>
      <c r="X239">
        <f t="shared" si="239"/>
        <v>0.16976862899890713</v>
      </c>
      <c r="Y239">
        <f t="shared" si="239"/>
        <v>0.17752679138820027</v>
      </c>
      <c r="Z239">
        <f t="shared" si="239"/>
        <v>0.18838988244082402</v>
      </c>
      <c r="AA239">
        <f t="shared" si="239"/>
        <v>0.1994598027978467</v>
      </c>
      <c r="AB239">
        <f t="shared" ref="AB239" si="240">MAX(AB229:AB235)</f>
        <v>0.12637448945126656</v>
      </c>
    </row>
    <row r="240" spans="1:29" x14ac:dyDescent="0.2">
      <c r="A240" s="59"/>
      <c r="B240" t="s">
        <v>109</v>
      </c>
      <c r="C240" s="138">
        <f>VLOOKUP(C239,C$229:$AC$235,$A$237-B237,FALSE)</f>
        <v>5</v>
      </c>
      <c r="D240" s="138">
        <f>VLOOKUP(D239,D$229:$AC$235,$A$237-C237,FALSE)</f>
        <v>2</v>
      </c>
      <c r="E240" s="138">
        <f>VLOOKUP(E239,E$229:$AC$235,$A$237-D237,FALSE)</f>
        <v>2</v>
      </c>
      <c r="F240" s="138">
        <f>VLOOKUP(F239,F$229:$AC$235,$A$237-E237,FALSE)</f>
        <v>6</v>
      </c>
      <c r="G240" s="138">
        <f>VLOOKUP(G239,G$229:$AC$235,$A$237-F237,FALSE)</f>
        <v>6</v>
      </c>
      <c r="H240" s="138">
        <f>VLOOKUP(H239,H$229:$AC$235,$A$237-G237,FALSE)</f>
        <v>6</v>
      </c>
      <c r="I240" s="138">
        <f>VLOOKUP(I239,I$229:$AC$235,$A$237-H237,FALSE)</f>
        <v>6</v>
      </c>
      <c r="J240" s="138">
        <f>VLOOKUP(J239,J$229:$AC$235,$A$237-I237,FALSE)</f>
        <v>7</v>
      </c>
      <c r="K240" s="264">
        <f>VLOOKUP(K239,K$229:$AC$235,$A$237-J237,FALSE)</f>
        <v>5</v>
      </c>
      <c r="L240" s="242">
        <f>VLOOKUP(L239,L$229:$AC$235,$A$237-K237,FALSE)</f>
        <v>4</v>
      </c>
      <c r="M240" s="138">
        <f>VLOOKUP(M239,M$229:$AC$235,$A$237-L237,FALSE)</f>
        <v>7</v>
      </c>
      <c r="N240" s="138">
        <f>VLOOKUP(N239,N$229:$AC$235,$A$237-M237,FALSE)</f>
        <v>4</v>
      </c>
      <c r="O240" s="138">
        <f>VLOOKUP(O239,O$229:$AC$235,$A$237-N237,FALSE)</f>
        <v>6</v>
      </c>
      <c r="P240" s="407">
        <f>VLOOKUP(P239,P$229:$AC$235,$A$237-O237,FALSE)</f>
        <v>4</v>
      </c>
      <c r="Q240" s="138">
        <f>VLOOKUP(Q239,Q$229:$AC$235,$A$237-P237,FALSE)</f>
        <v>7</v>
      </c>
      <c r="R240" s="138">
        <f>VLOOKUP(R239,R$229:$AC$235,$A$237-Q237,FALSE)</f>
        <v>3</v>
      </c>
      <c r="S240" s="138">
        <f>VLOOKUP(S239,S$229:$AC$235,$A$237-R237,FALSE)</f>
        <v>7</v>
      </c>
      <c r="T240" s="138">
        <f>VLOOKUP(T239,T$229:$AC$235,$A$237-S237,FALSE)</f>
        <v>6</v>
      </c>
      <c r="U240" s="138">
        <f>VLOOKUP(U239,U$229:$AC$235,$A$237-T237,FALSE)</f>
        <v>6</v>
      </c>
      <c r="V240" s="138">
        <f>VLOOKUP(V239,V$229:$AC$235,$A$237-U237,FALSE)</f>
        <v>4</v>
      </c>
      <c r="W240" s="138">
        <f>VLOOKUP(W239,W$229:$AC$235,$A$237-V237,FALSE)</f>
        <v>7</v>
      </c>
      <c r="X240" s="138">
        <f>VLOOKUP(X239,X$229:$AC$235,$A$237-W237,FALSE)</f>
        <v>7</v>
      </c>
      <c r="Y240" s="138">
        <f>VLOOKUP(Y239,Y$229:$AC$235,$A$237-X237,FALSE)</f>
        <v>5</v>
      </c>
      <c r="Z240" s="138">
        <f>VLOOKUP(Z239,Z$229:$AC$235,$A$237-Y237,FALSE)</f>
        <v>5</v>
      </c>
      <c r="AA240" s="138">
        <f>VLOOKUP(AA239,AA$229:$AC$235,$A$237-Z237,FALSE)</f>
        <v>5</v>
      </c>
      <c r="AB240" s="138">
        <f>VLOOKUP(AB239,AB$229:$AC$235,$A$237-AA237,FALSE)</f>
        <v>3</v>
      </c>
    </row>
    <row r="241" spans="1:29" x14ac:dyDescent="0.2">
      <c r="A241" s="59"/>
      <c r="B241" s="4" t="s">
        <v>110</v>
      </c>
    </row>
    <row r="242" spans="1:29" x14ac:dyDescent="0.2">
      <c r="A242" s="3">
        <v>1</v>
      </c>
      <c r="B242" t="s">
        <v>41</v>
      </c>
      <c r="C242">
        <f>IF($A242=C$240,MIN(C200,C$226),0)</f>
        <v>0</v>
      </c>
      <c r="D242">
        <f>IF($A242=D$240,MIN(D200,D$226),0)</f>
        <v>0</v>
      </c>
      <c r="E242">
        <f t="shared" ref="E242:AA242" si="241">IF($A242=E$240,MIN(E200,E$226),0)</f>
        <v>0</v>
      </c>
      <c r="F242">
        <f t="shared" si="241"/>
        <v>0</v>
      </c>
      <c r="G242">
        <f t="shared" si="241"/>
        <v>0</v>
      </c>
      <c r="H242">
        <f t="shared" si="241"/>
        <v>0</v>
      </c>
      <c r="I242">
        <f t="shared" si="241"/>
        <v>0</v>
      </c>
      <c r="J242">
        <f t="shared" si="241"/>
        <v>0</v>
      </c>
      <c r="K242" s="314">
        <f t="shared" si="241"/>
        <v>0</v>
      </c>
      <c r="L242" s="3">
        <f t="shared" si="241"/>
        <v>0</v>
      </c>
      <c r="M242">
        <f t="shared" si="241"/>
        <v>0</v>
      </c>
      <c r="N242">
        <f t="shared" si="241"/>
        <v>0</v>
      </c>
      <c r="O242">
        <f t="shared" si="241"/>
        <v>0</v>
      </c>
      <c r="P242" s="387">
        <f t="shared" si="241"/>
        <v>0</v>
      </c>
      <c r="Q242">
        <f t="shared" si="241"/>
        <v>0</v>
      </c>
      <c r="R242">
        <f t="shared" si="241"/>
        <v>0</v>
      </c>
      <c r="S242">
        <f t="shared" si="241"/>
        <v>0</v>
      </c>
      <c r="T242">
        <f t="shared" si="241"/>
        <v>0</v>
      </c>
      <c r="U242">
        <f t="shared" si="241"/>
        <v>0</v>
      </c>
      <c r="V242">
        <f t="shared" si="241"/>
        <v>0</v>
      </c>
      <c r="W242">
        <f t="shared" si="241"/>
        <v>0</v>
      </c>
      <c r="X242">
        <f t="shared" si="241"/>
        <v>0</v>
      </c>
      <c r="Y242">
        <f t="shared" si="241"/>
        <v>0</v>
      </c>
      <c r="Z242">
        <f t="shared" si="241"/>
        <v>0</v>
      </c>
      <c r="AA242">
        <f t="shared" si="241"/>
        <v>0</v>
      </c>
      <c r="AB242">
        <f t="shared" ref="AB242" si="242">IF($A242=AB$240,MIN(AB200,AB$226),0)</f>
        <v>0</v>
      </c>
    </row>
    <row r="243" spans="1:29" x14ac:dyDescent="0.2">
      <c r="A243" s="3">
        <v>2</v>
      </c>
      <c r="B243" t="s">
        <v>3</v>
      </c>
      <c r="C243">
        <f t="shared" ref="C243:D248" si="243">IF($A243=C$240,MIN(C201,C$226),0)</f>
        <v>0</v>
      </c>
      <c r="D243">
        <f t="shared" si="243"/>
        <v>0</v>
      </c>
      <c r="E243">
        <f t="shared" ref="E243:AA243" si="244">IF($A243=E$240,MIN(E201,E$226),0)</f>
        <v>0</v>
      </c>
      <c r="F243">
        <f t="shared" si="244"/>
        <v>0</v>
      </c>
      <c r="G243">
        <f t="shared" si="244"/>
        <v>0</v>
      </c>
      <c r="H243">
        <f t="shared" si="244"/>
        <v>0</v>
      </c>
      <c r="I243">
        <f t="shared" si="244"/>
        <v>0</v>
      </c>
      <c r="J243">
        <f t="shared" si="244"/>
        <v>0</v>
      </c>
      <c r="K243" s="248">
        <f t="shared" si="244"/>
        <v>0</v>
      </c>
      <c r="L243" s="3">
        <f t="shared" si="244"/>
        <v>0</v>
      </c>
      <c r="M243">
        <f t="shared" si="244"/>
        <v>0</v>
      </c>
      <c r="N243">
        <f t="shared" si="244"/>
        <v>0</v>
      </c>
      <c r="O243">
        <f t="shared" si="244"/>
        <v>0</v>
      </c>
      <c r="P243" s="387">
        <f t="shared" si="244"/>
        <v>0</v>
      </c>
      <c r="Q243">
        <f t="shared" si="244"/>
        <v>0</v>
      </c>
      <c r="R243">
        <f t="shared" si="244"/>
        <v>0</v>
      </c>
      <c r="S243">
        <f t="shared" si="244"/>
        <v>0</v>
      </c>
      <c r="T243">
        <f t="shared" si="244"/>
        <v>0</v>
      </c>
      <c r="U243">
        <f t="shared" si="244"/>
        <v>0</v>
      </c>
      <c r="V243">
        <f t="shared" si="244"/>
        <v>0</v>
      </c>
      <c r="W243">
        <f t="shared" si="244"/>
        <v>0</v>
      </c>
      <c r="X243">
        <f t="shared" si="244"/>
        <v>0</v>
      </c>
      <c r="Y243">
        <f t="shared" si="244"/>
        <v>0</v>
      </c>
      <c r="Z243">
        <f t="shared" si="244"/>
        <v>0</v>
      </c>
      <c r="AA243">
        <f t="shared" si="244"/>
        <v>0</v>
      </c>
      <c r="AB243">
        <f t="shared" ref="AB243" si="245">IF($A243=AB$240,MIN(AB201,AB$226),0)</f>
        <v>0</v>
      </c>
    </row>
    <row r="244" spans="1:29" x14ac:dyDescent="0.2">
      <c r="A244" s="3">
        <v>3</v>
      </c>
      <c r="B244" t="s">
        <v>29</v>
      </c>
      <c r="C244">
        <f t="shared" si="243"/>
        <v>0</v>
      </c>
      <c r="D244">
        <f t="shared" si="243"/>
        <v>0</v>
      </c>
      <c r="E244">
        <f t="shared" ref="E244:AA244" si="246">IF($A244=E$240,MIN(E202,E$226),0)</f>
        <v>0</v>
      </c>
      <c r="F244">
        <f t="shared" si="246"/>
        <v>0</v>
      </c>
      <c r="G244">
        <f t="shared" si="246"/>
        <v>0</v>
      </c>
      <c r="H244">
        <f t="shared" si="246"/>
        <v>0</v>
      </c>
      <c r="I244">
        <f t="shared" si="246"/>
        <v>0</v>
      </c>
      <c r="J244">
        <f t="shared" si="246"/>
        <v>0</v>
      </c>
      <c r="K244" s="248">
        <f t="shared" si="246"/>
        <v>0</v>
      </c>
      <c r="L244" s="3">
        <f t="shared" si="246"/>
        <v>0</v>
      </c>
      <c r="M244">
        <f t="shared" si="246"/>
        <v>0</v>
      </c>
      <c r="N244">
        <f t="shared" si="246"/>
        <v>0</v>
      </c>
      <c r="O244">
        <f t="shared" si="246"/>
        <v>0</v>
      </c>
      <c r="P244" s="387">
        <f t="shared" si="246"/>
        <v>0</v>
      </c>
      <c r="Q244">
        <f t="shared" si="246"/>
        <v>0</v>
      </c>
      <c r="R244">
        <f t="shared" si="246"/>
        <v>1174504.262320511</v>
      </c>
      <c r="S244">
        <f t="shared" si="246"/>
        <v>0</v>
      </c>
      <c r="T244">
        <f t="shared" si="246"/>
        <v>0</v>
      </c>
      <c r="U244">
        <f t="shared" si="246"/>
        <v>0</v>
      </c>
      <c r="V244">
        <f t="shared" si="246"/>
        <v>0</v>
      </c>
      <c r="W244">
        <f t="shared" si="246"/>
        <v>0</v>
      </c>
      <c r="X244">
        <f t="shared" si="246"/>
        <v>0</v>
      </c>
      <c r="Y244">
        <f t="shared" si="246"/>
        <v>0</v>
      </c>
      <c r="Z244">
        <f t="shared" si="246"/>
        <v>0</v>
      </c>
      <c r="AA244">
        <f t="shared" si="246"/>
        <v>0</v>
      </c>
      <c r="AB244">
        <f t="shared" ref="AB244" si="247">IF($A244=AB$240,MIN(AB202,AB$226),0)</f>
        <v>0</v>
      </c>
    </row>
    <row r="245" spans="1:29" x14ac:dyDescent="0.2">
      <c r="A245" s="3">
        <v>4</v>
      </c>
      <c r="B245" t="s">
        <v>5</v>
      </c>
      <c r="C245">
        <f t="shared" si="243"/>
        <v>0</v>
      </c>
      <c r="D245">
        <f t="shared" si="243"/>
        <v>0</v>
      </c>
      <c r="E245">
        <f t="shared" ref="E245:AA245" si="248">IF($A245=E$240,MIN(E203,E$226),0)</f>
        <v>0</v>
      </c>
      <c r="F245">
        <f t="shared" si="248"/>
        <v>0</v>
      </c>
      <c r="G245">
        <f t="shared" si="248"/>
        <v>0</v>
      </c>
      <c r="H245">
        <f t="shared" si="248"/>
        <v>0</v>
      </c>
      <c r="I245">
        <f t="shared" si="248"/>
        <v>0</v>
      </c>
      <c r="J245">
        <f t="shared" si="248"/>
        <v>0</v>
      </c>
      <c r="K245" s="248">
        <f t="shared" si="248"/>
        <v>0</v>
      </c>
      <c r="L245" s="3">
        <f t="shared" si="248"/>
        <v>0</v>
      </c>
      <c r="M245">
        <f t="shared" si="248"/>
        <v>0</v>
      </c>
      <c r="N245">
        <f t="shared" si="248"/>
        <v>0</v>
      </c>
      <c r="O245">
        <f t="shared" si="248"/>
        <v>0</v>
      </c>
      <c r="P245" s="387">
        <f t="shared" si="248"/>
        <v>0</v>
      </c>
      <c r="Q245">
        <f t="shared" si="248"/>
        <v>0</v>
      </c>
      <c r="R245">
        <f t="shared" si="248"/>
        <v>0</v>
      </c>
      <c r="S245">
        <f t="shared" si="248"/>
        <v>0</v>
      </c>
      <c r="T245">
        <f t="shared" si="248"/>
        <v>0</v>
      </c>
      <c r="U245">
        <f t="shared" si="248"/>
        <v>0</v>
      </c>
      <c r="V245">
        <f t="shared" si="248"/>
        <v>0</v>
      </c>
      <c r="W245">
        <f t="shared" si="248"/>
        <v>0</v>
      </c>
      <c r="X245">
        <f t="shared" si="248"/>
        <v>0</v>
      </c>
      <c r="Y245">
        <f t="shared" si="248"/>
        <v>0</v>
      </c>
      <c r="Z245">
        <f t="shared" si="248"/>
        <v>0</v>
      </c>
      <c r="AA245">
        <f t="shared" si="248"/>
        <v>0</v>
      </c>
      <c r="AB245">
        <f t="shared" ref="AB245" si="249">IF($A245=AB$240,MIN(AB203,AB$226),0)</f>
        <v>0</v>
      </c>
    </row>
    <row r="246" spans="1:29" x14ac:dyDescent="0.2">
      <c r="A246" s="3">
        <v>5</v>
      </c>
      <c r="B246" t="s">
        <v>6</v>
      </c>
      <c r="C246">
        <f t="shared" si="243"/>
        <v>0</v>
      </c>
      <c r="D246">
        <f t="shared" si="243"/>
        <v>0</v>
      </c>
      <c r="E246">
        <f t="shared" ref="E246:AA246" si="250">IF($A246=E$240,MIN(E204,E$226),0)</f>
        <v>0</v>
      </c>
      <c r="F246">
        <f t="shared" si="250"/>
        <v>0</v>
      </c>
      <c r="G246">
        <f t="shared" si="250"/>
        <v>0</v>
      </c>
      <c r="H246">
        <f t="shared" si="250"/>
        <v>0</v>
      </c>
      <c r="I246">
        <f t="shared" si="250"/>
        <v>0</v>
      </c>
      <c r="J246">
        <f t="shared" si="250"/>
        <v>0</v>
      </c>
      <c r="K246" s="248">
        <f t="shared" si="250"/>
        <v>0</v>
      </c>
      <c r="L246" s="3">
        <f t="shared" si="250"/>
        <v>0</v>
      </c>
      <c r="M246">
        <f t="shared" si="250"/>
        <v>0</v>
      </c>
      <c r="N246">
        <f t="shared" si="250"/>
        <v>0</v>
      </c>
      <c r="O246">
        <f t="shared" si="250"/>
        <v>0</v>
      </c>
      <c r="P246" s="387">
        <f t="shared" si="250"/>
        <v>0</v>
      </c>
      <c r="Q246">
        <f t="shared" si="250"/>
        <v>0</v>
      </c>
      <c r="R246">
        <f t="shared" si="250"/>
        <v>0</v>
      </c>
      <c r="S246">
        <f t="shared" si="250"/>
        <v>0</v>
      </c>
      <c r="T246">
        <f t="shared" si="250"/>
        <v>0</v>
      </c>
      <c r="U246">
        <f t="shared" si="250"/>
        <v>0</v>
      </c>
      <c r="V246">
        <f t="shared" si="250"/>
        <v>0</v>
      </c>
      <c r="W246">
        <f t="shared" si="250"/>
        <v>0</v>
      </c>
      <c r="X246">
        <f t="shared" si="250"/>
        <v>0</v>
      </c>
      <c r="Y246">
        <f t="shared" si="250"/>
        <v>0</v>
      </c>
      <c r="Z246">
        <f t="shared" si="250"/>
        <v>0</v>
      </c>
      <c r="AA246">
        <f t="shared" si="250"/>
        <v>0</v>
      </c>
      <c r="AB246">
        <f t="shared" ref="AB246" si="251">IF($A246=AB$240,MIN(AB204,AB$226),0)</f>
        <v>0</v>
      </c>
    </row>
    <row r="247" spans="1:29" x14ac:dyDescent="0.2">
      <c r="A247" s="3">
        <v>6</v>
      </c>
      <c r="B247" t="s">
        <v>1</v>
      </c>
      <c r="C247">
        <f t="shared" si="243"/>
        <v>0</v>
      </c>
      <c r="D247">
        <f t="shared" si="243"/>
        <v>0</v>
      </c>
      <c r="E247">
        <f t="shared" ref="E247:AA247" si="252">IF($A247=E$240,MIN(E205,E$226),0)</f>
        <v>0</v>
      </c>
      <c r="F247">
        <f t="shared" si="252"/>
        <v>0</v>
      </c>
      <c r="G247">
        <f t="shared" si="252"/>
        <v>0</v>
      </c>
      <c r="H247">
        <f t="shared" si="252"/>
        <v>0</v>
      </c>
      <c r="I247">
        <f t="shared" si="252"/>
        <v>0</v>
      </c>
      <c r="J247">
        <f t="shared" si="252"/>
        <v>0</v>
      </c>
      <c r="K247" s="248">
        <f t="shared" si="252"/>
        <v>0</v>
      </c>
      <c r="L247" s="3">
        <f t="shared" si="252"/>
        <v>0</v>
      </c>
      <c r="M247">
        <f t="shared" si="252"/>
        <v>0</v>
      </c>
      <c r="N247">
        <f t="shared" si="252"/>
        <v>0</v>
      </c>
      <c r="O247">
        <f t="shared" si="252"/>
        <v>0</v>
      </c>
      <c r="P247" s="387">
        <f t="shared" si="252"/>
        <v>0</v>
      </c>
      <c r="Q247">
        <f t="shared" si="252"/>
        <v>0</v>
      </c>
      <c r="R247">
        <f t="shared" si="252"/>
        <v>0</v>
      </c>
      <c r="S247">
        <f t="shared" si="252"/>
        <v>0</v>
      </c>
      <c r="T247">
        <f t="shared" si="252"/>
        <v>1641221.3231646325</v>
      </c>
      <c r="U247">
        <f t="shared" si="252"/>
        <v>0</v>
      </c>
      <c r="V247">
        <f t="shared" si="252"/>
        <v>0</v>
      </c>
      <c r="W247">
        <f t="shared" si="252"/>
        <v>0</v>
      </c>
      <c r="X247">
        <f t="shared" si="252"/>
        <v>0</v>
      </c>
      <c r="Y247">
        <f t="shared" si="252"/>
        <v>0</v>
      </c>
      <c r="Z247">
        <f t="shared" si="252"/>
        <v>0</v>
      </c>
      <c r="AA247">
        <f t="shared" si="252"/>
        <v>0</v>
      </c>
      <c r="AB247">
        <f t="shared" ref="AB247" si="253">IF($A247=AB$240,MIN(AB205,AB$226),0)</f>
        <v>0</v>
      </c>
    </row>
    <row r="248" spans="1:29" x14ac:dyDescent="0.2">
      <c r="A248" s="3">
        <v>7</v>
      </c>
      <c r="B248" t="s">
        <v>2</v>
      </c>
      <c r="C248">
        <f t="shared" si="243"/>
        <v>0</v>
      </c>
      <c r="D248">
        <f t="shared" si="243"/>
        <v>0</v>
      </c>
      <c r="E248">
        <f t="shared" ref="E248:AA248" si="254">IF($A248=E$240,MIN(E206,E$226),0)</f>
        <v>0</v>
      </c>
      <c r="F248">
        <f t="shared" si="254"/>
        <v>0</v>
      </c>
      <c r="G248">
        <f t="shared" si="254"/>
        <v>0</v>
      </c>
      <c r="H248">
        <f t="shared" si="254"/>
        <v>0</v>
      </c>
      <c r="I248">
        <f t="shared" si="254"/>
        <v>0</v>
      </c>
      <c r="J248">
        <f t="shared" si="254"/>
        <v>0</v>
      </c>
      <c r="K248" s="248">
        <f t="shared" si="254"/>
        <v>0</v>
      </c>
      <c r="L248" s="3">
        <f t="shared" si="254"/>
        <v>0</v>
      </c>
      <c r="M248">
        <f t="shared" si="254"/>
        <v>0</v>
      </c>
      <c r="N248">
        <f t="shared" si="254"/>
        <v>0</v>
      </c>
      <c r="O248">
        <f t="shared" si="254"/>
        <v>0</v>
      </c>
      <c r="P248" s="387">
        <f t="shared" si="254"/>
        <v>0</v>
      </c>
      <c r="Q248">
        <f t="shared" si="254"/>
        <v>3474006.4534605229</v>
      </c>
      <c r="R248">
        <f t="shared" si="254"/>
        <v>0</v>
      </c>
      <c r="S248">
        <f t="shared" si="254"/>
        <v>0</v>
      </c>
      <c r="T248">
        <f t="shared" si="254"/>
        <v>0</v>
      </c>
      <c r="U248">
        <f t="shared" si="254"/>
        <v>0</v>
      </c>
      <c r="V248">
        <f t="shared" si="254"/>
        <v>0</v>
      </c>
      <c r="W248">
        <f t="shared" si="254"/>
        <v>3182718.9155238364</v>
      </c>
      <c r="X248">
        <f t="shared" si="254"/>
        <v>1120894.4991984349</v>
      </c>
      <c r="Y248">
        <f t="shared" si="254"/>
        <v>0</v>
      </c>
      <c r="Z248">
        <f t="shared" si="254"/>
        <v>0</v>
      </c>
      <c r="AA248">
        <f t="shared" si="254"/>
        <v>0</v>
      </c>
      <c r="AB248">
        <f t="shared" ref="AB248" si="255">IF($A248=AB$240,MIN(AB206,AB$226),0)</f>
        <v>0</v>
      </c>
    </row>
    <row r="249" spans="1:29" x14ac:dyDescent="0.2">
      <c r="A249" s="3"/>
      <c r="B249" s="78" t="s">
        <v>93</v>
      </c>
      <c r="C249">
        <f>SUM(C242:C248)</f>
        <v>0</v>
      </c>
      <c r="D249">
        <f t="shared" ref="D249:AA249" si="256">SUM(D242:D248)</f>
        <v>0</v>
      </c>
      <c r="E249">
        <f t="shared" si="256"/>
        <v>0</v>
      </c>
      <c r="F249">
        <f t="shared" si="256"/>
        <v>0</v>
      </c>
      <c r="G249">
        <f t="shared" si="256"/>
        <v>0</v>
      </c>
      <c r="H249">
        <f t="shared" si="256"/>
        <v>0</v>
      </c>
      <c r="I249">
        <f t="shared" si="256"/>
        <v>0</v>
      </c>
      <c r="J249">
        <f t="shared" si="256"/>
        <v>0</v>
      </c>
      <c r="K249" s="314">
        <f t="shared" si="256"/>
        <v>0</v>
      </c>
      <c r="L249" s="3">
        <f t="shared" si="256"/>
        <v>0</v>
      </c>
      <c r="M249">
        <f t="shared" si="256"/>
        <v>0</v>
      </c>
      <c r="N249">
        <f t="shared" si="256"/>
        <v>0</v>
      </c>
      <c r="O249">
        <f t="shared" si="256"/>
        <v>0</v>
      </c>
      <c r="P249" s="387">
        <f t="shared" si="256"/>
        <v>0</v>
      </c>
      <c r="Q249">
        <f t="shared" si="256"/>
        <v>3474006.4534605229</v>
      </c>
      <c r="R249">
        <f t="shared" si="256"/>
        <v>1174504.262320511</v>
      </c>
      <c r="S249">
        <f t="shared" si="256"/>
        <v>0</v>
      </c>
      <c r="T249">
        <f t="shared" si="256"/>
        <v>1641221.3231646325</v>
      </c>
      <c r="U249">
        <f t="shared" si="256"/>
        <v>0</v>
      </c>
      <c r="V249">
        <f t="shared" si="256"/>
        <v>0</v>
      </c>
      <c r="W249">
        <f t="shared" si="256"/>
        <v>3182718.9155238364</v>
      </c>
      <c r="X249">
        <f t="shared" si="256"/>
        <v>1120894.4991984349</v>
      </c>
      <c r="Y249">
        <f t="shared" si="256"/>
        <v>0</v>
      </c>
      <c r="Z249">
        <f t="shared" si="256"/>
        <v>0</v>
      </c>
      <c r="AA249">
        <f t="shared" si="256"/>
        <v>0</v>
      </c>
      <c r="AB249">
        <f t="shared" ref="AB249" si="257">SUM(AB242:AB248)</f>
        <v>0</v>
      </c>
    </row>
    <row r="250" spans="1:29" x14ac:dyDescent="0.2">
      <c r="A250" s="3"/>
    </row>
    <row r="251" spans="1:29" x14ac:dyDescent="0.2">
      <c r="A251" s="3"/>
      <c r="B251" s="137" t="s">
        <v>99</v>
      </c>
      <c r="C251" s="38">
        <f>C226-C249</f>
        <v>3579182.0715725021</v>
      </c>
      <c r="D251" s="140">
        <f t="shared" ref="D251:K251" si="258">D226-D249</f>
        <v>4339147.7612991668</v>
      </c>
      <c r="E251" s="140">
        <f t="shared" si="258"/>
        <v>5041192.6498998236</v>
      </c>
      <c r="F251" s="140">
        <f t="shared" si="258"/>
        <v>6811753.9982340001</v>
      </c>
      <c r="G251" s="140">
        <f t="shared" si="258"/>
        <v>7276817.2261948278</v>
      </c>
      <c r="H251" s="140">
        <f t="shared" si="258"/>
        <v>4667398.1521703219</v>
      </c>
      <c r="I251" s="140">
        <f t="shared" si="258"/>
        <v>6401307.3610291723</v>
      </c>
      <c r="J251" s="140">
        <f t="shared" si="258"/>
        <v>7865481.0863808226</v>
      </c>
      <c r="K251" s="263">
        <f t="shared" si="258"/>
        <v>0</v>
      </c>
      <c r="L251" s="243">
        <f t="shared" ref="L251:AA251" si="259">L226-L249</f>
        <v>0</v>
      </c>
      <c r="M251" s="140">
        <f t="shared" si="259"/>
        <v>0</v>
      </c>
      <c r="N251" s="140">
        <f t="shared" si="259"/>
        <v>0</v>
      </c>
      <c r="O251" s="140">
        <f t="shared" si="259"/>
        <v>0</v>
      </c>
      <c r="P251" s="408">
        <f t="shared" si="259"/>
        <v>0</v>
      </c>
      <c r="Q251" s="140">
        <f t="shared" si="259"/>
        <v>0</v>
      </c>
      <c r="R251" s="140">
        <f t="shared" si="259"/>
        <v>0</v>
      </c>
      <c r="S251" s="140">
        <f t="shared" si="259"/>
        <v>0</v>
      </c>
      <c r="T251" s="140">
        <f t="shared" si="259"/>
        <v>0</v>
      </c>
      <c r="U251" s="140">
        <f t="shared" si="259"/>
        <v>0</v>
      </c>
      <c r="V251" s="140">
        <f t="shared" si="259"/>
        <v>0</v>
      </c>
      <c r="W251" s="140">
        <f t="shared" si="259"/>
        <v>0</v>
      </c>
      <c r="X251" s="140">
        <f t="shared" si="259"/>
        <v>16135792.559276858</v>
      </c>
      <c r="Y251" s="140">
        <f t="shared" si="259"/>
        <v>29051743.092242945</v>
      </c>
      <c r="Z251" s="140">
        <f t="shared" si="259"/>
        <v>48378682.371660665</v>
      </c>
      <c r="AA251" s="140">
        <f t="shared" si="259"/>
        <v>77221973.702052146</v>
      </c>
      <c r="AB251" s="140">
        <f t="shared" ref="AB251" si="260">AB226-AB249</f>
        <v>153647810.07906795</v>
      </c>
    </row>
    <row r="252" spans="1:29" x14ac:dyDescent="0.2">
      <c r="A252" s="3"/>
    </row>
    <row r="253" spans="1:29" x14ac:dyDescent="0.2">
      <c r="A253" s="59"/>
      <c r="B253" s="137" t="s">
        <v>94</v>
      </c>
    </row>
    <row r="254" spans="1:29" x14ac:dyDescent="0.2">
      <c r="A254" s="3">
        <v>1</v>
      </c>
      <c r="B254" t="s">
        <v>41</v>
      </c>
      <c r="C254">
        <f>IF($A254=C$240,-1000000,C229)</f>
        <v>4.0223066402473855E-2</v>
      </c>
      <c r="D254">
        <f>IF($A254=D$240,-1000000,D229)</f>
        <v>7.515171639031086E-2</v>
      </c>
      <c r="E254">
        <f t="shared" ref="E254:K254" si="261">IF($A254=E$240,-1000000,E229)</f>
        <v>0.13214835769475825</v>
      </c>
      <c r="F254">
        <f t="shared" si="261"/>
        <v>8.877693893692333E-2</v>
      </c>
      <c r="G254">
        <f t="shared" si="261"/>
        <v>6.7407780346147167E-2</v>
      </c>
      <c r="H254">
        <f t="shared" si="261"/>
        <v>7.3184554112147832E-2</v>
      </c>
      <c r="I254">
        <f t="shared" si="261"/>
        <v>6.441728862035033E-2</v>
      </c>
      <c r="J254">
        <f t="shared" si="261"/>
        <v>5.6938769340430462E-2</v>
      </c>
      <c r="K254" s="248">
        <f t="shared" si="261"/>
        <v>5.6193970799165868E-2</v>
      </c>
      <c r="L254" s="3">
        <f t="shared" ref="L254:L260" si="262">IF(J254=L$240,-1000000,L229)</f>
        <v>6.5247013622210873E-2</v>
      </c>
      <c r="M254">
        <f t="shared" ref="M254:M260" si="263">IF(K254=M$240,-1000000,M229)</f>
        <v>7.2693131305107753E-2</v>
      </c>
      <c r="N254">
        <f t="shared" ref="N254:N260" si="264">IF(L254=N$240,-1000000,N229)</f>
        <v>7.8445105350049435E-2</v>
      </c>
      <c r="O254">
        <f t="shared" ref="O254:O260" si="265">IF(M254=O$240,-1000000,O229)</f>
        <v>0.13167343195760525</v>
      </c>
      <c r="P254" s="387">
        <f t="shared" ref="P254:P260" si="266">IF(N254=P$240,-1000000,P229)</f>
        <v>0.10501072643371959</v>
      </c>
      <c r="Q254">
        <f t="shared" ref="Q254:Q260" si="267">IF(O254=Q$240,-1000000,Q229)</f>
        <v>0.10172677007420894</v>
      </c>
      <c r="R254">
        <f t="shared" ref="R254:R260" si="268">IF(P254=R$240,-1000000,R229)</f>
        <v>0.11683254670013099</v>
      </c>
      <c r="S254">
        <f t="shared" ref="S254:S260" si="269">IF(Q254=S$240,-1000000,S229)</f>
        <v>0.11877746846311751</v>
      </c>
      <c r="T254">
        <f t="shared" ref="T254:T260" si="270">IF(R254=T$240,-1000000,T229)</f>
        <v>0.10625159812537399</v>
      </c>
      <c r="U254">
        <f t="shared" ref="U254:U260" si="271">IF(S254=U$240,-1000000,U229)</f>
        <v>0.10366479890188537</v>
      </c>
      <c r="V254">
        <f t="shared" ref="V254:V260" si="272">IF(T254=V$240,-1000000,V229)</f>
        <v>9.3025184012785297E-2</v>
      </c>
      <c r="W254">
        <f t="shared" ref="W254:W260" si="273">IF(U254=W$240,-1000000,W229)</f>
        <v>9.7817173449166836E-2</v>
      </c>
      <c r="X254">
        <f t="shared" ref="X254:X260" si="274">IF(V254=X$240,-1000000,X229)</f>
        <v>0.13725969247373501</v>
      </c>
      <c r="Y254">
        <f t="shared" ref="Y254:Y260" si="275">IF(W254=Y$240,-1000000,Y229)</f>
        <v>0.16153054425072538</v>
      </c>
      <c r="Z254">
        <f t="shared" ref="Z254:Z260" si="276">IF(X254=Z$240,-1000000,Z229)</f>
        <v>0.13796103679100594</v>
      </c>
      <c r="AA254">
        <f t="shared" ref="AA254:AB260" si="277">IF(Y254=AA$240,-1000000,AA229)</f>
        <v>0.11714497374828843</v>
      </c>
      <c r="AB254">
        <f t="shared" si="277"/>
        <v>0</v>
      </c>
      <c r="AC254" s="3">
        <v>1</v>
      </c>
    </row>
    <row r="255" spans="1:29" x14ac:dyDescent="0.2">
      <c r="A255" s="3">
        <v>2</v>
      </c>
      <c r="B255" t="s">
        <v>3</v>
      </c>
      <c r="C255">
        <f t="shared" ref="C255:D260" si="278">IF($A255=C$240,-1000000,C230)</f>
        <v>-1000000</v>
      </c>
      <c r="D255">
        <f t="shared" si="278"/>
        <v>-1000000</v>
      </c>
      <c r="E255">
        <f t="shared" ref="E255:K255" si="279">IF($A255=E$240,-1000000,E230)</f>
        <v>-1000000</v>
      </c>
      <c r="F255">
        <f t="shared" si="279"/>
        <v>0.10739984077107713</v>
      </c>
      <c r="G255">
        <f t="shared" si="279"/>
        <v>8.3617379908936182E-2</v>
      </c>
      <c r="H255">
        <f t="shared" si="279"/>
        <v>0.140342188087971</v>
      </c>
      <c r="I255">
        <f t="shared" si="279"/>
        <v>0.17719899523083338</v>
      </c>
      <c r="J255">
        <f t="shared" si="279"/>
        <v>0.22191378724901939</v>
      </c>
      <c r="K255" s="248">
        <f t="shared" si="279"/>
        <v>7.549375707682153E-2</v>
      </c>
      <c r="L255" s="3">
        <f t="shared" si="262"/>
        <v>0.12100192804470275</v>
      </c>
      <c r="M255">
        <f t="shared" si="263"/>
        <v>0.12829422333309815</v>
      </c>
      <c r="N255">
        <f t="shared" si="264"/>
        <v>0.1278721404064623</v>
      </c>
      <c r="O255">
        <f t="shared" si="265"/>
        <v>2.6441780308304203E-2</v>
      </c>
      <c r="P255" s="387">
        <f t="shared" si="266"/>
        <v>6.4799896016057179E-2</v>
      </c>
      <c r="Q255">
        <f t="shared" si="267"/>
        <v>8.9348162585566701E-2</v>
      </c>
      <c r="R255">
        <f t="shared" si="268"/>
        <v>0.11582676128308356</v>
      </c>
      <c r="S255">
        <f t="shared" si="269"/>
        <v>9.7110648571767003E-2</v>
      </c>
      <c r="T255">
        <f t="shared" si="270"/>
        <v>0.10050239705922208</v>
      </c>
      <c r="U255">
        <f t="shared" si="271"/>
        <v>8.8987068487399679E-2</v>
      </c>
      <c r="V255">
        <f t="shared" si="272"/>
        <v>0.10007248764287122</v>
      </c>
      <c r="W255">
        <f t="shared" si="273"/>
        <v>0.11622074871860458</v>
      </c>
      <c r="X255">
        <f t="shared" si="274"/>
        <v>5.0963437826310305E-2</v>
      </c>
      <c r="Y255">
        <f t="shared" si="275"/>
        <v>0</v>
      </c>
      <c r="Z255">
        <f t="shared" si="276"/>
        <v>0</v>
      </c>
      <c r="AA255">
        <f t="shared" si="277"/>
        <v>0</v>
      </c>
      <c r="AB255">
        <f t="shared" si="277"/>
        <v>0</v>
      </c>
      <c r="AC255" s="3">
        <v>2</v>
      </c>
    </row>
    <row r="256" spans="1:29" x14ac:dyDescent="0.2">
      <c r="A256" s="3">
        <v>3</v>
      </c>
      <c r="B256" t="s">
        <v>29</v>
      </c>
      <c r="C256">
        <f t="shared" si="278"/>
        <v>4.59031582839882E-2</v>
      </c>
      <c r="D256">
        <f t="shared" si="278"/>
        <v>6.8714997321758189E-2</v>
      </c>
      <c r="E256">
        <f t="shared" ref="E256:K256" si="280">IF($A256=E$240,-1000000,E231)</f>
        <v>2.793811565293286E-2</v>
      </c>
      <c r="F256">
        <f t="shared" si="280"/>
        <v>3.043514587355416E-2</v>
      </c>
      <c r="G256">
        <f t="shared" si="280"/>
        <v>4.3875058777426035E-2</v>
      </c>
      <c r="H256">
        <f t="shared" si="280"/>
        <v>0</v>
      </c>
      <c r="I256">
        <f t="shared" si="280"/>
        <v>8.4582438178919875E-3</v>
      </c>
      <c r="J256">
        <f t="shared" si="280"/>
        <v>4.8338058410877634E-2</v>
      </c>
      <c r="K256" s="248">
        <f t="shared" si="280"/>
        <v>0.16015364588102812</v>
      </c>
      <c r="L256" s="3">
        <f t="shared" si="262"/>
        <v>9.9025160649915928E-2</v>
      </c>
      <c r="M256">
        <f t="shared" si="263"/>
        <v>9.4372133407876771E-2</v>
      </c>
      <c r="N256">
        <f t="shared" si="264"/>
        <v>9.4838593677294011E-2</v>
      </c>
      <c r="O256">
        <f t="shared" si="265"/>
        <v>0.12067430921954436</v>
      </c>
      <c r="P256" s="387">
        <f t="shared" si="266"/>
        <v>0.12827131892883833</v>
      </c>
      <c r="Q256">
        <f t="shared" si="267"/>
        <v>0.14099332351212165</v>
      </c>
      <c r="R256">
        <f t="shared" si="268"/>
        <v>0.16492494605876432</v>
      </c>
      <c r="S256">
        <f t="shared" si="269"/>
        <v>0.15550257610544485</v>
      </c>
      <c r="T256">
        <f t="shared" si="270"/>
        <v>0.14091894976185954</v>
      </c>
      <c r="U256">
        <f t="shared" si="271"/>
        <v>0.13595322720490188</v>
      </c>
      <c r="V256">
        <f t="shared" si="272"/>
        <v>0.11429718334065875</v>
      </c>
      <c r="W256">
        <f t="shared" si="273"/>
        <v>9.8343792727686896E-2</v>
      </c>
      <c r="X256">
        <f t="shared" si="274"/>
        <v>9.1924670424457469E-2</v>
      </c>
      <c r="Y256">
        <f t="shared" si="275"/>
        <v>0.12716964930103508</v>
      </c>
      <c r="Z256">
        <f t="shared" si="276"/>
        <v>0.10814124714738031</v>
      </c>
      <c r="AA256">
        <f t="shared" si="277"/>
        <v>8.3540807419010543E-2</v>
      </c>
      <c r="AB256">
        <f t="shared" si="277"/>
        <v>0.12637448945126656</v>
      </c>
      <c r="AC256" s="3">
        <v>3</v>
      </c>
    </row>
    <row r="257" spans="1:29" x14ac:dyDescent="0.2">
      <c r="A257" s="3">
        <v>4</v>
      </c>
      <c r="B257" t="s">
        <v>5</v>
      </c>
      <c r="C257">
        <f t="shared" si="278"/>
        <v>3.0692903706995126E-2</v>
      </c>
      <c r="D257">
        <f t="shared" si="278"/>
        <v>0</v>
      </c>
      <c r="E257">
        <f t="shared" ref="E257:K257" si="281">IF($A257=E$240,-1000000,E232)</f>
        <v>0</v>
      </c>
      <c r="F257">
        <f t="shared" si="281"/>
        <v>3.4557022077887654E-2</v>
      </c>
      <c r="G257">
        <f t="shared" si="281"/>
        <v>4.1916160265811894E-2</v>
      </c>
      <c r="H257">
        <f t="shared" si="281"/>
        <v>0.2101146571389633</v>
      </c>
      <c r="I257">
        <f t="shared" si="281"/>
        <v>-1000000</v>
      </c>
      <c r="J257">
        <f t="shared" si="281"/>
        <v>-1000000</v>
      </c>
      <c r="K257" s="248">
        <f t="shared" si="281"/>
        <v>-1000000</v>
      </c>
      <c r="L257" s="3">
        <f t="shared" si="262"/>
        <v>0.19035861010870456</v>
      </c>
      <c r="M257">
        <f t="shared" si="263"/>
        <v>-1000000</v>
      </c>
      <c r="N257">
        <f t="shared" si="264"/>
        <v>0.18392336575638052</v>
      </c>
      <c r="O257">
        <f t="shared" si="265"/>
        <v>0.20851842111925725</v>
      </c>
      <c r="P257" s="387">
        <f t="shared" si="266"/>
        <v>0.22035355151476452</v>
      </c>
      <c r="Q257">
        <f t="shared" si="267"/>
        <v>-1000000</v>
      </c>
      <c r="R257">
        <f t="shared" si="268"/>
        <v>0.1128219733439188</v>
      </c>
      <c r="S257">
        <f t="shared" si="269"/>
        <v>-1000000</v>
      </c>
      <c r="T257">
        <f t="shared" si="270"/>
        <v>0.15696575535130544</v>
      </c>
      <c r="U257">
        <f t="shared" si="271"/>
        <v>-1000000</v>
      </c>
      <c r="V257">
        <f t="shared" si="272"/>
        <v>0.18193665932276931</v>
      </c>
      <c r="W257">
        <f t="shared" si="273"/>
        <v>-1000000</v>
      </c>
      <c r="X257">
        <f t="shared" si="274"/>
        <v>0.150090610726868</v>
      </c>
      <c r="Y257">
        <f t="shared" si="275"/>
        <v>-1000000</v>
      </c>
      <c r="Z257">
        <f t="shared" si="276"/>
        <v>-1000000</v>
      </c>
      <c r="AA257">
        <f t="shared" si="277"/>
        <v>-1000000</v>
      </c>
      <c r="AB257">
        <f t="shared" si="277"/>
        <v>0</v>
      </c>
      <c r="AC257" s="3">
        <v>4</v>
      </c>
    </row>
    <row r="258" spans="1:29" x14ac:dyDescent="0.2">
      <c r="A258" s="3">
        <v>5</v>
      </c>
      <c r="B258" t="s">
        <v>6</v>
      </c>
      <c r="C258">
        <f t="shared" si="278"/>
        <v>-1000000</v>
      </c>
      <c r="D258">
        <f t="shared" si="278"/>
        <v>-1000000</v>
      </c>
      <c r="E258">
        <f t="shared" ref="E258:K258" si="282">IF($A258=E$240,-1000000,E233)</f>
        <v>-1000000</v>
      </c>
      <c r="F258">
        <f t="shared" si="282"/>
        <v>0.16675242563664083</v>
      </c>
      <c r="G258">
        <f t="shared" si="282"/>
        <v>0.20095949436801017</v>
      </c>
      <c r="H258">
        <f t="shared" si="282"/>
        <v>1.424554279281426E-2</v>
      </c>
      <c r="I258">
        <f t="shared" si="282"/>
        <v>0</v>
      </c>
      <c r="J258">
        <f t="shared" si="282"/>
        <v>1.6398735900905279E-2</v>
      </c>
      <c r="K258" s="248">
        <f t="shared" si="282"/>
        <v>-1000000</v>
      </c>
      <c r="L258" s="3">
        <f t="shared" si="262"/>
        <v>0.16350943047528033</v>
      </c>
      <c r="M258">
        <f t="shared" si="263"/>
        <v>0.15347030390874258</v>
      </c>
      <c r="N258">
        <f t="shared" si="264"/>
        <v>0.14648892075857126</v>
      </c>
      <c r="O258">
        <f t="shared" si="265"/>
        <v>2.0557795135038821E-2</v>
      </c>
      <c r="P258" s="387">
        <f t="shared" si="266"/>
        <v>9.1837302935579512E-2</v>
      </c>
      <c r="Q258">
        <f t="shared" si="267"/>
        <v>0.12844423059207091</v>
      </c>
      <c r="R258">
        <f t="shared" si="268"/>
        <v>0.14163831322996043</v>
      </c>
      <c r="S258">
        <f t="shared" si="269"/>
        <v>0.15319685464230604</v>
      </c>
      <c r="T258">
        <f t="shared" si="270"/>
        <v>0.15480946762504236</v>
      </c>
      <c r="U258">
        <f t="shared" si="271"/>
        <v>0.16244385806171652</v>
      </c>
      <c r="V258">
        <f t="shared" si="272"/>
        <v>0.15246057573172625</v>
      </c>
      <c r="W258">
        <f t="shared" si="273"/>
        <v>0.16545584915342454</v>
      </c>
      <c r="X258">
        <f t="shared" si="274"/>
        <v>0.15444465241810945</v>
      </c>
      <c r="Y258">
        <f t="shared" si="275"/>
        <v>0.17752679138820027</v>
      </c>
      <c r="Z258">
        <f t="shared" si="276"/>
        <v>0.18838988244082402</v>
      </c>
      <c r="AA258">
        <f t="shared" si="277"/>
        <v>0.1994598027978467</v>
      </c>
      <c r="AB258">
        <f t="shared" si="277"/>
        <v>-1000000</v>
      </c>
      <c r="AC258" s="3">
        <v>5</v>
      </c>
    </row>
    <row r="259" spans="1:29" x14ac:dyDescent="0.2">
      <c r="A259" s="3">
        <v>6</v>
      </c>
      <c r="B259" t="s">
        <v>1</v>
      </c>
      <c r="C259">
        <f t="shared" si="278"/>
        <v>0.14802830748941492</v>
      </c>
      <c r="D259">
        <f t="shared" si="278"/>
        <v>0.18718073184645534</v>
      </c>
      <c r="E259">
        <f t="shared" ref="E259:K259" si="283">IF($A259=E$240,-1000000,E234)</f>
        <v>0.1609311368728282</v>
      </c>
      <c r="F259">
        <f t="shared" si="283"/>
        <v>-1000000</v>
      </c>
      <c r="G259">
        <f t="shared" si="283"/>
        <v>-1000000</v>
      </c>
      <c r="H259">
        <f t="shared" si="283"/>
        <v>-1000000</v>
      </c>
      <c r="I259">
        <f t="shared" si="283"/>
        <v>-1000000</v>
      </c>
      <c r="J259">
        <f t="shared" si="283"/>
        <v>0.11914011079723982</v>
      </c>
      <c r="K259" s="248">
        <f t="shared" si="283"/>
        <v>0.16211551720288478</v>
      </c>
      <c r="L259" s="3">
        <f t="shared" si="262"/>
        <v>-1000000</v>
      </c>
      <c r="M259">
        <f t="shared" si="263"/>
        <v>0.16543076000626342</v>
      </c>
      <c r="N259">
        <f t="shared" si="264"/>
        <v>-1000000</v>
      </c>
      <c r="O259">
        <f t="shared" si="265"/>
        <v>0.23656263114653245</v>
      </c>
      <c r="P259" s="387">
        <f t="shared" si="266"/>
        <v>-1000000</v>
      </c>
      <c r="Q259">
        <f t="shared" si="267"/>
        <v>0.12845294524805767</v>
      </c>
      <c r="R259">
        <f t="shared" si="268"/>
        <v>-1000000</v>
      </c>
      <c r="S259">
        <f t="shared" si="269"/>
        <v>0.10110626227728828</v>
      </c>
      <c r="T259">
        <f t="shared" si="270"/>
        <v>0.16894747496636212</v>
      </c>
      <c r="U259">
        <f t="shared" si="271"/>
        <v>0.20385451480534947</v>
      </c>
      <c r="V259">
        <f t="shared" si="272"/>
        <v>-1000000</v>
      </c>
      <c r="W259">
        <f t="shared" si="273"/>
        <v>0.11096382862658845</v>
      </c>
      <c r="X259">
        <f t="shared" si="274"/>
        <v>-1000000</v>
      </c>
      <c r="Y259">
        <f t="shared" si="275"/>
        <v>0.17638243797269326</v>
      </c>
      <c r="Z259">
        <f t="shared" si="276"/>
        <v>0.18613328438893803</v>
      </c>
      <c r="AA259">
        <f t="shared" si="277"/>
        <v>0.19858385944978441</v>
      </c>
      <c r="AB259">
        <f t="shared" si="277"/>
        <v>5.6261901307906481E-2</v>
      </c>
      <c r="AC259" s="3">
        <v>6</v>
      </c>
    </row>
    <row r="260" spans="1:29" x14ac:dyDescent="0.2">
      <c r="A260" s="3">
        <v>7</v>
      </c>
      <c r="B260" t="s">
        <v>2</v>
      </c>
      <c r="C260">
        <f t="shared" si="278"/>
        <v>0.14802830748941492</v>
      </c>
      <c r="D260">
        <f t="shared" si="278"/>
        <v>1.5459569113676396E-2</v>
      </c>
      <c r="E260">
        <f t="shared" ref="E260:K260" si="284">IF($A260=E$240,-1000000,E235)</f>
        <v>8.4771198387578073E-2</v>
      </c>
      <c r="F260">
        <f t="shared" si="284"/>
        <v>-1000000</v>
      </c>
      <c r="G260">
        <f t="shared" si="284"/>
        <v>-1000000</v>
      </c>
      <c r="H260">
        <f t="shared" si="284"/>
        <v>-1000000</v>
      </c>
      <c r="I260">
        <f t="shared" si="284"/>
        <v>0.20249945547557574</v>
      </c>
      <c r="J260">
        <f t="shared" si="284"/>
        <v>-1000000</v>
      </c>
      <c r="K260" s="248">
        <f t="shared" si="284"/>
        <v>0.15164198914722199</v>
      </c>
      <c r="L260" s="3">
        <f t="shared" si="262"/>
        <v>0.16905409333458646</v>
      </c>
      <c r="M260">
        <f t="shared" si="263"/>
        <v>0.17791532229972004</v>
      </c>
      <c r="N260">
        <f t="shared" si="264"/>
        <v>0.18329107638042641</v>
      </c>
      <c r="O260">
        <f t="shared" si="265"/>
        <v>-1000000</v>
      </c>
      <c r="P260" s="387">
        <f t="shared" si="266"/>
        <v>0.15247227351512568</v>
      </c>
      <c r="Q260">
        <f t="shared" si="267"/>
        <v>0.16810312504845659</v>
      </c>
      <c r="R260">
        <f t="shared" si="268"/>
        <v>0.13617458248689532</v>
      </c>
      <c r="S260">
        <f t="shared" si="269"/>
        <v>0.16857751796043316</v>
      </c>
      <c r="T260">
        <f t="shared" si="270"/>
        <v>-1000000</v>
      </c>
      <c r="U260">
        <f t="shared" si="271"/>
        <v>8.9055179557913131E-2</v>
      </c>
      <c r="V260">
        <f t="shared" si="272"/>
        <v>0.14095442589055734</v>
      </c>
      <c r="W260">
        <f t="shared" si="273"/>
        <v>0.17050449956239011</v>
      </c>
      <c r="X260">
        <f t="shared" si="274"/>
        <v>0.16976862899890713</v>
      </c>
      <c r="Y260">
        <f t="shared" si="275"/>
        <v>0.16853010806177343</v>
      </c>
      <c r="Z260">
        <f t="shared" si="276"/>
        <v>0.17900509734230102</v>
      </c>
      <c r="AA260">
        <f t="shared" si="277"/>
        <v>0.19039618077006359</v>
      </c>
      <c r="AB260">
        <f t="shared" si="277"/>
        <v>0</v>
      </c>
      <c r="AC260" s="3">
        <v>7</v>
      </c>
    </row>
    <row r="261" spans="1:29" x14ac:dyDescent="0.2">
      <c r="A261" s="3"/>
    </row>
    <row r="262" spans="1:29" x14ac:dyDescent="0.2">
      <c r="A262" s="59">
        <v>27</v>
      </c>
      <c r="B262" s="137">
        <v>0</v>
      </c>
      <c r="C262">
        <v>1</v>
      </c>
      <c r="D262">
        <v>2</v>
      </c>
      <c r="E262">
        <v>3</v>
      </c>
      <c r="F262">
        <v>4</v>
      </c>
      <c r="G262">
        <v>5</v>
      </c>
      <c r="H262">
        <v>6</v>
      </c>
      <c r="I262">
        <v>7</v>
      </c>
      <c r="J262">
        <v>8</v>
      </c>
      <c r="K262" s="248">
        <v>9</v>
      </c>
      <c r="L262" s="3">
        <v>10</v>
      </c>
      <c r="M262">
        <v>11</v>
      </c>
      <c r="N262">
        <v>12</v>
      </c>
      <c r="O262">
        <v>13</v>
      </c>
      <c r="P262" s="387">
        <v>14</v>
      </c>
      <c r="Q262">
        <v>15</v>
      </c>
      <c r="R262">
        <v>16</v>
      </c>
      <c r="S262">
        <v>17</v>
      </c>
      <c r="T262">
        <v>18</v>
      </c>
      <c r="U262">
        <v>19</v>
      </c>
      <c r="V262">
        <v>20</v>
      </c>
      <c r="W262">
        <v>21</v>
      </c>
      <c r="X262">
        <v>22</v>
      </c>
      <c r="Y262">
        <v>23</v>
      </c>
      <c r="Z262">
        <v>24</v>
      </c>
      <c r="AA262">
        <v>25</v>
      </c>
      <c r="AB262">
        <v>26</v>
      </c>
    </row>
    <row r="263" spans="1:29" x14ac:dyDescent="0.2">
      <c r="A263" s="59"/>
      <c r="B263" s="25" t="s">
        <v>111</v>
      </c>
    </row>
    <row r="264" spans="1:29" x14ac:dyDescent="0.2">
      <c r="A264" s="59"/>
      <c r="B264" t="s">
        <v>112</v>
      </c>
      <c r="C264">
        <f>MAX(C254:C260)</f>
        <v>0.14802830748941492</v>
      </c>
      <c r="D264">
        <f t="shared" ref="D264:AA264" si="285">MAX(D254:D260)</f>
        <v>0.18718073184645534</v>
      </c>
      <c r="E264">
        <f t="shared" si="285"/>
        <v>0.1609311368728282</v>
      </c>
      <c r="F264">
        <f t="shared" si="285"/>
        <v>0.16675242563664083</v>
      </c>
      <c r="G264">
        <f t="shared" si="285"/>
        <v>0.20095949436801017</v>
      </c>
      <c r="H264">
        <f t="shared" si="285"/>
        <v>0.2101146571389633</v>
      </c>
      <c r="I264">
        <f t="shared" si="285"/>
        <v>0.20249945547557574</v>
      </c>
      <c r="J264">
        <f t="shared" si="285"/>
        <v>0.22191378724901939</v>
      </c>
      <c r="K264" s="248">
        <f t="shared" si="285"/>
        <v>0.16211551720288478</v>
      </c>
      <c r="L264" s="3">
        <f t="shared" si="285"/>
        <v>0.19035861010870456</v>
      </c>
      <c r="M264">
        <f t="shared" si="285"/>
        <v>0.17791532229972004</v>
      </c>
      <c r="N264">
        <f t="shared" si="285"/>
        <v>0.18392336575638052</v>
      </c>
      <c r="O264">
        <f t="shared" si="285"/>
        <v>0.23656263114653245</v>
      </c>
      <c r="P264" s="387">
        <f t="shared" si="285"/>
        <v>0.22035355151476452</v>
      </c>
      <c r="Q264">
        <f t="shared" si="285"/>
        <v>0.16810312504845659</v>
      </c>
      <c r="R264">
        <f t="shared" si="285"/>
        <v>0.16492494605876432</v>
      </c>
      <c r="S264">
        <f t="shared" si="285"/>
        <v>0.16857751796043316</v>
      </c>
      <c r="T264">
        <f t="shared" si="285"/>
        <v>0.16894747496636212</v>
      </c>
      <c r="U264">
        <f t="shared" si="285"/>
        <v>0.20385451480534947</v>
      </c>
      <c r="V264">
        <f t="shared" si="285"/>
        <v>0.18193665932276931</v>
      </c>
      <c r="W264">
        <f t="shared" si="285"/>
        <v>0.17050449956239011</v>
      </c>
      <c r="X264">
        <f t="shared" si="285"/>
        <v>0.16976862899890713</v>
      </c>
      <c r="Y264">
        <f t="shared" si="285"/>
        <v>0.17752679138820027</v>
      </c>
      <c r="Z264">
        <f t="shared" si="285"/>
        <v>0.18838988244082402</v>
      </c>
      <c r="AA264">
        <f t="shared" si="285"/>
        <v>0.1994598027978467</v>
      </c>
      <c r="AB264">
        <f t="shared" ref="AB264" si="286">MAX(AB254:AB260)</f>
        <v>0.12637448945126656</v>
      </c>
    </row>
    <row r="265" spans="1:29" x14ac:dyDescent="0.2">
      <c r="A265" s="59"/>
      <c r="B265" t="s">
        <v>113</v>
      </c>
      <c r="C265" s="138">
        <f>VLOOKUP(C264,C$254:$AC$260,$A$262-B262,FALSE)</f>
        <v>6</v>
      </c>
      <c r="D265" s="138">
        <f>VLOOKUP(D264,D$254:$AC$260,$A$262-C262,FALSE)</f>
        <v>6</v>
      </c>
      <c r="E265" s="138">
        <f>VLOOKUP(E264,E$254:$AC$260,$A$262-D262,FALSE)</f>
        <v>6</v>
      </c>
      <c r="F265" s="138">
        <f>VLOOKUP(F264,F$254:$AC$260,$A$262-E262,FALSE)</f>
        <v>5</v>
      </c>
      <c r="G265" s="138">
        <f>VLOOKUP(G264,G$254:$AC$260,$A$262-F262,FALSE)</f>
        <v>5</v>
      </c>
      <c r="H265" s="138">
        <f>VLOOKUP(H264,H$254:$AC$260,$A$262-G262,FALSE)</f>
        <v>4</v>
      </c>
      <c r="I265" s="138">
        <f>VLOOKUP(I264,I$254:$AC$260,$A$262-H262,FALSE)</f>
        <v>7</v>
      </c>
      <c r="J265" s="138">
        <f>VLOOKUP(J264,J$254:$AC$260,$A$262-I262,FALSE)</f>
        <v>2</v>
      </c>
      <c r="K265" s="264">
        <f>VLOOKUP(K264,K$254:$AC$260,$A$262-J262,FALSE)</f>
        <v>6</v>
      </c>
      <c r="L265" s="242">
        <f>VLOOKUP(L264,L$254:$AC$260,$A$262-K262,FALSE)</f>
        <v>4</v>
      </c>
      <c r="M265" s="138">
        <f>VLOOKUP(M264,M$254:$AC$260,$A$262-L262,FALSE)</f>
        <v>7</v>
      </c>
      <c r="N265" s="138">
        <f>VLOOKUP(N264,N$254:$AC$260,$A$262-M262,FALSE)</f>
        <v>4</v>
      </c>
      <c r="O265" s="138">
        <f>VLOOKUP(O264,O$254:$AC$260,$A$262-N262,FALSE)</f>
        <v>6</v>
      </c>
      <c r="P265" s="407">
        <f>VLOOKUP(P264,P$254:$AC$260,$A$262-O262,FALSE)</f>
        <v>4</v>
      </c>
      <c r="Q265" s="138">
        <f>VLOOKUP(Q264,Q$254:$AC$260,$A$262-P262,FALSE)</f>
        <v>7</v>
      </c>
      <c r="R265" s="138">
        <f>VLOOKUP(R264,R$254:$AC$260,$A$262-Q262,FALSE)</f>
        <v>3</v>
      </c>
      <c r="S265" s="138">
        <f>VLOOKUP(S264,S$254:$AC$260,$A$262-R262,FALSE)</f>
        <v>7</v>
      </c>
      <c r="T265" s="138">
        <f>VLOOKUP(T264,T$254:$AC$260,$A$262-S262,FALSE)</f>
        <v>6</v>
      </c>
      <c r="U265" s="138">
        <f>VLOOKUP(U264,U$254:$AC$260,$A$262-T262,FALSE)</f>
        <v>6</v>
      </c>
      <c r="V265" s="138">
        <f>VLOOKUP(V264,V$254:$AC$260,$A$262-U262,FALSE)</f>
        <v>4</v>
      </c>
      <c r="W265" s="138">
        <f>VLOOKUP(W264,W$254:$AC$260,$A$262-V262,FALSE)</f>
        <v>7</v>
      </c>
      <c r="X265" s="138">
        <f>VLOOKUP(X264,X$254:$AC$260,$A$262-W262,FALSE)</f>
        <v>7</v>
      </c>
      <c r="Y265" s="138">
        <f>VLOOKUP(Y264,Y$254:$AC$260,$A$262-X262,FALSE)</f>
        <v>5</v>
      </c>
      <c r="Z265" s="138">
        <f>VLOOKUP(Z264,Z$254:$AC$260,$A$262-Y262,FALSE)</f>
        <v>5</v>
      </c>
      <c r="AA265" s="138">
        <f>VLOOKUP(AA264,AA$254:$AC$260,$A$262-Z262,FALSE)</f>
        <v>5</v>
      </c>
      <c r="AB265" s="138">
        <f>VLOOKUP(AB264,AB$254:$AC$260,$A$262-AA262,FALSE)</f>
        <v>3</v>
      </c>
    </row>
    <row r="266" spans="1:29" x14ac:dyDescent="0.2">
      <c r="A266" s="59"/>
      <c r="B266" s="4" t="s">
        <v>110</v>
      </c>
    </row>
    <row r="267" spans="1:29" x14ac:dyDescent="0.2">
      <c r="A267" s="3">
        <v>1</v>
      </c>
      <c r="B267" t="s">
        <v>41</v>
      </c>
      <c r="C267">
        <f>IF($A267=C$265,MIN(C200,C$251),0)</f>
        <v>0</v>
      </c>
      <c r="D267">
        <f t="shared" ref="D267:K267" si="287">IF($A267=D$265,MIN(D200,D$251),0)</f>
        <v>0</v>
      </c>
      <c r="E267">
        <f t="shared" si="287"/>
        <v>0</v>
      </c>
      <c r="F267">
        <f t="shared" si="287"/>
        <v>0</v>
      </c>
      <c r="G267">
        <f t="shared" si="287"/>
        <v>0</v>
      </c>
      <c r="H267">
        <f t="shared" si="287"/>
        <v>0</v>
      </c>
      <c r="I267">
        <f t="shared" si="287"/>
        <v>0</v>
      </c>
      <c r="J267">
        <f t="shared" si="287"/>
        <v>0</v>
      </c>
      <c r="K267" s="248">
        <f t="shared" si="287"/>
        <v>0</v>
      </c>
      <c r="L267" s="3">
        <f t="shared" ref="L267:L273" si="288">IF($A267=L$265,MIN(L200,L$251),0)</f>
        <v>0</v>
      </c>
      <c r="M267" s="3">
        <f t="shared" ref="M267:AA267" si="289">IF($A267=M$265,MIN(M200,M$251),0)</f>
        <v>0</v>
      </c>
      <c r="N267" s="3">
        <f t="shared" si="289"/>
        <v>0</v>
      </c>
      <c r="O267" s="3">
        <f t="shared" si="289"/>
        <v>0</v>
      </c>
      <c r="P267" s="387">
        <f t="shared" si="289"/>
        <v>0</v>
      </c>
      <c r="Q267" s="3">
        <f t="shared" si="289"/>
        <v>0</v>
      </c>
      <c r="R267" s="3">
        <f t="shared" si="289"/>
        <v>0</v>
      </c>
      <c r="S267" s="3">
        <f t="shared" si="289"/>
        <v>0</v>
      </c>
      <c r="T267" s="3">
        <f t="shared" si="289"/>
        <v>0</v>
      </c>
      <c r="U267" s="3">
        <f t="shared" si="289"/>
        <v>0</v>
      </c>
      <c r="V267" s="3">
        <f t="shared" si="289"/>
        <v>0</v>
      </c>
      <c r="W267" s="3">
        <f t="shared" si="289"/>
        <v>0</v>
      </c>
      <c r="X267" s="3">
        <f t="shared" si="289"/>
        <v>0</v>
      </c>
      <c r="Y267" s="3">
        <f t="shared" si="289"/>
        <v>0</v>
      </c>
      <c r="Z267" s="3">
        <f t="shared" si="289"/>
        <v>0</v>
      </c>
      <c r="AA267" s="3">
        <f t="shared" si="289"/>
        <v>0</v>
      </c>
      <c r="AB267" s="3">
        <f t="shared" ref="AB267" si="290">IF($A267=AB$265,MIN(AB200,AB$251),0)</f>
        <v>0</v>
      </c>
    </row>
    <row r="268" spans="1:29" x14ac:dyDescent="0.2">
      <c r="A268" s="3">
        <v>2</v>
      </c>
      <c r="B268" t="s">
        <v>3</v>
      </c>
      <c r="C268">
        <f t="shared" ref="C268:K268" si="291">IF($A268=C$265,MIN(C201,C$251),0)</f>
        <v>0</v>
      </c>
      <c r="D268">
        <f t="shared" si="291"/>
        <v>0</v>
      </c>
      <c r="E268">
        <f t="shared" si="291"/>
        <v>0</v>
      </c>
      <c r="F268">
        <f t="shared" si="291"/>
        <v>0</v>
      </c>
      <c r="G268">
        <f t="shared" si="291"/>
        <v>0</v>
      </c>
      <c r="H268">
        <f t="shared" si="291"/>
        <v>0</v>
      </c>
      <c r="I268">
        <f t="shared" si="291"/>
        <v>0</v>
      </c>
      <c r="J268">
        <f t="shared" si="291"/>
        <v>0</v>
      </c>
      <c r="K268" s="248">
        <f t="shared" si="291"/>
        <v>0</v>
      </c>
      <c r="L268" s="3">
        <f t="shared" si="288"/>
        <v>0</v>
      </c>
      <c r="M268" s="3">
        <f t="shared" ref="M268:AA268" si="292">IF($A268=M$265,MIN(M201,M$251),0)</f>
        <v>0</v>
      </c>
      <c r="N268" s="3">
        <f t="shared" si="292"/>
        <v>0</v>
      </c>
      <c r="O268" s="3">
        <f t="shared" si="292"/>
        <v>0</v>
      </c>
      <c r="P268" s="387">
        <f t="shared" si="292"/>
        <v>0</v>
      </c>
      <c r="Q268" s="3">
        <f t="shared" si="292"/>
        <v>0</v>
      </c>
      <c r="R268" s="3">
        <f t="shared" si="292"/>
        <v>0</v>
      </c>
      <c r="S268" s="3">
        <f t="shared" si="292"/>
        <v>0</v>
      </c>
      <c r="T268" s="3">
        <f t="shared" si="292"/>
        <v>0</v>
      </c>
      <c r="U268" s="3">
        <f t="shared" si="292"/>
        <v>0</v>
      </c>
      <c r="V268" s="3">
        <f t="shared" si="292"/>
        <v>0</v>
      </c>
      <c r="W268" s="3">
        <f t="shared" si="292"/>
        <v>0</v>
      </c>
      <c r="X268" s="3">
        <f t="shared" si="292"/>
        <v>0</v>
      </c>
      <c r="Y268" s="3">
        <f t="shared" si="292"/>
        <v>0</v>
      </c>
      <c r="Z268" s="3">
        <f t="shared" si="292"/>
        <v>0</v>
      </c>
      <c r="AA268" s="3">
        <f t="shared" si="292"/>
        <v>0</v>
      </c>
      <c r="AB268" s="3">
        <f t="shared" ref="AB268" si="293">IF($A268=AB$265,MIN(AB201,AB$251),0)</f>
        <v>0</v>
      </c>
    </row>
    <row r="269" spans="1:29" x14ac:dyDescent="0.2">
      <c r="A269" s="3">
        <v>3</v>
      </c>
      <c r="B269" t="s">
        <v>29</v>
      </c>
      <c r="C269">
        <f t="shared" ref="C269:K269" si="294">IF($A269=C$265,MIN(C202,C$251),0)</f>
        <v>0</v>
      </c>
      <c r="D269">
        <f t="shared" si="294"/>
        <v>0</v>
      </c>
      <c r="E269">
        <f t="shared" si="294"/>
        <v>0</v>
      </c>
      <c r="F269">
        <f t="shared" si="294"/>
        <v>0</v>
      </c>
      <c r="G269">
        <f t="shared" si="294"/>
        <v>0</v>
      </c>
      <c r="H269">
        <f t="shared" si="294"/>
        <v>0</v>
      </c>
      <c r="I269">
        <f t="shared" si="294"/>
        <v>0</v>
      </c>
      <c r="J269">
        <f t="shared" si="294"/>
        <v>0</v>
      </c>
      <c r="K269" s="248">
        <f t="shared" si="294"/>
        <v>0</v>
      </c>
      <c r="L269" s="3">
        <f t="shared" si="288"/>
        <v>0</v>
      </c>
      <c r="M269" s="3">
        <f t="shared" ref="M269:AA269" si="295">IF($A269=M$265,MIN(M202,M$251),0)</f>
        <v>0</v>
      </c>
      <c r="N269" s="3">
        <f t="shared" si="295"/>
        <v>0</v>
      </c>
      <c r="O269" s="3">
        <f t="shared" si="295"/>
        <v>0</v>
      </c>
      <c r="P269" s="387">
        <f t="shared" si="295"/>
        <v>0</v>
      </c>
      <c r="Q269" s="3">
        <f t="shared" si="295"/>
        <v>0</v>
      </c>
      <c r="R269" s="3">
        <f t="shared" si="295"/>
        <v>0</v>
      </c>
      <c r="S269" s="3">
        <f t="shared" si="295"/>
        <v>0</v>
      </c>
      <c r="T269" s="3">
        <f t="shared" si="295"/>
        <v>0</v>
      </c>
      <c r="U269" s="3">
        <f t="shared" si="295"/>
        <v>0</v>
      </c>
      <c r="V269" s="3">
        <f t="shared" si="295"/>
        <v>0</v>
      </c>
      <c r="W269" s="3">
        <f t="shared" si="295"/>
        <v>0</v>
      </c>
      <c r="X269" s="3">
        <f t="shared" si="295"/>
        <v>0</v>
      </c>
      <c r="Y269" s="3">
        <f t="shared" si="295"/>
        <v>0</v>
      </c>
      <c r="Z269" s="3">
        <f t="shared" si="295"/>
        <v>0</v>
      </c>
      <c r="AA269" s="3">
        <f t="shared" si="295"/>
        <v>0</v>
      </c>
      <c r="AB269" s="3">
        <f t="shared" ref="AB269" si="296">IF($A269=AB$265,MIN(AB202,AB$251),0)</f>
        <v>0</v>
      </c>
    </row>
    <row r="270" spans="1:29" x14ac:dyDescent="0.2">
      <c r="A270" s="3">
        <v>4</v>
      </c>
      <c r="B270" t="s">
        <v>5</v>
      </c>
      <c r="C270">
        <f t="shared" ref="C270:K270" si="297">IF($A270=C$265,MIN(C203,C$251),0)</f>
        <v>0</v>
      </c>
      <c r="D270">
        <f t="shared" si="297"/>
        <v>0</v>
      </c>
      <c r="E270">
        <f t="shared" si="297"/>
        <v>0</v>
      </c>
      <c r="F270">
        <f t="shared" si="297"/>
        <v>0</v>
      </c>
      <c r="G270">
        <f t="shared" si="297"/>
        <v>0</v>
      </c>
      <c r="H270">
        <f t="shared" si="297"/>
        <v>196474.11675243918</v>
      </c>
      <c r="I270">
        <f t="shared" si="297"/>
        <v>0</v>
      </c>
      <c r="J270">
        <f t="shared" si="297"/>
        <v>0</v>
      </c>
      <c r="K270" s="248">
        <f t="shared" si="297"/>
        <v>0</v>
      </c>
      <c r="L270" s="3">
        <f t="shared" si="288"/>
        <v>0</v>
      </c>
      <c r="M270" s="3">
        <f t="shared" ref="M270:AA270" si="298">IF($A270=M$265,MIN(M203,M$251),0)</f>
        <v>0</v>
      </c>
      <c r="N270" s="3">
        <f t="shared" si="298"/>
        <v>0</v>
      </c>
      <c r="O270" s="3">
        <f t="shared" si="298"/>
        <v>0</v>
      </c>
      <c r="P270" s="387">
        <f t="shared" si="298"/>
        <v>0</v>
      </c>
      <c r="Q270" s="3">
        <f t="shared" si="298"/>
        <v>0</v>
      </c>
      <c r="R270" s="3">
        <f t="shared" si="298"/>
        <v>0</v>
      </c>
      <c r="S270" s="3">
        <f t="shared" si="298"/>
        <v>0</v>
      </c>
      <c r="T270" s="3">
        <f t="shared" si="298"/>
        <v>0</v>
      </c>
      <c r="U270" s="3">
        <f t="shared" si="298"/>
        <v>0</v>
      </c>
      <c r="V270" s="3">
        <f t="shared" si="298"/>
        <v>0</v>
      </c>
      <c r="W270" s="3">
        <f t="shared" si="298"/>
        <v>0</v>
      </c>
      <c r="X270" s="3">
        <f t="shared" si="298"/>
        <v>0</v>
      </c>
      <c r="Y270" s="3">
        <f t="shared" si="298"/>
        <v>0</v>
      </c>
      <c r="Z270" s="3">
        <f t="shared" si="298"/>
        <v>0</v>
      </c>
      <c r="AA270" s="3">
        <f t="shared" si="298"/>
        <v>0</v>
      </c>
      <c r="AB270" s="3">
        <f t="shared" ref="AB270" si="299">IF($A270=AB$265,MIN(AB203,AB$251),0)</f>
        <v>0</v>
      </c>
    </row>
    <row r="271" spans="1:29" x14ac:dyDescent="0.2">
      <c r="A271" s="3">
        <v>5</v>
      </c>
      <c r="B271" t="s">
        <v>6</v>
      </c>
      <c r="C271">
        <f t="shared" ref="C271:K271" si="300">IF($A271=C$265,MIN(C204,C$251),0)</f>
        <v>0</v>
      </c>
      <c r="D271">
        <f t="shared" si="300"/>
        <v>0</v>
      </c>
      <c r="E271">
        <f t="shared" si="300"/>
        <v>0</v>
      </c>
      <c r="F271">
        <f t="shared" si="300"/>
        <v>0</v>
      </c>
      <c r="G271">
        <f t="shared" si="300"/>
        <v>0</v>
      </c>
      <c r="H271">
        <f t="shared" si="300"/>
        <v>0</v>
      </c>
      <c r="I271">
        <f t="shared" si="300"/>
        <v>0</v>
      </c>
      <c r="J271">
        <f t="shared" si="300"/>
        <v>0</v>
      </c>
      <c r="K271" s="248">
        <f t="shared" si="300"/>
        <v>0</v>
      </c>
      <c r="L271" s="3">
        <f t="shared" si="288"/>
        <v>0</v>
      </c>
      <c r="M271" s="3">
        <f t="shared" ref="M271:AA271" si="301">IF($A271=M$265,MIN(M204,M$251),0)</f>
        <v>0</v>
      </c>
      <c r="N271" s="3">
        <f t="shared" si="301"/>
        <v>0</v>
      </c>
      <c r="O271" s="3">
        <f t="shared" si="301"/>
        <v>0</v>
      </c>
      <c r="P271" s="387">
        <f t="shared" si="301"/>
        <v>0</v>
      </c>
      <c r="Q271" s="3">
        <f t="shared" si="301"/>
        <v>0</v>
      </c>
      <c r="R271" s="3">
        <f t="shared" si="301"/>
        <v>0</v>
      </c>
      <c r="S271" s="3">
        <f t="shared" si="301"/>
        <v>0</v>
      </c>
      <c r="T271" s="3">
        <f t="shared" si="301"/>
        <v>0</v>
      </c>
      <c r="U271" s="3">
        <f t="shared" si="301"/>
        <v>0</v>
      </c>
      <c r="V271" s="3">
        <f t="shared" si="301"/>
        <v>0</v>
      </c>
      <c r="W271" s="3">
        <f t="shared" si="301"/>
        <v>0</v>
      </c>
      <c r="X271" s="3">
        <f t="shared" si="301"/>
        <v>0</v>
      </c>
      <c r="Y271" s="3">
        <f t="shared" si="301"/>
        <v>0</v>
      </c>
      <c r="Z271" s="3">
        <f t="shared" si="301"/>
        <v>0</v>
      </c>
      <c r="AA271" s="3">
        <f t="shared" si="301"/>
        <v>0</v>
      </c>
      <c r="AB271" s="3">
        <f t="shared" ref="AB271" si="302">IF($A271=AB$265,MIN(AB204,AB$251),0)</f>
        <v>0</v>
      </c>
    </row>
    <row r="272" spans="1:29" x14ac:dyDescent="0.2">
      <c r="A272" s="3">
        <v>6</v>
      </c>
      <c r="B272" t="s">
        <v>1</v>
      </c>
      <c r="C272">
        <f t="shared" ref="C272:K272" si="303">IF($A272=C$265,MIN(C205,C$251),0)</f>
        <v>0</v>
      </c>
      <c r="D272">
        <f t="shared" si="303"/>
        <v>0</v>
      </c>
      <c r="E272">
        <f t="shared" si="303"/>
        <v>0</v>
      </c>
      <c r="F272">
        <f t="shared" si="303"/>
        <v>0</v>
      </c>
      <c r="G272">
        <f t="shared" si="303"/>
        <v>0</v>
      </c>
      <c r="H272">
        <f t="shared" si="303"/>
        <v>0</v>
      </c>
      <c r="I272">
        <f t="shared" si="303"/>
        <v>0</v>
      </c>
      <c r="J272">
        <f t="shared" si="303"/>
        <v>0</v>
      </c>
      <c r="K272" s="248">
        <f t="shared" si="303"/>
        <v>0</v>
      </c>
      <c r="L272" s="3">
        <f t="shared" si="288"/>
        <v>0</v>
      </c>
      <c r="M272" s="3">
        <f t="shared" ref="M272:AA272" si="304">IF($A272=M$265,MIN(M205,M$251),0)</f>
        <v>0</v>
      </c>
      <c r="N272" s="3">
        <f t="shared" si="304"/>
        <v>0</v>
      </c>
      <c r="O272" s="3">
        <f t="shared" si="304"/>
        <v>0</v>
      </c>
      <c r="P272" s="387">
        <f t="shared" si="304"/>
        <v>0</v>
      </c>
      <c r="Q272" s="3">
        <f t="shared" si="304"/>
        <v>0</v>
      </c>
      <c r="R272" s="3">
        <f t="shared" si="304"/>
        <v>0</v>
      </c>
      <c r="S272" s="3">
        <f t="shared" si="304"/>
        <v>0</v>
      </c>
      <c r="T272" s="3">
        <f t="shared" si="304"/>
        <v>0</v>
      </c>
      <c r="U272" s="3">
        <f t="shared" si="304"/>
        <v>0</v>
      </c>
      <c r="V272" s="3">
        <f t="shared" si="304"/>
        <v>0</v>
      </c>
      <c r="W272" s="3">
        <f t="shared" si="304"/>
        <v>0</v>
      </c>
      <c r="X272" s="3">
        <f t="shared" si="304"/>
        <v>0</v>
      </c>
      <c r="Y272" s="3">
        <f t="shared" si="304"/>
        <v>0</v>
      </c>
      <c r="Z272" s="3">
        <f t="shared" si="304"/>
        <v>0</v>
      </c>
      <c r="AA272" s="3">
        <f t="shared" si="304"/>
        <v>0</v>
      </c>
      <c r="AB272" s="3">
        <f t="shared" ref="AB272" si="305">IF($A272=AB$265,MIN(AB205,AB$251),0)</f>
        <v>0</v>
      </c>
    </row>
    <row r="273" spans="1:29" x14ac:dyDescent="0.2">
      <c r="A273" s="3">
        <v>7</v>
      </c>
      <c r="B273" t="s">
        <v>2</v>
      </c>
      <c r="C273">
        <f t="shared" ref="C273:K273" si="306">IF($A273=C$265,MIN(C206,C$251),0)</f>
        <v>0</v>
      </c>
      <c r="D273">
        <f t="shared" si="306"/>
        <v>0</v>
      </c>
      <c r="E273">
        <f t="shared" si="306"/>
        <v>0</v>
      </c>
      <c r="F273">
        <f t="shared" si="306"/>
        <v>0</v>
      </c>
      <c r="G273">
        <f t="shared" si="306"/>
        <v>0</v>
      </c>
      <c r="H273">
        <f t="shared" si="306"/>
        <v>0</v>
      </c>
      <c r="I273">
        <f t="shared" si="306"/>
        <v>0</v>
      </c>
      <c r="J273">
        <f t="shared" si="306"/>
        <v>0</v>
      </c>
      <c r="K273" s="248">
        <f t="shared" si="306"/>
        <v>0</v>
      </c>
      <c r="L273" s="3">
        <f t="shared" si="288"/>
        <v>0</v>
      </c>
      <c r="M273" s="3">
        <f t="shared" ref="M273:AA273" si="307">IF($A273=M$265,MIN(M206,M$251),0)</f>
        <v>0</v>
      </c>
      <c r="N273" s="3">
        <f t="shared" si="307"/>
        <v>0</v>
      </c>
      <c r="O273" s="3">
        <f t="shared" si="307"/>
        <v>0</v>
      </c>
      <c r="P273" s="387">
        <f t="shared" si="307"/>
        <v>0</v>
      </c>
      <c r="Q273" s="3">
        <f t="shared" si="307"/>
        <v>0</v>
      </c>
      <c r="R273" s="3">
        <f t="shared" si="307"/>
        <v>0</v>
      </c>
      <c r="S273" s="3">
        <f t="shared" si="307"/>
        <v>0</v>
      </c>
      <c r="T273" s="3">
        <f t="shared" si="307"/>
        <v>0</v>
      </c>
      <c r="U273" s="3">
        <f t="shared" si="307"/>
        <v>0</v>
      </c>
      <c r="V273" s="3">
        <f t="shared" si="307"/>
        <v>0</v>
      </c>
      <c r="W273" s="3">
        <f t="shared" si="307"/>
        <v>0</v>
      </c>
      <c r="X273" s="3">
        <f t="shared" si="307"/>
        <v>1120894.4991984349</v>
      </c>
      <c r="Y273" s="3">
        <f t="shared" si="307"/>
        <v>0</v>
      </c>
      <c r="Z273" s="3">
        <f t="shared" si="307"/>
        <v>0</v>
      </c>
      <c r="AA273" s="3">
        <f t="shared" si="307"/>
        <v>0</v>
      </c>
      <c r="AB273" s="3">
        <f t="shared" ref="AB273" si="308">IF($A273=AB$265,MIN(AB206,AB$251),0)</f>
        <v>0</v>
      </c>
    </row>
    <row r="274" spans="1:29" x14ac:dyDescent="0.2">
      <c r="A274" s="3"/>
      <c r="B274" s="78" t="s">
        <v>93</v>
      </c>
      <c r="C274">
        <f>SUM(C267:C273)</f>
        <v>0</v>
      </c>
      <c r="D274">
        <f t="shared" ref="D274:AA274" si="309">SUM(D267:D273)</f>
        <v>0</v>
      </c>
      <c r="E274">
        <f t="shared" si="309"/>
        <v>0</v>
      </c>
      <c r="F274">
        <f t="shared" si="309"/>
        <v>0</v>
      </c>
      <c r="G274">
        <f t="shared" si="309"/>
        <v>0</v>
      </c>
      <c r="H274">
        <f t="shared" si="309"/>
        <v>196474.11675243918</v>
      </c>
      <c r="I274">
        <f t="shared" si="309"/>
        <v>0</v>
      </c>
      <c r="J274">
        <f t="shared" si="309"/>
        <v>0</v>
      </c>
      <c r="K274" s="248">
        <f t="shared" si="309"/>
        <v>0</v>
      </c>
      <c r="L274" s="3">
        <f t="shared" si="309"/>
        <v>0</v>
      </c>
      <c r="M274" s="3">
        <f t="shared" si="309"/>
        <v>0</v>
      </c>
      <c r="N274" s="3">
        <f t="shared" si="309"/>
        <v>0</v>
      </c>
      <c r="O274" s="3">
        <f t="shared" si="309"/>
        <v>0</v>
      </c>
      <c r="P274" s="387">
        <f t="shared" si="309"/>
        <v>0</v>
      </c>
      <c r="Q274" s="3">
        <f t="shared" si="309"/>
        <v>0</v>
      </c>
      <c r="R274" s="3">
        <f t="shared" si="309"/>
        <v>0</v>
      </c>
      <c r="S274" s="3">
        <f t="shared" si="309"/>
        <v>0</v>
      </c>
      <c r="T274" s="3">
        <f t="shared" si="309"/>
        <v>0</v>
      </c>
      <c r="U274" s="3">
        <f t="shared" si="309"/>
        <v>0</v>
      </c>
      <c r="V274" s="3">
        <f t="shared" si="309"/>
        <v>0</v>
      </c>
      <c r="W274" s="3">
        <f t="shared" si="309"/>
        <v>0</v>
      </c>
      <c r="X274" s="3">
        <f t="shared" si="309"/>
        <v>1120894.4991984349</v>
      </c>
      <c r="Y274" s="3">
        <f t="shared" si="309"/>
        <v>0</v>
      </c>
      <c r="Z274" s="3">
        <f t="shared" si="309"/>
        <v>0</v>
      </c>
      <c r="AA274" s="3">
        <f t="shared" si="309"/>
        <v>0</v>
      </c>
      <c r="AB274" s="3">
        <f t="shared" ref="AB274" si="310">SUM(AB267:AB273)</f>
        <v>0</v>
      </c>
    </row>
    <row r="275" spans="1:29" x14ac:dyDescent="0.2">
      <c r="A275" s="3"/>
    </row>
    <row r="276" spans="1:29" x14ac:dyDescent="0.2">
      <c r="A276" s="3"/>
      <c r="B276" s="137" t="s">
        <v>99</v>
      </c>
      <c r="C276" s="38">
        <f>C251-C274</f>
        <v>3579182.0715725021</v>
      </c>
      <c r="D276" s="38">
        <f t="shared" ref="D276:AB276" si="311">D251-D274</f>
        <v>4339147.7612991668</v>
      </c>
      <c r="E276" s="38">
        <f t="shared" si="311"/>
        <v>5041192.6498998236</v>
      </c>
      <c r="F276" s="38">
        <f t="shared" si="311"/>
        <v>6811753.9982340001</v>
      </c>
      <c r="G276" s="38">
        <f t="shared" si="311"/>
        <v>7276817.2261948278</v>
      </c>
      <c r="H276" s="38">
        <f t="shared" si="311"/>
        <v>4470924.0354178827</v>
      </c>
      <c r="I276" s="38">
        <f t="shared" si="311"/>
        <v>6401307.3610291723</v>
      </c>
      <c r="J276" s="38">
        <f t="shared" si="311"/>
        <v>7865481.0863808226</v>
      </c>
      <c r="K276" s="251">
        <f t="shared" si="311"/>
        <v>0</v>
      </c>
      <c r="L276" s="76">
        <f t="shared" si="311"/>
        <v>0</v>
      </c>
      <c r="M276" s="76">
        <f t="shared" si="311"/>
        <v>0</v>
      </c>
      <c r="N276" s="76">
        <f t="shared" si="311"/>
        <v>0</v>
      </c>
      <c r="O276" s="76">
        <f t="shared" si="311"/>
        <v>0</v>
      </c>
      <c r="P276" s="390">
        <f t="shared" si="311"/>
        <v>0</v>
      </c>
      <c r="Q276" s="76">
        <f t="shared" si="311"/>
        <v>0</v>
      </c>
      <c r="R276" s="76">
        <f t="shared" si="311"/>
        <v>0</v>
      </c>
      <c r="S276" s="76">
        <f t="shared" si="311"/>
        <v>0</v>
      </c>
      <c r="T276" s="76">
        <f t="shared" si="311"/>
        <v>0</v>
      </c>
      <c r="U276" s="76">
        <f t="shared" si="311"/>
        <v>0</v>
      </c>
      <c r="V276" s="76">
        <f t="shared" si="311"/>
        <v>0</v>
      </c>
      <c r="W276" s="76">
        <f t="shared" si="311"/>
        <v>0</v>
      </c>
      <c r="X276" s="76">
        <f t="shared" si="311"/>
        <v>15014898.060078423</v>
      </c>
      <c r="Y276" s="76">
        <f t="shared" si="311"/>
        <v>29051743.092242945</v>
      </c>
      <c r="Z276" s="76">
        <f t="shared" si="311"/>
        <v>48378682.371660665</v>
      </c>
      <c r="AA276" s="76">
        <f t="shared" si="311"/>
        <v>77221973.702052146</v>
      </c>
      <c r="AB276" s="76">
        <f t="shared" si="311"/>
        <v>153647810.07906795</v>
      </c>
    </row>
    <row r="277" spans="1:29" x14ac:dyDescent="0.2">
      <c r="A277" s="3"/>
    </row>
    <row r="278" spans="1:29" x14ac:dyDescent="0.2">
      <c r="A278" s="59"/>
      <c r="B278" s="137" t="s">
        <v>94</v>
      </c>
    </row>
    <row r="279" spans="1:29" x14ac:dyDescent="0.2">
      <c r="A279" s="3">
        <v>1</v>
      </c>
      <c r="B279" t="s">
        <v>41</v>
      </c>
      <c r="C279">
        <f>IF($A279=C$265,-1000000,C254)</f>
        <v>4.0223066402473855E-2</v>
      </c>
      <c r="D279">
        <f t="shared" ref="D279:K279" si="312">IF($A279=D$265,-1000000,D254)</f>
        <v>7.515171639031086E-2</v>
      </c>
      <c r="E279">
        <f t="shared" si="312"/>
        <v>0.13214835769475825</v>
      </c>
      <c r="F279">
        <f t="shared" si="312"/>
        <v>8.877693893692333E-2</v>
      </c>
      <c r="G279">
        <f t="shared" si="312"/>
        <v>6.7407780346147167E-2</v>
      </c>
      <c r="H279">
        <f t="shared" si="312"/>
        <v>7.3184554112147832E-2</v>
      </c>
      <c r="I279">
        <f t="shared" si="312"/>
        <v>6.441728862035033E-2</v>
      </c>
      <c r="J279">
        <f t="shared" si="312"/>
        <v>5.6938769340430462E-2</v>
      </c>
      <c r="K279" s="248">
        <f t="shared" si="312"/>
        <v>5.6193970799165868E-2</v>
      </c>
      <c r="L279" s="3">
        <f t="shared" ref="L279:AA285" si="313">IF($A279=L$265,-1000000,L254)</f>
        <v>6.5247013622210873E-2</v>
      </c>
      <c r="M279">
        <f t="shared" si="313"/>
        <v>7.2693131305107753E-2</v>
      </c>
      <c r="N279">
        <f t="shared" si="313"/>
        <v>7.8445105350049435E-2</v>
      </c>
      <c r="O279">
        <f t="shared" si="313"/>
        <v>0.13167343195760525</v>
      </c>
      <c r="P279" s="387">
        <f t="shared" si="313"/>
        <v>0.10501072643371959</v>
      </c>
      <c r="Q279">
        <f t="shared" si="313"/>
        <v>0.10172677007420894</v>
      </c>
      <c r="R279">
        <f t="shared" si="313"/>
        <v>0.11683254670013099</v>
      </c>
      <c r="S279">
        <f t="shared" si="313"/>
        <v>0.11877746846311751</v>
      </c>
      <c r="T279">
        <f t="shared" si="313"/>
        <v>0.10625159812537399</v>
      </c>
      <c r="U279">
        <f t="shared" si="313"/>
        <v>0.10366479890188537</v>
      </c>
      <c r="V279">
        <f t="shared" si="313"/>
        <v>9.3025184012785297E-2</v>
      </c>
      <c r="W279">
        <f t="shared" si="313"/>
        <v>9.7817173449166836E-2</v>
      </c>
      <c r="X279">
        <f t="shared" si="313"/>
        <v>0.13725969247373501</v>
      </c>
      <c r="Y279">
        <f t="shared" si="313"/>
        <v>0.16153054425072538</v>
      </c>
      <c r="Z279">
        <f t="shared" si="313"/>
        <v>0.13796103679100594</v>
      </c>
      <c r="AA279">
        <f t="shared" si="313"/>
        <v>0.11714497374828843</v>
      </c>
      <c r="AB279">
        <f t="shared" ref="AB279" si="314">IF($A279=AB$265,-1000000,AB254)</f>
        <v>0</v>
      </c>
      <c r="AC279" s="3">
        <v>1</v>
      </c>
    </row>
    <row r="280" spans="1:29" x14ac:dyDescent="0.2">
      <c r="A280" s="3">
        <v>2</v>
      </c>
      <c r="B280" t="s">
        <v>3</v>
      </c>
      <c r="C280">
        <f t="shared" ref="C280:K285" si="315">IF($A280=C$265,-1000000,C255)</f>
        <v>-1000000</v>
      </c>
      <c r="D280">
        <f t="shared" si="315"/>
        <v>-1000000</v>
      </c>
      <c r="E280">
        <f t="shared" si="315"/>
        <v>-1000000</v>
      </c>
      <c r="F280">
        <f t="shared" si="315"/>
        <v>0.10739984077107713</v>
      </c>
      <c r="G280">
        <f t="shared" si="315"/>
        <v>8.3617379908936182E-2</v>
      </c>
      <c r="H280">
        <f t="shared" si="315"/>
        <v>0.140342188087971</v>
      </c>
      <c r="I280">
        <f t="shared" si="315"/>
        <v>0.17719899523083338</v>
      </c>
      <c r="J280">
        <f t="shared" si="315"/>
        <v>-1000000</v>
      </c>
      <c r="K280" s="248">
        <f t="shared" si="315"/>
        <v>7.549375707682153E-2</v>
      </c>
      <c r="L280" s="3">
        <f t="shared" ref="L280:R280" si="316">IF($A280=L$265,-1000000,L255)</f>
        <v>0.12100192804470275</v>
      </c>
      <c r="M280">
        <f t="shared" si="316"/>
        <v>0.12829422333309815</v>
      </c>
      <c r="N280">
        <f t="shared" si="316"/>
        <v>0.1278721404064623</v>
      </c>
      <c r="O280">
        <f t="shared" si="316"/>
        <v>2.6441780308304203E-2</v>
      </c>
      <c r="P280" s="387">
        <f t="shared" si="316"/>
        <v>6.4799896016057179E-2</v>
      </c>
      <c r="Q280">
        <f t="shared" si="316"/>
        <v>8.9348162585566701E-2</v>
      </c>
      <c r="R280">
        <f t="shared" si="316"/>
        <v>0.11582676128308356</v>
      </c>
      <c r="S280">
        <f t="shared" si="313"/>
        <v>9.7110648571767003E-2</v>
      </c>
      <c r="T280">
        <f t="shared" si="313"/>
        <v>0.10050239705922208</v>
      </c>
      <c r="U280">
        <f t="shared" si="313"/>
        <v>8.8987068487399679E-2</v>
      </c>
      <c r="V280">
        <f t="shared" si="313"/>
        <v>0.10007248764287122</v>
      </c>
      <c r="W280">
        <f t="shared" si="313"/>
        <v>0.11622074871860458</v>
      </c>
      <c r="X280">
        <f t="shared" si="313"/>
        <v>5.0963437826310305E-2</v>
      </c>
      <c r="Y280">
        <f t="shared" si="313"/>
        <v>0</v>
      </c>
      <c r="Z280">
        <f t="shared" si="313"/>
        <v>0</v>
      </c>
      <c r="AA280">
        <f t="shared" si="313"/>
        <v>0</v>
      </c>
      <c r="AB280">
        <f t="shared" ref="AB280" si="317">IF($A280=AB$265,-1000000,AB255)</f>
        <v>0</v>
      </c>
      <c r="AC280" s="3">
        <v>2</v>
      </c>
    </row>
    <row r="281" spans="1:29" x14ac:dyDescent="0.2">
      <c r="A281" s="3">
        <v>3</v>
      </c>
      <c r="B281" t="s">
        <v>29</v>
      </c>
      <c r="C281">
        <f t="shared" si="315"/>
        <v>4.59031582839882E-2</v>
      </c>
      <c r="D281">
        <f t="shared" si="315"/>
        <v>6.8714997321758189E-2</v>
      </c>
      <c r="E281">
        <f t="shared" si="315"/>
        <v>2.793811565293286E-2</v>
      </c>
      <c r="F281">
        <f t="shared" si="315"/>
        <v>3.043514587355416E-2</v>
      </c>
      <c r="G281">
        <f t="shared" si="315"/>
        <v>4.3875058777426035E-2</v>
      </c>
      <c r="H281">
        <f t="shared" si="315"/>
        <v>0</v>
      </c>
      <c r="I281">
        <f t="shared" si="315"/>
        <v>8.4582438178919875E-3</v>
      </c>
      <c r="J281">
        <f t="shared" si="315"/>
        <v>4.8338058410877634E-2</v>
      </c>
      <c r="K281" s="248">
        <f t="shared" si="315"/>
        <v>0.16015364588102812</v>
      </c>
      <c r="L281" s="3">
        <f t="shared" si="313"/>
        <v>9.9025160649915928E-2</v>
      </c>
      <c r="M281">
        <f t="shared" si="313"/>
        <v>9.4372133407876771E-2</v>
      </c>
      <c r="N281">
        <f t="shared" si="313"/>
        <v>9.4838593677294011E-2</v>
      </c>
      <c r="O281">
        <f t="shared" si="313"/>
        <v>0.12067430921954436</v>
      </c>
      <c r="P281" s="387">
        <f t="shared" si="313"/>
        <v>0.12827131892883833</v>
      </c>
      <c r="Q281">
        <f t="shared" si="313"/>
        <v>0.14099332351212165</v>
      </c>
      <c r="R281">
        <f t="shared" si="313"/>
        <v>-1000000</v>
      </c>
      <c r="S281">
        <f t="shared" si="313"/>
        <v>0.15550257610544485</v>
      </c>
      <c r="T281">
        <f t="shared" si="313"/>
        <v>0.14091894976185954</v>
      </c>
      <c r="U281">
        <f t="shared" si="313"/>
        <v>0.13595322720490188</v>
      </c>
      <c r="V281">
        <f t="shared" si="313"/>
        <v>0.11429718334065875</v>
      </c>
      <c r="W281">
        <f t="shared" si="313"/>
        <v>9.8343792727686896E-2</v>
      </c>
      <c r="X281">
        <f t="shared" si="313"/>
        <v>9.1924670424457469E-2</v>
      </c>
      <c r="Y281">
        <f t="shared" si="313"/>
        <v>0.12716964930103508</v>
      </c>
      <c r="Z281">
        <f t="shared" si="313"/>
        <v>0.10814124714738031</v>
      </c>
      <c r="AA281">
        <f t="shared" si="313"/>
        <v>8.3540807419010543E-2</v>
      </c>
      <c r="AB281">
        <f t="shared" ref="AB281" si="318">IF($A281=AB$265,-1000000,AB256)</f>
        <v>-1000000</v>
      </c>
      <c r="AC281" s="3">
        <v>3</v>
      </c>
    </row>
    <row r="282" spans="1:29" x14ac:dyDescent="0.2">
      <c r="A282" s="3">
        <v>4</v>
      </c>
      <c r="B282" t="s">
        <v>5</v>
      </c>
      <c r="C282">
        <f t="shared" si="315"/>
        <v>3.0692903706995126E-2</v>
      </c>
      <c r="D282">
        <f t="shared" si="315"/>
        <v>0</v>
      </c>
      <c r="E282">
        <f t="shared" si="315"/>
        <v>0</v>
      </c>
      <c r="F282">
        <f t="shared" si="315"/>
        <v>3.4557022077887654E-2</v>
      </c>
      <c r="G282">
        <f t="shared" si="315"/>
        <v>4.1916160265811894E-2</v>
      </c>
      <c r="H282">
        <f t="shared" si="315"/>
        <v>-1000000</v>
      </c>
      <c r="I282">
        <f t="shared" si="315"/>
        <v>-1000000</v>
      </c>
      <c r="J282">
        <f t="shared" si="315"/>
        <v>-1000000</v>
      </c>
      <c r="K282" s="248">
        <f t="shared" si="315"/>
        <v>-1000000</v>
      </c>
      <c r="L282" s="3">
        <f t="shared" si="313"/>
        <v>-1000000</v>
      </c>
      <c r="M282">
        <f t="shared" si="313"/>
        <v>-1000000</v>
      </c>
      <c r="N282">
        <f t="shared" si="313"/>
        <v>-1000000</v>
      </c>
      <c r="O282">
        <f t="shared" si="313"/>
        <v>0.20851842111925725</v>
      </c>
      <c r="P282" s="387">
        <f t="shared" si="313"/>
        <v>-1000000</v>
      </c>
      <c r="Q282">
        <f t="shared" si="313"/>
        <v>-1000000</v>
      </c>
      <c r="R282">
        <f t="shared" si="313"/>
        <v>0.1128219733439188</v>
      </c>
      <c r="S282">
        <f t="shared" si="313"/>
        <v>-1000000</v>
      </c>
      <c r="T282">
        <f t="shared" si="313"/>
        <v>0.15696575535130544</v>
      </c>
      <c r="U282">
        <f t="shared" si="313"/>
        <v>-1000000</v>
      </c>
      <c r="V282">
        <f t="shared" si="313"/>
        <v>-1000000</v>
      </c>
      <c r="W282">
        <f t="shared" si="313"/>
        <v>-1000000</v>
      </c>
      <c r="X282">
        <f t="shared" si="313"/>
        <v>0.150090610726868</v>
      </c>
      <c r="Y282">
        <f t="shared" si="313"/>
        <v>-1000000</v>
      </c>
      <c r="Z282">
        <f t="shared" si="313"/>
        <v>-1000000</v>
      </c>
      <c r="AA282">
        <f t="shared" si="313"/>
        <v>-1000000</v>
      </c>
      <c r="AB282">
        <f t="shared" ref="AB282" si="319">IF($A282=AB$265,-1000000,AB257)</f>
        <v>0</v>
      </c>
      <c r="AC282" s="3">
        <v>4</v>
      </c>
    </row>
    <row r="283" spans="1:29" x14ac:dyDescent="0.2">
      <c r="A283" s="3">
        <v>5</v>
      </c>
      <c r="B283" t="s">
        <v>6</v>
      </c>
      <c r="C283">
        <f t="shared" si="315"/>
        <v>-1000000</v>
      </c>
      <c r="D283">
        <f t="shared" si="315"/>
        <v>-1000000</v>
      </c>
      <c r="E283">
        <f t="shared" si="315"/>
        <v>-1000000</v>
      </c>
      <c r="F283">
        <f t="shared" si="315"/>
        <v>-1000000</v>
      </c>
      <c r="G283">
        <f t="shared" si="315"/>
        <v>-1000000</v>
      </c>
      <c r="H283">
        <f t="shared" si="315"/>
        <v>1.424554279281426E-2</v>
      </c>
      <c r="I283">
        <f t="shared" si="315"/>
        <v>0</v>
      </c>
      <c r="J283">
        <f t="shared" si="315"/>
        <v>1.6398735900905279E-2</v>
      </c>
      <c r="K283" s="248">
        <f t="shared" si="315"/>
        <v>-1000000</v>
      </c>
      <c r="L283" s="3">
        <f t="shared" si="313"/>
        <v>0.16350943047528033</v>
      </c>
      <c r="M283">
        <f t="shared" si="313"/>
        <v>0.15347030390874258</v>
      </c>
      <c r="N283">
        <f t="shared" si="313"/>
        <v>0.14648892075857126</v>
      </c>
      <c r="O283">
        <f t="shared" si="313"/>
        <v>2.0557795135038821E-2</v>
      </c>
      <c r="P283" s="387">
        <f t="shared" si="313"/>
        <v>9.1837302935579512E-2</v>
      </c>
      <c r="Q283">
        <f t="shared" si="313"/>
        <v>0.12844423059207091</v>
      </c>
      <c r="R283">
        <f t="shared" si="313"/>
        <v>0.14163831322996043</v>
      </c>
      <c r="S283">
        <f t="shared" si="313"/>
        <v>0.15319685464230604</v>
      </c>
      <c r="T283">
        <f t="shared" si="313"/>
        <v>0.15480946762504236</v>
      </c>
      <c r="U283">
        <f t="shared" si="313"/>
        <v>0.16244385806171652</v>
      </c>
      <c r="V283">
        <f t="shared" si="313"/>
        <v>0.15246057573172625</v>
      </c>
      <c r="W283">
        <f t="shared" si="313"/>
        <v>0.16545584915342454</v>
      </c>
      <c r="X283">
        <f t="shared" si="313"/>
        <v>0.15444465241810945</v>
      </c>
      <c r="Y283">
        <f t="shared" si="313"/>
        <v>-1000000</v>
      </c>
      <c r="Z283">
        <f t="shared" si="313"/>
        <v>-1000000</v>
      </c>
      <c r="AA283">
        <f t="shared" si="313"/>
        <v>-1000000</v>
      </c>
      <c r="AB283">
        <f t="shared" ref="AB283" si="320">IF($A283=AB$265,-1000000,AB258)</f>
        <v>-1000000</v>
      </c>
      <c r="AC283" s="3">
        <v>5</v>
      </c>
    </row>
    <row r="284" spans="1:29" x14ac:dyDescent="0.2">
      <c r="A284" s="3">
        <v>6</v>
      </c>
      <c r="B284" t="s">
        <v>1</v>
      </c>
      <c r="C284">
        <f t="shared" si="315"/>
        <v>-1000000</v>
      </c>
      <c r="D284">
        <f t="shared" si="315"/>
        <v>-1000000</v>
      </c>
      <c r="E284">
        <f t="shared" si="315"/>
        <v>-1000000</v>
      </c>
      <c r="F284">
        <f t="shared" si="315"/>
        <v>-1000000</v>
      </c>
      <c r="G284">
        <f t="shared" si="315"/>
        <v>-1000000</v>
      </c>
      <c r="H284">
        <f t="shared" si="315"/>
        <v>-1000000</v>
      </c>
      <c r="I284">
        <f t="shared" si="315"/>
        <v>-1000000</v>
      </c>
      <c r="J284">
        <f t="shared" si="315"/>
        <v>0.11914011079723982</v>
      </c>
      <c r="K284" s="248">
        <f t="shared" si="315"/>
        <v>-1000000</v>
      </c>
      <c r="L284" s="3">
        <f t="shared" si="313"/>
        <v>-1000000</v>
      </c>
      <c r="M284">
        <f t="shared" si="313"/>
        <v>0.16543076000626342</v>
      </c>
      <c r="N284">
        <f t="shared" si="313"/>
        <v>-1000000</v>
      </c>
      <c r="O284">
        <f t="shared" si="313"/>
        <v>-1000000</v>
      </c>
      <c r="P284" s="387">
        <f t="shared" si="313"/>
        <v>-1000000</v>
      </c>
      <c r="Q284">
        <f t="shared" si="313"/>
        <v>0.12845294524805767</v>
      </c>
      <c r="R284">
        <f t="shared" si="313"/>
        <v>-1000000</v>
      </c>
      <c r="S284">
        <f t="shared" si="313"/>
        <v>0.10110626227728828</v>
      </c>
      <c r="T284">
        <f t="shared" si="313"/>
        <v>-1000000</v>
      </c>
      <c r="U284">
        <f t="shared" si="313"/>
        <v>-1000000</v>
      </c>
      <c r="V284">
        <f t="shared" si="313"/>
        <v>-1000000</v>
      </c>
      <c r="W284">
        <f t="shared" si="313"/>
        <v>0.11096382862658845</v>
      </c>
      <c r="X284">
        <f t="shared" si="313"/>
        <v>-1000000</v>
      </c>
      <c r="Y284">
        <f t="shared" si="313"/>
        <v>0.17638243797269326</v>
      </c>
      <c r="Z284">
        <f t="shared" si="313"/>
        <v>0.18613328438893803</v>
      </c>
      <c r="AA284">
        <f t="shared" si="313"/>
        <v>0.19858385944978441</v>
      </c>
      <c r="AB284">
        <f t="shared" ref="AB284" si="321">IF($A284=AB$265,-1000000,AB259)</f>
        <v>5.6261901307906481E-2</v>
      </c>
      <c r="AC284" s="3">
        <v>6</v>
      </c>
    </row>
    <row r="285" spans="1:29" x14ac:dyDescent="0.2">
      <c r="A285" s="3">
        <v>7</v>
      </c>
      <c r="B285" t="s">
        <v>2</v>
      </c>
      <c r="C285">
        <f t="shared" si="315"/>
        <v>0.14802830748941492</v>
      </c>
      <c r="D285">
        <f t="shared" si="315"/>
        <v>1.5459569113676396E-2</v>
      </c>
      <c r="E285">
        <f t="shared" si="315"/>
        <v>8.4771198387578073E-2</v>
      </c>
      <c r="F285">
        <f t="shared" si="315"/>
        <v>-1000000</v>
      </c>
      <c r="G285">
        <f t="shared" si="315"/>
        <v>-1000000</v>
      </c>
      <c r="H285">
        <f t="shared" si="315"/>
        <v>-1000000</v>
      </c>
      <c r="I285">
        <f t="shared" si="315"/>
        <v>-1000000</v>
      </c>
      <c r="J285">
        <f t="shared" si="315"/>
        <v>-1000000</v>
      </c>
      <c r="K285" s="248">
        <f t="shared" si="315"/>
        <v>0.15164198914722199</v>
      </c>
      <c r="L285" s="3">
        <f t="shared" si="313"/>
        <v>0.16905409333458646</v>
      </c>
      <c r="M285">
        <f t="shared" si="313"/>
        <v>-1000000</v>
      </c>
      <c r="N285">
        <f t="shared" si="313"/>
        <v>0.18329107638042641</v>
      </c>
      <c r="O285">
        <f t="shared" si="313"/>
        <v>-1000000</v>
      </c>
      <c r="P285" s="387">
        <f t="shared" si="313"/>
        <v>0.15247227351512568</v>
      </c>
      <c r="Q285">
        <f t="shared" si="313"/>
        <v>-1000000</v>
      </c>
      <c r="R285">
        <f t="shared" si="313"/>
        <v>0.13617458248689532</v>
      </c>
      <c r="S285">
        <f t="shared" si="313"/>
        <v>-1000000</v>
      </c>
      <c r="T285">
        <f t="shared" si="313"/>
        <v>-1000000</v>
      </c>
      <c r="U285">
        <f t="shared" si="313"/>
        <v>8.9055179557913131E-2</v>
      </c>
      <c r="V285">
        <f t="shared" si="313"/>
        <v>0.14095442589055734</v>
      </c>
      <c r="W285">
        <f t="shared" si="313"/>
        <v>-1000000</v>
      </c>
      <c r="X285">
        <f t="shared" si="313"/>
        <v>-1000000</v>
      </c>
      <c r="Y285">
        <f t="shared" si="313"/>
        <v>0.16853010806177343</v>
      </c>
      <c r="Z285">
        <f t="shared" si="313"/>
        <v>0.17900509734230102</v>
      </c>
      <c r="AA285">
        <f t="shared" si="313"/>
        <v>0.19039618077006359</v>
      </c>
      <c r="AB285">
        <f t="shared" ref="AB285" si="322">IF($A285=AB$265,-1000000,AB260)</f>
        <v>0</v>
      </c>
      <c r="AC285" s="3">
        <v>7</v>
      </c>
    </row>
    <row r="286" spans="1:29" x14ac:dyDescent="0.2">
      <c r="A286" s="3"/>
    </row>
    <row r="287" spans="1:29" x14ac:dyDescent="0.2">
      <c r="A287" s="59">
        <v>27</v>
      </c>
      <c r="B287" s="137">
        <v>0</v>
      </c>
      <c r="C287">
        <v>1</v>
      </c>
      <c r="D287">
        <v>2</v>
      </c>
      <c r="E287">
        <v>3</v>
      </c>
      <c r="F287">
        <v>4</v>
      </c>
      <c r="G287">
        <v>5</v>
      </c>
      <c r="H287">
        <v>6</v>
      </c>
      <c r="I287">
        <v>7</v>
      </c>
      <c r="J287">
        <v>8</v>
      </c>
      <c r="K287" s="248">
        <v>9</v>
      </c>
      <c r="L287" s="3">
        <v>10</v>
      </c>
      <c r="M287">
        <v>11</v>
      </c>
      <c r="N287">
        <v>12</v>
      </c>
      <c r="O287">
        <v>13</v>
      </c>
      <c r="P287" s="387">
        <v>14</v>
      </c>
      <c r="Q287">
        <v>15</v>
      </c>
      <c r="R287">
        <v>16</v>
      </c>
      <c r="S287">
        <v>17</v>
      </c>
      <c r="T287">
        <v>18</v>
      </c>
      <c r="U287">
        <v>19</v>
      </c>
      <c r="V287">
        <v>20</v>
      </c>
      <c r="W287">
        <v>21</v>
      </c>
      <c r="X287">
        <v>22</v>
      </c>
      <c r="Y287">
        <v>23</v>
      </c>
      <c r="Z287">
        <v>24</v>
      </c>
      <c r="AA287">
        <v>25</v>
      </c>
      <c r="AB287">
        <v>26</v>
      </c>
    </row>
    <row r="288" spans="1:29" x14ac:dyDescent="0.2">
      <c r="A288" s="59"/>
      <c r="B288" s="25" t="s">
        <v>114</v>
      </c>
    </row>
    <row r="289" spans="1:29" x14ac:dyDescent="0.2">
      <c r="A289" s="59"/>
      <c r="B289" t="s">
        <v>115</v>
      </c>
      <c r="C289">
        <f>MAX(C279:C285)</f>
        <v>0.14802830748941492</v>
      </c>
      <c r="D289">
        <f t="shared" ref="D289:AA289" si="323">MAX(D279:D285)</f>
        <v>7.515171639031086E-2</v>
      </c>
      <c r="E289">
        <f t="shared" si="323"/>
        <v>0.13214835769475825</v>
      </c>
      <c r="F289">
        <f t="shared" si="323"/>
        <v>0.10739984077107713</v>
      </c>
      <c r="G289">
        <f t="shared" si="323"/>
        <v>8.3617379908936182E-2</v>
      </c>
      <c r="H289">
        <f t="shared" si="323"/>
        <v>0.140342188087971</v>
      </c>
      <c r="I289">
        <f t="shared" si="323"/>
        <v>0.17719899523083338</v>
      </c>
      <c r="J289">
        <f t="shared" si="323"/>
        <v>0.11914011079723982</v>
      </c>
      <c r="K289" s="248">
        <f t="shared" si="323"/>
        <v>0.16015364588102812</v>
      </c>
      <c r="L289" s="3">
        <f t="shared" si="323"/>
        <v>0.16905409333458646</v>
      </c>
      <c r="M289">
        <f t="shared" si="323"/>
        <v>0.16543076000626342</v>
      </c>
      <c r="N289">
        <f t="shared" si="323"/>
        <v>0.18329107638042641</v>
      </c>
      <c r="O289">
        <f t="shared" si="323"/>
        <v>0.20851842111925725</v>
      </c>
      <c r="P289" s="387">
        <f t="shared" si="323"/>
        <v>0.15247227351512568</v>
      </c>
      <c r="Q289">
        <f t="shared" si="323"/>
        <v>0.14099332351212165</v>
      </c>
      <c r="R289">
        <f t="shared" si="323"/>
        <v>0.14163831322996043</v>
      </c>
      <c r="S289">
        <f t="shared" si="323"/>
        <v>0.15550257610544485</v>
      </c>
      <c r="T289">
        <f t="shared" si="323"/>
        <v>0.15696575535130544</v>
      </c>
      <c r="U289">
        <f t="shared" si="323"/>
        <v>0.16244385806171652</v>
      </c>
      <c r="V289">
        <f t="shared" si="323"/>
        <v>0.15246057573172625</v>
      </c>
      <c r="W289">
        <f t="shared" si="323"/>
        <v>0.16545584915342454</v>
      </c>
      <c r="X289">
        <f t="shared" si="323"/>
        <v>0.15444465241810945</v>
      </c>
      <c r="Y289">
        <f t="shared" si="323"/>
        <v>0.17638243797269326</v>
      </c>
      <c r="Z289">
        <f t="shared" si="323"/>
        <v>0.18613328438893803</v>
      </c>
      <c r="AA289">
        <f t="shared" si="323"/>
        <v>0.19858385944978441</v>
      </c>
      <c r="AB289">
        <f t="shared" ref="AB289" si="324">MAX(AB279:AB285)</f>
        <v>5.6261901307906481E-2</v>
      </c>
    </row>
    <row r="290" spans="1:29" x14ac:dyDescent="0.2">
      <c r="A290" s="59"/>
      <c r="B290" t="s">
        <v>116</v>
      </c>
      <c r="C290" s="138">
        <f>VLOOKUP(C289,C$279:$AC$285,$A$287-B287,FALSE)</f>
        <v>7</v>
      </c>
      <c r="D290" s="138">
        <f>VLOOKUP(D289,D$279:$AC$285,$A$287-C287,FALSE)</f>
        <v>1</v>
      </c>
      <c r="E290" s="138">
        <f>VLOOKUP(E289,E$279:$AC$285,$A$287-D287,FALSE)</f>
        <v>1</v>
      </c>
      <c r="F290" s="138">
        <f>VLOOKUP(F289,F$279:$AC$285,$A$287-E287,FALSE)</f>
        <v>2</v>
      </c>
      <c r="G290" s="138">
        <f>VLOOKUP(G289,G$279:$AC$285,$A$287-F287,FALSE)</f>
        <v>2</v>
      </c>
      <c r="H290" s="138">
        <f>VLOOKUP(H289,H$279:$AC$285,$A$287-G287,FALSE)</f>
        <v>2</v>
      </c>
      <c r="I290" s="138">
        <f>VLOOKUP(I289,I$279:$AC$285,$A$287-H287,FALSE)</f>
        <v>2</v>
      </c>
      <c r="J290" s="138">
        <f>VLOOKUP(J289,J$279:$AC$285,$A$287-I287,FALSE)</f>
        <v>6</v>
      </c>
      <c r="K290" s="264">
        <f>VLOOKUP(K289,K$279:$AC$285,$A$287-J287,FALSE)</f>
        <v>3</v>
      </c>
      <c r="L290" s="242">
        <f>VLOOKUP(L289,L$279:$AC$285,$A$287-K287,FALSE)</f>
        <v>7</v>
      </c>
      <c r="M290" s="138">
        <f>VLOOKUP(M289,M$279:$AC$285,$A$287-L287,FALSE)</f>
        <v>6</v>
      </c>
      <c r="N290" s="138">
        <f>VLOOKUP(N289,N$279:$AC$285,$A$287-M287,FALSE)</f>
        <v>7</v>
      </c>
      <c r="O290" s="138">
        <f>VLOOKUP(O289,O$279:$AC$285,$A$287-N287,FALSE)</f>
        <v>4</v>
      </c>
      <c r="P290" s="407">
        <f>VLOOKUP(P289,P$279:$AC$285,$A$287-O287,FALSE)</f>
        <v>7</v>
      </c>
      <c r="Q290" s="138">
        <f>VLOOKUP(Q289,Q$279:$AC$285,$A$287-P287,FALSE)</f>
        <v>3</v>
      </c>
      <c r="R290" s="138">
        <f>VLOOKUP(R289,R$279:$AC$285,$A$287-Q287,FALSE)</f>
        <v>5</v>
      </c>
      <c r="S290" s="138">
        <f>VLOOKUP(S289,S$279:$AC$285,$A$287-R287,FALSE)</f>
        <v>3</v>
      </c>
      <c r="T290" s="138">
        <f>VLOOKUP(T289,T$279:$AC$285,$A$287-S287,FALSE)</f>
        <v>4</v>
      </c>
      <c r="U290" s="138">
        <f>VLOOKUP(U289,U$279:$AC$285,$A$287-T287,FALSE)</f>
        <v>5</v>
      </c>
      <c r="V290" s="138">
        <f>VLOOKUP(V289,V$279:$AC$285,$A$287-U287,FALSE)</f>
        <v>5</v>
      </c>
      <c r="W290" s="138">
        <f>VLOOKUP(W289,W$279:$AC$285,$A$287-V287,FALSE)</f>
        <v>5</v>
      </c>
      <c r="X290" s="138">
        <f>VLOOKUP(X289,X$279:$AC$285,$A$287-W287,FALSE)</f>
        <v>5</v>
      </c>
      <c r="Y290" s="138">
        <f>VLOOKUP(Y289,Y$279:$AC$285,$A$287-X287,FALSE)</f>
        <v>6</v>
      </c>
      <c r="Z290" s="138">
        <f>VLOOKUP(Z289,Z$279:$AC$285,$A$287-Y287,FALSE)</f>
        <v>6</v>
      </c>
      <c r="AA290" s="138">
        <f>VLOOKUP(AA289,AA$279:$AC$285,$A$287-Z287,FALSE)</f>
        <v>6</v>
      </c>
      <c r="AB290" s="138">
        <f>VLOOKUP(AB289,AB$279:$AC$285,$A$287-AA287,FALSE)</f>
        <v>6</v>
      </c>
    </row>
    <row r="291" spans="1:29" x14ac:dyDescent="0.2">
      <c r="A291" s="59"/>
      <c r="B291" s="4" t="s">
        <v>110</v>
      </c>
    </row>
    <row r="292" spans="1:29" x14ac:dyDescent="0.2">
      <c r="A292" s="3">
        <v>1</v>
      </c>
      <c r="B292" t="s">
        <v>41</v>
      </c>
      <c r="C292">
        <f>IF($A292=C$290,MIN(C200,C$276),0)</f>
        <v>0</v>
      </c>
      <c r="D292">
        <f>IF($A292=D$290,MIN(D200,D$276),0)</f>
        <v>1315884.3177703747</v>
      </c>
      <c r="E292">
        <f t="shared" ref="E292:K292" si="325">IF($A292=E$290,MIN(E200,E$276),0)</f>
        <v>2628996.7121552387</v>
      </c>
      <c r="F292">
        <f t="shared" si="325"/>
        <v>0</v>
      </c>
      <c r="G292">
        <f t="shared" si="325"/>
        <v>0</v>
      </c>
      <c r="H292">
        <f t="shared" si="325"/>
        <v>0</v>
      </c>
      <c r="I292">
        <f t="shared" si="325"/>
        <v>0</v>
      </c>
      <c r="J292">
        <f t="shared" si="325"/>
        <v>0</v>
      </c>
      <c r="K292" s="248">
        <f t="shared" si="325"/>
        <v>0</v>
      </c>
      <c r="L292" s="3">
        <f t="shared" ref="L292:AA292" si="326">IF($A292=L$290,MIN(L200,L$276),0)</f>
        <v>0</v>
      </c>
      <c r="M292">
        <f t="shared" si="326"/>
        <v>0</v>
      </c>
      <c r="N292">
        <f t="shared" si="326"/>
        <v>0</v>
      </c>
      <c r="O292">
        <f t="shared" si="326"/>
        <v>0</v>
      </c>
      <c r="P292" s="387">
        <f t="shared" si="326"/>
        <v>0</v>
      </c>
      <c r="Q292">
        <f t="shared" si="326"/>
        <v>0</v>
      </c>
      <c r="R292">
        <f t="shared" si="326"/>
        <v>0</v>
      </c>
      <c r="S292">
        <f t="shared" si="326"/>
        <v>0</v>
      </c>
      <c r="T292">
        <f t="shared" si="326"/>
        <v>0</v>
      </c>
      <c r="U292">
        <f t="shared" si="326"/>
        <v>0</v>
      </c>
      <c r="V292">
        <f t="shared" si="326"/>
        <v>0</v>
      </c>
      <c r="W292">
        <f t="shared" si="326"/>
        <v>0</v>
      </c>
      <c r="X292">
        <f t="shared" si="326"/>
        <v>0</v>
      </c>
      <c r="Y292">
        <f t="shared" si="326"/>
        <v>0</v>
      </c>
      <c r="Z292">
        <f t="shared" si="326"/>
        <v>0</v>
      </c>
      <c r="AA292">
        <f t="shared" si="326"/>
        <v>0</v>
      </c>
      <c r="AB292">
        <f t="shared" ref="AB292" si="327">IF($A292=AB$290,MIN(AB200,AB$276),0)</f>
        <v>0</v>
      </c>
    </row>
    <row r="293" spans="1:29" x14ac:dyDescent="0.2">
      <c r="A293" s="3">
        <v>2</v>
      </c>
      <c r="B293" t="s">
        <v>3</v>
      </c>
      <c r="C293">
        <f t="shared" ref="C293:D298" si="328">IF($A293=C$290,MIN(C201,C$276),0)</f>
        <v>0</v>
      </c>
      <c r="D293">
        <f t="shared" si="328"/>
        <v>0</v>
      </c>
      <c r="E293">
        <f t="shared" ref="E293:K293" si="329">IF($A293=E$290,MIN(E201,E$276),0)</f>
        <v>0</v>
      </c>
      <c r="F293">
        <f t="shared" si="329"/>
        <v>0</v>
      </c>
      <c r="G293">
        <f t="shared" si="329"/>
        <v>0</v>
      </c>
      <c r="H293">
        <f t="shared" si="329"/>
        <v>0</v>
      </c>
      <c r="I293">
        <f t="shared" si="329"/>
        <v>0</v>
      </c>
      <c r="J293">
        <f t="shared" si="329"/>
        <v>0</v>
      </c>
      <c r="K293" s="248">
        <f t="shared" si="329"/>
        <v>0</v>
      </c>
      <c r="L293" s="3">
        <f t="shared" ref="L293:AA293" si="330">IF($A293=L$290,MIN(L201,L$276),0)</f>
        <v>0</v>
      </c>
      <c r="M293">
        <f t="shared" si="330"/>
        <v>0</v>
      </c>
      <c r="N293">
        <f t="shared" si="330"/>
        <v>0</v>
      </c>
      <c r="O293">
        <f t="shared" si="330"/>
        <v>0</v>
      </c>
      <c r="P293" s="387">
        <f t="shared" si="330"/>
        <v>0</v>
      </c>
      <c r="Q293">
        <f t="shared" si="330"/>
        <v>0</v>
      </c>
      <c r="R293">
        <f t="shared" si="330"/>
        <v>0</v>
      </c>
      <c r="S293">
        <f t="shared" si="330"/>
        <v>0</v>
      </c>
      <c r="T293">
        <f t="shared" si="330"/>
        <v>0</v>
      </c>
      <c r="U293">
        <f t="shared" si="330"/>
        <v>0</v>
      </c>
      <c r="V293">
        <f t="shared" si="330"/>
        <v>0</v>
      </c>
      <c r="W293">
        <f t="shared" si="330"/>
        <v>0</v>
      </c>
      <c r="X293">
        <f t="shared" si="330"/>
        <v>0</v>
      </c>
      <c r="Y293">
        <f t="shared" si="330"/>
        <v>0</v>
      </c>
      <c r="Z293">
        <f t="shared" si="330"/>
        <v>0</v>
      </c>
      <c r="AA293">
        <f t="shared" si="330"/>
        <v>0</v>
      </c>
      <c r="AB293">
        <f t="shared" ref="AB293" si="331">IF($A293=AB$290,MIN(AB201,AB$276),0)</f>
        <v>0</v>
      </c>
    </row>
    <row r="294" spans="1:29" x14ac:dyDescent="0.2">
      <c r="A294" s="3">
        <v>3</v>
      </c>
      <c r="B294" t="s">
        <v>29</v>
      </c>
      <c r="C294">
        <f t="shared" si="328"/>
        <v>0</v>
      </c>
      <c r="D294">
        <f t="shared" si="328"/>
        <v>0</v>
      </c>
      <c r="E294">
        <f t="shared" ref="E294:K294" si="332">IF($A294=E$290,MIN(E202,E$276),0)</f>
        <v>0</v>
      </c>
      <c r="F294">
        <f t="shared" si="332"/>
        <v>0</v>
      </c>
      <c r="G294">
        <f t="shared" si="332"/>
        <v>0</v>
      </c>
      <c r="H294">
        <f t="shared" si="332"/>
        <v>0</v>
      </c>
      <c r="I294">
        <f t="shared" si="332"/>
        <v>0</v>
      </c>
      <c r="J294">
        <f t="shared" si="332"/>
        <v>0</v>
      </c>
      <c r="K294" s="248">
        <f t="shared" si="332"/>
        <v>0</v>
      </c>
      <c r="L294" s="3">
        <f t="shared" ref="L294:AA294" si="333">IF($A294=L$290,MIN(L202,L$276),0)</f>
        <v>0</v>
      </c>
      <c r="M294">
        <f t="shared" si="333"/>
        <v>0</v>
      </c>
      <c r="N294">
        <f t="shared" si="333"/>
        <v>0</v>
      </c>
      <c r="O294">
        <f t="shared" si="333"/>
        <v>0</v>
      </c>
      <c r="P294" s="387">
        <f t="shared" si="333"/>
        <v>0</v>
      </c>
      <c r="Q294">
        <f t="shared" si="333"/>
        <v>0</v>
      </c>
      <c r="R294">
        <f t="shared" si="333"/>
        <v>0</v>
      </c>
      <c r="S294">
        <f t="shared" si="333"/>
        <v>0</v>
      </c>
      <c r="T294">
        <f t="shared" si="333"/>
        <v>0</v>
      </c>
      <c r="U294">
        <f t="shared" si="333"/>
        <v>0</v>
      </c>
      <c r="V294">
        <f t="shared" si="333"/>
        <v>0</v>
      </c>
      <c r="W294">
        <f t="shared" si="333"/>
        <v>0</v>
      </c>
      <c r="X294">
        <f t="shared" si="333"/>
        <v>0</v>
      </c>
      <c r="Y294">
        <f t="shared" si="333"/>
        <v>0</v>
      </c>
      <c r="Z294">
        <f t="shared" si="333"/>
        <v>0</v>
      </c>
      <c r="AA294">
        <f t="shared" si="333"/>
        <v>0</v>
      </c>
      <c r="AB294">
        <f t="shared" ref="AB294" si="334">IF($A294=AB$290,MIN(AB202,AB$276),0)</f>
        <v>0</v>
      </c>
    </row>
    <row r="295" spans="1:29" x14ac:dyDescent="0.2">
      <c r="A295" s="3">
        <v>4</v>
      </c>
      <c r="B295" t="s">
        <v>5</v>
      </c>
      <c r="C295">
        <f t="shared" si="328"/>
        <v>0</v>
      </c>
      <c r="D295">
        <f t="shared" si="328"/>
        <v>0</v>
      </c>
      <c r="E295">
        <f t="shared" ref="E295:K295" si="335">IF($A295=E$290,MIN(E203,E$276),0)</f>
        <v>0</v>
      </c>
      <c r="F295">
        <f t="shared" si="335"/>
        <v>0</v>
      </c>
      <c r="G295">
        <f t="shared" si="335"/>
        <v>0</v>
      </c>
      <c r="H295">
        <f t="shared" si="335"/>
        <v>0</v>
      </c>
      <c r="I295">
        <f t="shared" si="335"/>
        <v>0</v>
      </c>
      <c r="J295">
        <f t="shared" si="335"/>
        <v>0</v>
      </c>
      <c r="K295" s="248">
        <f t="shared" si="335"/>
        <v>0</v>
      </c>
      <c r="L295" s="3">
        <f t="shared" ref="L295:AA295" si="336">IF($A295=L$290,MIN(L203,L$276),0)</f>
        <v>0</v>
      </c>
      <c r="M295">
        <f t="shared" si="336"/>
        <v>0</v>
      </c>
      <c r="N295">
        <f t="shared" si="336"/>
        <v>0</v>
      </c>
      <c r="O295">
        <f t="shared" si="336"/>
        <v>0</v>
      </c>
      <c r="P295" s="387">
        <f t="shared" si="336"/>
        <v>0</v>
      </c>
      <c r="Q295">
        <f t="shared" si="336"/>
        <v>0</v>
      </c>
      <c r="R295">
        <f t="shared" si="336"/>
        <v>0</v>
      </c>
      <c r="S295">
        <f t="shared" si="336"/>
        <v>0</v>
      </c>
      <c r="T295">
        <f t="shared" si="336"/>
        <v>0</v>
      </c>
      <c r="U295">
        <f t="shared" si="336"/>
        <v>0</v>
      </c>
      <c r="V295">
        <f t="shared" si="336"/>
        <v>0</v>
      </c>
      <c r="W295">
        <f t="shared" si="336"/>
        <v>0</v>
      </c>
      <c r="X295">
        <f t="shared" si="336"/>
        <v>0</v>
      </c>
      <c r="Y295">
        <f t="shared" si="336"/>
        <v>0</v>
      </c>
      <c r="Z295">
        <f t="shared" si="336"/>
        <v>0</v>
      </c>
      <c r="AA295">
        <f t="shared" si="336"/>
        <v>0</v>
      </c>
      <c r="AB295">
        <f t="shared" ref="AB295" si="337">IF($A295=AB$290,MIN(AB203,AB$276),0)</f>
        <v>0</v>
      </c>
    </row>
    <row r="296" spans="1:29" x14ac:dyDescent="0.2">
      <c r="A296" s="3">
        <v>5</v>
      </c>
      <c r="B296" t="s">
        <v>6</v>
      </c>
      <c r="C296">
        <f t="shared" si="328"/>
        <v>0</v>
      </c>
      <c r="D296">
        <f t="shared" si="328"/>
        <v>0</v>
      </c>
      <c r="E296">
        <f t="shared" ref="E296:K296" si="338">IF($A296=E$290,MIN(E204,E$276),0)</f>
        <v>0</v>
      </c>
      <c r="F296">
        <f t="shared" si="338"/>
        <v>0</v>
      </c>
      <c r="G296">
        <f t="shared" si="338"/>
        <v>0</v>
      </c>
      <c r="H296">
        <f t="shared" si="338"/>
        <v>0</v>
      </c>
      <c r="I296">
        <f t="shared" si="338"/>
        <v>0</v>
      </c>
      <c r="J296">
        <f t="shared" si="338"/>
        <v>0</v>
      </c>
      <c r="K296" s="248">
        <f t="shared" si="338"/>
        <v>0</v>
      </c>
      <c r="L296" s="3">
        <f t="shared" ref="L296:AA296" si="339">IF($A296=L$290,MIN(L204,L$276),0)</f>
        <v>0</v>
      </c>
      <c r="M296">
        <f t="shared" si="339"/>
        <v>0</v>
      </c>
      <c r="N296">
        <f t="shared" si="339"/>
        <v>0</v>
      </c>
      <c r="O296">
        <f t="shared" si="339"/>
        <v>0</v>
      </c>
      <c r="P296" s="387">
        <f t="shared" si="339"/>
        <v>0</v>
      </c>
      <c r="Q296">
        <f t="shared" si="339"/>
        <v>0</v>
      </c>
      <c r="R296">
        <f t="shared" si="339"/>
        <v>0</v>
      </c>
      <c r="S296">
        <f t="shared" si="339"/>
        <v>0</v>
      </c>
      <c r="T296">
        <f t="shared" si="339"/>
        <v>0</v>
      </c>
      <c r="U296">
        <f t="shared" si="339"/>
        <v>0</v>
      </c>
      <c r="V296">
        <f t="shared" si="339"/>
        <v>0</v>
      </c>
      <c r="W296">
        <f t="shared" si="339"/>
        <v>0</v>
      </c>
      <c r="X296">
        <f t="shared" si="339"/>
        <v>0</v>
      </c>
      <c r="Y296">
        <f t="shared" si="339"/>
        <v>0</v>
      </c>
      <c r="Z296">
        <f t="shared" si="339"/>
        <v>0</v>
      </c>
      <c r="AA296">
        <f t="shared" si="339"/>
        <v>0</v>
      </c>
      <c r="AB296">
        <f t="shared" ref="AB296" si="340">IF($A296=AB$290,MIN(AB204,AB$276),0)</f>
        <v>0</v>
      </c>
    </row>
    <row r="297" spans="1:29" x14ac:dyDescent="0.2">
      <c r="A297" s="3">
        <v>6</v>
      </c>
      <c r="B297" t="s">
        <v>1</v>
      </c>
      <c r="C297">
        <f t="shared" si="328"/>
        <v>0</v>
      </c>
      <c r="D297">
        <f t="shared" si="328"/>
        <v>0</v>
      </c>
      <c r="E297">
        <f t="shared" ref="E297:K297" si="341">IF($A297=E$290,MIN(E205,E$276),0)</f>
        <v>0</v>
      </c>
      <c r="F297">
        <f t="shared" si="341"/>
        <v>0</v>
      </c>
      <c r="G297">
        <f t="shared" si="341"/>
        <v>0</v>
      </c>
      <c r="H297">
        <f t="shared" si="341"/>
        <v>0</v>
      </c>
      <c r="I297">
        <f t="shared" si="341"/>
        <v>0</v>
      </c>
      <c r="J297">
        <f t="shared" si="341"/>
        <v>247564.57508580782</v>
      </c>
      <c r="K297" s="248">
        <f t="shared" si="341"/>
        <v>0</v>
      </c>
      <c r="L297" s="3">
        <f t="shared" ref="L297:AA297" si="342">IF($A297=L$290,MIN(L205,L$276),0)</f>
        <v>0</v>
      </c>
      <c r="M297">
        <f t="shared" si="342"/>
        <v>0</v>
      </c>
      <c r="N297">
        <f t="shared" si="342"/>
        <v>0</v>
      </c>
      <c r="O297">
        <f t="shared" si="342"/>
        <v>0</v>
      </c>
      <c r="P297" s="387">
        <f t="shared" si="342"/>
        <v>0</v>
      </c>
      <c r="Q297">
        <f t="shared" si="342"/>
        <v>0</v>
      </c>
      <c r="R297">
        <f t="shared" si="342"/>
        <v>0</v>
      </c>
      <c r="S297">
        <f t="shared" si="342"/>
        <v>0</v>
      </c>
      <c r="T297">
        <f t="shared" si="342"/>
        <v>0</v>
      </c>
      <c r="U297">
        <f t="shared" si="342"/>
        <v>0</v>
      </c>
      <c r="V297">
        <f t="shared" si="342"/>
        <v>0</v>
      </c>
      <c r="W297">
        <f t="shared" si="342"/>
        <v>0</v>
      </c>
      <c r="X297">
        <f t="shared" si="342"/>
        <v>0</v>
      </c>
      <c r="Y297">
        <f t="shared" si="342"/>
        <v>52680.49605451338</v>
      </c>
      <c r="Z297">
        <f t="shared" si="342"/>
        <v>0</v>
      </c>
      <c r="AA297">
        <f t="shared" si="342"/>
        <v>0</v>
      </c>
      <c r="AB297">
        <f t="shared" ref="AB297" si="343">IF($A297=AB$290,MIN(AB205,AB$276),0)</f>
        <v>0</v>
      </c>
    </row>
    <row r="298" spans="1:29" x14ac:dyDescent="0.2">
      <c r="A298" s="3">
        <v>7</v>
      </c>
      <c r="B298" t="s">
        <v>2</v>
      </c>
      <c r="C298">
        <f t="shared" si="328"/>
        <v>0</v>
      </c>
      <c r="D298">
        <f t="shared" si="328"/>
        <v>0</v>
      </c>
      <c r="E298">
        <f t="shared" ref="E298:K298" si="344">IF($A298=E$290,MIN(E206,E$276),0)</f>
        <v>0</v>
      </c>
      <c r="F298">
        <f t="shared" si="344"/>
        <v>0</v>
      </c>
      <c r="G298">
        <f t="shared" si="344"/>
        <v>0</v>
      </c>
      <c r="H298">
        <f t="shared" si="344"/>
        <v>0</v>
      </c>
      <c r="I298">
        <f t="shared" si="344"/>
        <v>0</v>
      </c>
      <c r="J298">
        <f t="shared" si="344"/>
        <v>0</v>
      </c>
      <c r="K298" s="248">
        <f t="shared" si="344"/>
        <v>0</v>
      </c>
      <c r="L298" s="3">
        <f t="shared" ref="L298:AA298" si="345">IF($A298=L$290,MIN(L206,L$276),0)</f>
        <v>0</v>
      </c>
      <c r="M298">
        <f t="shared" si="345"/>
        <v>0</v>
      </c>
      <c r="N298">
        <f t="shared" si="345"/>
        <v>0</v>
      </c>
      <c r="O298">
        <f t="shared" si="345"/>
        <v>0</v>
      </c>
      <c r="P298" s="387">
        <f t="shared" si="345"/>
        <v>0</v>
      </c>
      <c r="Q298">
        <f t="shared" si="345"/>
        <v>0</v>
      </c>
      <c r="R298">
        <f t="shared" si="345"/>
        <v>0</v>
      </c>
      <c r="S298">
        <f t="shared" si="345"/>
        <v>0</v>
      </c>
      <c r="T298">
        <f t="shared" si="345"/>
        <v>0</v>
      </c>
      <c r="U298">
        <f t="shared" si="345"/>
        <v>0</v>
      </c>
      <c r="V298">
        <f t="shared" si="345"/>
        <v>0</v>
      </c>
      <c r="W298">
        <f t="shared" si="345"/>
        <v>0</v>
      </c>
      <c r="X298">
        <f t="shared" si="345"/>
        <v>0</v>
      </c>
      <c r="Y298">
        <f t="shared" si="345"/>
        <v>0</v>
      </c>
      <c r="Z298">
        <f t="shared" si="345"/>
        <v>0</v>
      </c>
      <c r="AA298">
        <f t="shared" si="345"/>
        <v>0</v>
      </c>
      <c r="AB298">
        <f t="shared" ref="AB298" si="346">IF($A298=AB$290,MIN(AB206,AB$276),0)</f>
        <v>0</v>
      </c>
    </row>
    <row r="299" spans="1:29" x14ac:dyDescent="0.2">
      <c r="A299" s="3"/>
      <c r="B299" s="78" t="s">
        <v>93</v>
      </c>
      <c r="C299">
        <f>SUM(C292:C298)</f>
        <v>0</v>
      </c>
      <c r="D299">
        <f t="shared" ref="D299:AA299" si="347">SUM(D292:D298)</f>
        <v>1315884.3177703747</v>
      </c>
      <c r="E299">
        <f t="shared" si="347"/>
        <v>2628996.7121552387</v>
      </c>
      <c r="F299">
        <f t="shared" si="347"/>
        <v>0</v>
      </c>
      <c r="G299">
        <f t="shared" si="347"/>
        <v>0</v>
      </c>
      <c r="H299">
        <f t="shared" si="347"/>
        <v>0</v>
      </c>
      <c r="I299">
        <f t="shared" si="347"/>
        <v>0</v>
      </c>
      <c r="J299">
        <f t="shared" si="347"/>
        <v>247564.57508580782</v>
      </c>
      <c r="K299" s="248">
        <f t="shared" si="347"/>
        <v>0</v>
      </c>
      <c r="L299" s="3">
        <f t="shared" si="347"/>
        <v>0</v>
      </c>
      <c r="M299">
        <f t="shared" si="347"/>
        <v>0</v>
      </c>
      <c r="N299">
        <f t="shared" si="347"/>
        <v>0</v>
      </c>
      <c r="O299">
        <f t="shared" si="347"/>
        <v>0</v>
      </c>
      <c r="P299" s="387">
        <f t="shared" si="347"/>
        <v>0</v>
      </c>
      <c r="Q299">
        <f t="shared" si="347"/>
        <v>0</v>
      </c>
      <c r="R299">
        <f t="shared" si="347"/>
        <v>0</v>
      </c>
      <c r="S299">
        <f t="shared" si="347"/>
        <v>0</v>
      </c>
      <c r="T299">
        <f t="shared" si="347"/>
        <v>0</v>
      </c>
      <c r="U299">
        <f t="shared" si="347"/>
        <v>0</v>
      </c>
      <c r="V299">
        <f t="shared" si="347"/>
        <v>0</v>
      </c>
      <c r="W299">
        <f t="shared" si="347"/>
        <v>0</v>
      </c>
      <c r="X299">
        <f t="shared" si="347"/>
        <v>0</v>
      </c>
      <c r="Y299">
        <f t="shared" si="347"/>
        <v>52680.49605451338</v>
      </c>
      <c r="Z299">
        <f t="shared" si="347"/>
        <v>0</v>
      </c>
      <c r="AA299">
        <f t="shared" si="347"/>
        <v>0</v>
      </c>
      <c r="AB299">
        <f t="shared" ref="AB299" si="348">SUM(AB292:AB298)</f>
        <v>0</v>
      </c>
    </row>
    <row r="300" spans="1:29" x14ac:dyDescent="0.2">
      <c r="A300" s="3"/>
    </row>
    <row r="301" spans="1:29" x14ac:dyDescent="0.2">
      <c r="A301" s="3"/>
      <c r="B301" s="137" t="s">
        <v>99</v>
      </c>
      <c r="C301" s="38">
        <f>C276-C299</f>
        <v>3579182.0715725021</v>
      </c>
      <c r="D301" s="38">
        <f t="shared" ref="D301:AB301" si="349">D276-D299</f>
        <v>3023263.4435287919</v>
      </c>
      <c r="E301" s="38">
        <f t="shared" si="349"/>
        <v>2412195.9377445849</v>
      </c>
      <c r="F301" s="38">
        <f t="shared" si="349"/>
        <v>6811753.9982340001</v>
      </c>
      <c r="G301" s="38">
        <f t="shared" si="349"/>
        <v>7276817.2261948278</v>
      </c>
      <c r="H301" s="38">
        <f t="shared" si="349"/>
        <v>4470924.0354178827</v>
      </c>
      <c r="I301" s="38">
        <f t="shared" si="349"/>
        <v>6401307.3610291723</v>
      </c>
      <c r="J301" s="38">
        <f t="shared" si="349"/>
        <v>7617916.511295015</v>
      </c>
      <c r="K301" s="251">
        <f t="shared" si="349"/>
        <v>0</v>
      </c>
      <c r="L301" s="76">
        <f t="shared" si="349"/>
        <v>0</v>
      </c>
      <c r="M301" s="38">
        <f t="shared" si="349"/>
        <v>0</v>
      </c>
      <c r="N301" s="38">
        <f t="shared" si="349"/>
        <v>0</v>
      </c>
      <c r="O301" s="38">
        <f t="shared" si="349"/>
        <v>0</v>
      </c>
      <c r="P301" s="390">
        <f t="shared" si="349"/>
        <v>0</v>
      </c>
      <c r="Q301" s="38">
        <f t="shared" si="349"/>
        <v>0</v>
      </c>
      <c r="R301" s="38">
        <f t="shared" si="349"/>
        <v>0</v>
      </c>
      <c r="S301" s="38">
        <f t="shared" si="349"/>
        <v>0</v>
      </c>
      <c r="T301" s="38">
        <f t="shared" si="349"/>
        <v>0</v>
      </c>
      <c r="U301" s="38">
        <f t="shared" si="349"/>
        <v>0</v>
      </c>
      <c r="V301" s="38">
        <f t="shared" si="349"/>
        <v>0</v>
      </c>
      <c r="W301" s="38">
        <f t="shared" si="349"/>
        <v>0</v>
      </c>
      <c r="X301" s="38">
        <f t="shared" si="349"/>
        <v>15014898.060078423</v>
      </c>
      <c r="Y301" s="38">
        <f t="shared" si="349"/>
        <v>28999062.596188433</v>
      </c>
      <c r="Z301" s="38">
        <f t="shared" si="349"/>
        <v>48378682.371660665</v>
      </c>
      <c r="AA301" s="38">
        <f t="shared" si="349"/>
        <v>77221973.702052146</v>
      </c>
      <c r="AB301" s="38">
        <f t="shared" si="349"/>
        <v>153647810.07906795</v>
      </c>
    </row>
    <row r="302" spans="1:29" x14ac:dyDescent="0.2">
      <c r="A302" s="3"/>
    </row>
    <row r="303" spans="1:29" x14ac:dyDescent="0.2">
      <c r="A303" s="59"/>
      <c r="B303" s="137" t="s">
        <v>94</v>
      </c>
    </row>
    <row r="304" spans="1:29" x14ac:dyDescent="0.2">
      <c r="A304" s="3">
        <v>1</v>
      </c>
      <c r="B304" t="s">
        <v>41</v>
      </c>
      <c r="C304">
        <f>IF($A304=C$290,-1000000,C279)</f>
        <v>4.0223066402473855E-2</v>
      </c>
      <c r="D304">
        <f t="shared" ref="D304:K304" si="350">IF($A304=D$290,-1000000,D279)</f>
        <v>-1000000</v>
      </c>
      <c r="E304">
        <f t="shared" si="350"/>
        <v>-1000000</v>
      </c>
      <c r="F304">
        <f t="shared" si="350"/>
        <v>8.877693893692333E-2</v>
      </c>
      <c r="G304">
        <f t="shared" si="350"/>
        <v>6.7407780346147167E-2</v>
      </c>
      <c r="H304">
        <f t="shared" si="350"/>
        <v>7.3184554112147832E-2</v>
      </c>
      <c r="I304">
        <f t="shared" si="350"/>
        <v>6.441728862035033E-2</v>
      </c>
      <c r="J304">
        <f t="shared" si="350"/>
        <v>5.6938769340430462E-2</v>
      </c>
      <c r="K304" s="248">
        <f t="shared" si="350"/>
        <v>5.6193970799165868E-2</v>
      </c>
      <c r="L304" s="3">
        <f t="shared" ref="L304:AA304" si="351">IF($A304=L$290,-1000000,L279)</f>
        <v>6.5247013622210873E-2</v>
      </c>
      <c r="M304">
        <f t="shared" si="351"/>
        <v>7.2693131305107753E-2</v>
      </c>
      <c r="N304">
        <f t="shared" si="351"/>
        <v>7.8445105350049435E-2</v>
      </c>
      <c r="O304">
        <f t="shared" si="351"/>
        <v>0.13167343195760525</v>
      </c>
      <c r="P304" s="387">
        <f t="shared" si="351"/>
        <v>0.10501072643371959</v>
      </c>
      <c r="Q304">
        <f t="shared" si="351"/>
        <v>0.10172677007420894</v>
      </c>
      <c r="R304">
        <f t="shared" si="351"/>
        <v>0.11683254670013099</v>
      </c>
      <c r="S304">
        <f t="shared" si="351"/>
        <v>0.11877746846311751</v>
      </c>
      <c r="T304">
        <f t="shared" si="351"/>
        <v>0.10625159812537399</v>
      </c>
      <c r="U304">
        <f t="shared" si="351"/>
        <v>0.10366479890188537</v>
      </c>
      <c r="V304">
        <f t="shared" si="351"/>
        <v>9.3025184012785297E-2</v>
      </c>
      <c r="W304">
        <f t="shared" si="351"/>
        <v>9.7817173449166836E-2</v>
      </c>
      <c r="X304">
        <f t="shared" si="351"/>
        <v>0.13725969247373501</v>
      </c>
      <c r="Y304">
        <f t="shared" si="351"/>
        <v>0.16153054425072538</v>
      </c>
      <c r="Z304">
        <f t="shared" si="351"/>
        <v>0.13796103679100594</v>
      </c>
      <c r="AA304">
        <f t="shared" si="351"/>
        <v>0.11714497374828843</v>
      </c>
      <c r="AB304">
        <f t="shared" ref="AB304" si="352">IF($A304=AB$290,-1000000,AB279)</f>
        <v>0</v>
      </c>
      <c r="AC304">
        <v>1</v>
      </c>
    </row>
    <row r="305" spans="1:29" x14ac:dyDescent="0.2">
      <c r="A305" s="3">
        <v>2</v>
      </c>
      <c r="B305" t="s">
        <v>3</v>
      </c>
      <c r="C305">
        <f t="shared" ref="C305:K310" si="353">IF($A305=C$290,-1000000,C280)</f>
        <v>-1000000</v>
      </c>
      <c r="D305">
        <f t="shared" si="353"/>
        <v>-1000000</v>
      </c>
      <c r="E305">
        <f t="shared" si="353"/>
        <v>-1000000</v>
      </c>
      <c r="F305">
        <f t="shared" si="353"/>
        <v>-1000000</v>
      </c>
      <c r="G305">
        <f t="shared" si="353"/>
        <v>-1000000</v>
      </c>
      <c r="H305">
        <f t="shared" si="353"/>
        <v>-1000000</v>
      </c>
      <c r="I305">
        <f t="shared" si="353"/>
        <v>-1000000</v>
      </c>
      <c r="J305">
        <f t="shared" si="353"/>
        <v>-1000000</v>
      </c>
      <c r="K305" s="248">
        <f t="shared" si="353"/>
        <v>7.549375707682153E-2</v>
      </c>
      <c r="L305" s="3">
        <f t="shared" ref="L305:AA305" si="354">IF($A305=L$290,-1000000,L280)</f>
        <v>0.12100192804470275</v>
      </c>
      <c r="M305">
        <f t="shared" si="354"/>
        <v>0.12829422333309815</v>
      </c>
      <c r="N305">
        <f t="shared" si="354"/>
        <v>0.1278721404064623</v>
      </c>
      <c r="O305">
        <f t="shared" si="354"/>
        <v>2.6441780308304203E-2</v>
      </c>
      <c r="P305" s="387">
        <f t="shared" si="354"/>
        <v>6.4799896016057179E-2</v>
      </c>
      <c r="Q305">
        <f t="shared" si="354"/>
        <v>8.9348162585566701E-2</v>
      </c>
      <c r="R305">
        <f t="shared" si="354"/>
        <v>0.11582676128308356</v>
      </c>
      <c r="S305">
        <f t="shared" si="354"/>
        <v>9.7110648571767003E-2</v>
      </c>
      <c r="T305">
        <f t="shared" si="354"/>
        <v>0.10050239705922208</v>
      </c>
      <c r="U305">
        <f t="shared" si="354"/>
        <v>8.8987068487399679E-2</v>
      </c>
      <c r="V305">
        <f t="shared" si="354"/>
        <v>0.10007248764287122</v>
      </c>
      <c r="W305">
        <f t="shared" si="354"/>
        <v>0.11622074871860458</v>
      </c>
      <c r="X305">
        <f t="shared" si="354"/>
        <v>5.0963437826310305E-2</v>
      </c>
      <c r="Y305">
        <f t="shared" si="354"/>
        <v>0</v>
      </c>
      <c r="Z305">
        <f t="shared" si="354"/>
        <v>0</v>
      </c>
      <c r="AA305">
        <f t="shared" si="354"/>
        <v>0</v>
      </c>
      <c r="AB305">
        <f t="shared" ref="AB305" si="355">IF($A305=AB$290,-1000000,AB280)</f>
        <v>0</v>
      </c>
      <c r="AC305">
        <v>2</v>
      </c>
    </row>
    <row r="306" spans="1:29" x14ac:dyDescent="0.2">
      <c r="A306" s="3">
        <v>3</v>
      </c>
      <c r="B306" t="s">
        <v>29</v>
      </c>
      <c r="C306">
        <f t="shared" si="353"/>
        <v>4.59031582839882E-2</v>
      </c>
      <c r="D306">
        <f t="shared" si="353"/>
        <v>6.8714997321758189E-2</v>
      </c>
      <c r="E306">
        <f t="shared" si="353"/>
        <v>2.793811565293286E-2</v>
      </c>
      <c r="F306">
        <f t="shared" si="353"/>
        <v>3.043514587355416E-2</v>
      </c>
      <c r="G306">
        <f t="shared" si="353"/>
        <v>4.3875058777426035E-2</v>
      </c>
      <c r="H306">
        <f t="shared" si="353"/>
        <v>0</v>
      </c>
      <c r="I306">
        <f t="shared" si="353"/>
        <v>8.4582438178919875E-3</v>
      </c>
      <c r="J306">
        <f t="shared" si="353"/>
        <v>4.8338058410877634E-2</v>
      </c>
      <c r="K306" s="248">
        <f t="shared" si="353"/>
        <v>-1000000</v>
      </c>
      <c r="L306" s="3">
        <f t="shared" ref="L306:AA306" si="356">IF($A306=L$290,-1000000,L281)</f>
        <v>9.9025160649915928E-2</v>
      </c>
      <c r="M306">
        <f t="shared" si="356"/>
        <v>9.4372133407876771E-2</v>
      </c>
      <c r="N306">
        <f t="shared" si="356"/>
        <v>9.4838593677294011E-2</v>
      </c>
      <c r="O306">
        <f t="shared" si="356"/>
        <v>0.12067430921954436</v>
      </c>
      <c r="P306" s="387">
        <f t="shared" si="356"/>
        <v>0.12827131892883833</v>
      </c>
      <c r="Q306">
        <f t="shared" si="356"/>
        <v>-1000000</v>
      </c>
      <c r="R306">
        <f t="shared" si="356"/>
        <v>-1000000</v>
      </c>
      <c r="S306">
        <f t="shared" si="356"/>
        <v>-1000000</v>
      </c>
      <c r="T306">
        <f t="shared" si="356"/>
        <v>0.14091894976185954</v>
      </c>
      <c r="U306">
        <f t="shared" si="356"/>
        <v>0.13595322720490188</v>
      </c>
      <c r="V306">
        <f t="shared" si="356"/>
        <v>0.11429718334065875</v>
      </c>
      <c r="W306">
        <f t="shared" si="356"/>
        <v>9.8343792727686896E-2</v>
      </c>
      <c r="X306">
        <f t="shared" si="356"/>
        <v>9.1924670424457469E-2</v>
      </c>
      <c r="Y306">
        <f t="shared" si="356"/>
        <v>0.12716964930103508</v>
      </c>
      <c r="Z306">
        <f t="shared" si="356"/>
        <v>0.10814124714738031</v>
      </c>
      <c r="AA306">
        <f t="shared" si="356"/>
        <v>8.3540807419010543E-2</v>
      </c>
      <c r="AB306">
        <f t="shared" ref="AB306" si="357">IF($A306=AB$290,-1000000,AB281)</f>
        <v>-1000000</v>
      </c>
      <c r="AC306">
        <v>3</v>
      </c>
    </row>
    <row r="307" spans="1:29" x14ac:dyDescent="0.2">
      <c r="A307" s="3">
        <v>4</v>
      </c>
      <c r="B307" t="s">
        <v>5</v>
      </c>
      <c r="C307">
        <f t="shared" si="353"/>
        <v>3.0692903706995126E-2</v>
      </c>
      <c r="D307">
        <f t="shared" si="353"/>
        <v>0</v>
      </c>
      <c r="E307">
        <f t="shared" si="353"/>
        <v>0</v>
      </c>
      <c r="F307">
        <f t="shared" si="353"/>
        <v>3.4557022077887654E-2</v>
      </c>
      <c r="G307">
        <f t="shared" si="353"/>
        <v>4.1916160265811894E-2</v>
      </c>
      <c r="H307">
        <f t="shared" si="353"/>
        <v>-1000000</v>
      </c>
      <c r="I307">
        <f t="shared" si="353"/>
        <v>-1000000</v>
      </c>
      <c r="J307">
        <f t="shared" si="353"/>
        <v>-1000000</v>
      </c>
      <c r="K307" s="248">
        <f t="shared" si="353"/>
        <v>-1000000</v>
      </c>
      <c r="L307" s="3">
        <f t="shared" ref="L307:AA307" si="358">IF($A307=L$290,-1000000,L282)</f>
        <v>-1000000</v>
      </c>
      <c r="M307">
        <f t="shared" si="358"/>
        <v>-1000000</v>
      </c>
      <c r="N307">
        <f t="shared" si="358"/>
        <v>-1000000</v>
      </c>
      <c r="O307">
        <f t="shared" si="358"/>
        <v>-1000000</v>
      </c>
      <c r="P307" s="387">
        <f t="shared" si="358"/>
        <v>-1000000</v>
      </c>
      <c r="Q307">
        <f t="shared" si="358"/>
        <v>-1000000</v>
      </c>
      <c r="R307">
        <f t="shared" si="358"/>
        <v>0.1128219733439188</v>
      </c>
      <c r="S307">
        <f t="shared" si="358"/>
        <v>-1000000</v>
      </c>
      <c r="T307">
        <f t="shared" si="358"/>
        <v>-1000000</v>
      </c>
      <c r="U307">
        <f t="shared" si="358"/>
        <v>-1000000</v>
      </c>
      <c r="V307">
        <f t="shared" si="358"/>
        <v>-1000000</v>
      </c>
      <c r="W307">
        <f t="shared" si="358"/>
        <v>-1000000</v>
      </c>
      <c r="X307">
        <f t="shared" si="358"/>
        <v>0.150090610726868</v>
      </c>
      <c r="Y307">
        <f t="shared" si="358"/>
        <v>-1000000</v>
      </c>
      <c r="Z307">
        <f t="shared" si="358"/>
        <v>-1000000</v>
      </c>
      <c r="AA307">
        <f t="shared" si="358"/>
        <v>-1000000</v>
      </c>
      <c r="AB307">
        <f t="shared" ref="AB307" si="359">IF($A307=AB$290,-1000000,AB282)</f>
        <v>0</v>
      </c>
      <c r="AC307">
        <v>4</v>
      </c>
    </row>
    <row r="308" spans="1:29" x14ac:dyDescent="0.2">
      <c r="A308" s="3">
        <v>5</v>
      </c>
      <c r="B308" t="s">
        <v>6</v>
      </c>
      <c r="C308">
        <f t="shared" si="353"/>
        <v>-1000000</v>
      </c>
      <c r="D308">
        <f t="shared" si="353"/>
        <v>-1000000</v>
      </c>
      <c r="E308">
        <f t="shared" si="353"/>
        <v>-1000000</v>
      </c>
      <c r="F308">
        <f t="shared" si="353"/>
        <v>-1000000</v>
      </c>
      <c r="G308">
        <f t="shared" si="353"/>
        <v>-1000000</v>
      </c>
      <c r="H308">
        <f t="shared" si="353"/>
        <v>1.424554279281426E-2</v>
      </c>
      <c r="I308">
        <f t="shared" si="353"/>
        <v>0</v>
      </c>
      <c r="J308">
        <f t="shared" si="353"/>
        <v>1.6398735900905279E-2</v>
      </c>
      <c r="K308" s="248">
        <f t="shared" si="353"/>
        <v>-1000000</v>
      </c>
      <c r="L308" s="3">
        <f t="shared" ref="L308:AA308" si="360">IF($A308=L$290,-1000000,L283)</f>
        <v>0.16350943047528033</v>
      </c>
      <c r="M308">
        <f t="shared" si="360"/>
        <v>0.15347030390874258</v>
      </c>
      <c r="N308">
        <f t="shared" si="360"/>
        <v>0.14648892075857126</v>
      </c>
      <c r="O308">
        <f t="shared" si="360"/>
        <v>2.0557795135038821E-2</v>
      </c>
      <c r="P308" s="387">
        <f t="shared" si="360"/>
        <v>9.1837302935579512E-2</v>
      </c>
      <c r="Q308">
        <f t="shared" si="360"/>
        <v>0.12844423059207091</v>
      </c>
      <c r="R308">
        <f t="shared" si="360"/>
        <v>-1000000</v>
      </c>
      <c r="S308">
        <f t="shared" si="360"/>
        <v>0.15319685464230604</v>
      </c>
      <c r="T308">
        <f t="shared" si="360"/>
        <v>0.15480946762504236</v>
      </c>
      <c r="U308">
        <f t="shared" si="360"/>
        <v>-1000000</v>
      </c>
      <c r="V308">
        <f t="shared" si="360"/>
        <v>-1000000</v>
      </c>
      <c r="W308">
        <f t="shared" si="360"/>
        <v>-1000000</v>
      </c>
      <c r="X308">
        <f t="shared" si="360"/>
        <v>-1000000</v>
      </c>
      <c r="Y308">
        <f t="shared" si="360"/>
        <v>-1000000</v>
      </c>
      <c r="Z308">
        <f t="shared" si="360"/>
        <v>-1000000</v>
      </c>
      <c r="AA308">
        <f t="shared" si="360"/>
        <v>-1000000</v>
      </c>
      <c r="AB308">
        <f t="shared" ref="AB308" si="361">IF($A308=AB$290,-1000000,AB283)</f>
        <v>-1000000</v>
      </c>
      <c r="AC308">
        <v>5</v>
      </c>
    </row>
    <row r="309" spans="1:29" x14ac:dyDescent="0.2">
      <c r="A309" s="3">
        <v>6</v>
      </c>
      <c r="B309" t="s">
        <v>1</v>
      </c>
      <c r="C309">
        <f t="shared" si="353"/>
        <v>-1000000</v>
      </c>
      <c r="D309">
        <f t="shared" si="353"/>
        <v>-1000000</v>
      </c>
      <c r="E309">
        <f t="shared" si="353"/>
        <v>-1000000</v>
      </c>
      <c r="F309">
        <f t="shared" si="353"/>
        <v>-1000000</v>
      </c>
      <c r="G309">
        <f t="shared" si="353"/>
        <v>-1000000</v>
      </c>
      <c r="H309">
        <f t="shared" si="353"/>
        <v>-1000000</v>
      </c>
      <c r="I309">
        <f t="shared" si="353"/>
        <v>-1000000</v>
      </c>
      <c r="J309">
        <f t="shared" si="353"/>
        <v>-1000000</v>
      </c>
      <c r="K309" s="248">
        <f t="shared" si="353"/>
        <v>-1000000</v>
      </c>
      <c r="L309" s="3">
        <f t="shared" ref="L309:AA309" si="362">IF($A309=L$290,-1000000,L284)</f>
        <v>-1000000</v>
      </c>
      <c r="M309">
        <f t="shared" si="362"/>
        <v>-1000000</v>
      </c>
      <c r="N309">
        <f t="shared" si="362"/>
        <v>-1000000</v>
      </c>
      <c r="O309">
        <f t="shared" si="362"/>
        <v>-1000000</v>
      </c>
      <c r="P309" s="387">
        <f t="shared" si="362"/>
        <v>-1000000</v>
      </c>
      <c r="Q309">
        <f t="shared" si="362"/>
        <v>0.12845294524805767</v>
      </c>
      <c r="R309">
        <f t="shared" si="362"/>
        <v>-1000000</v>
      </c>
      <c r="S309">
        <f t="shared" si="362"/>
        <v>0.10110626227728828</v>
      </c>
      <c r="T309">
        <f t="shared" si="362"/>
        <v>-1000000</v>
      </c>
      <c r="U309">
        <f t="shared" si="362"/>
        <v>-1000000</v>
      </c>
      <c r="V309">
        <f t="shared" si="362"/>
        <v>-1000000</v>
      </c>
      <c r="W309">
        <f t="shared" si="362"/>
        <v>0.11096382862658845</v>
      </c>
      <c r="X309">
        <f t="shared" si="362"/>
        <v>-1000000</v>
      </c>
      <c r="Y309">
        <f t="shared" si="362"/>
        <v>-1000000</v>
      </c>
      <c r="Z309">
        <f t="shared" si="362"/>
        <v>-1000000</v>
      </c>
      <c r="AA309">
        <f t="shared" si="362"/>
        <v>-1000000</v>
      </c>
      <c r="AB309">
        <f t="shared" ref="AB309" si="363">IF($A309=AB$290,-1000000,AB284)</f>
        <v>-1000000</v>
      </c>
      <c r="AC309">
        <v>6</v>
      </c>
    </row>
    <row r="310" spans="1:29" x14ac:dyDescent="0.2">
      <c r="A310" s="3">
        <v>7</v>
      </c>
      <c r="B310" t="s">
        <v>2</v>
      </c>
      <c r="C310">
        <f t="shared" si="353"/>
        <v>-1000000</v>
      </c>
      <c r="D310">
        <f t="shared" si="353"/>
        <v>1.5459569113676396E-2</v>
      </c>
      <c r="E310">
        <f t="shared" si="353"/>
        <v>8.4771198387578073E-2</v>
      </c>
      <c r="F310">
        <f t="shared" si="353"/>
        <v>-1000000</v>
      </c>
      <c r="G310">
        <f t="shared" si="353"/>
        <v>-1000000</v>
      </c>
      <c r="H310">
        <f t="shared" si="353"/>
        <v>-1000000</v>
      </c>
      <c r="I310">
        <f t="shared" si="353"/>
        <v>-1000000</v>
      </c>
      <c r="J310">
        <f t="shared" si="353"/>
        <v>-1000000</v>
      </c>
      <c r="K310" s="248">
        <f t="shared" si="353"/>
        <v>0.15164198914722199</v>
      </c>
      <c r="L310" s="3">
        <f t="shared" ref="L310:AA310" si="364">IF($A310=L$290,-1000000,L285)</f>
        <v>-1000000</v>
      </c>
      <c r="M310">
        <f t="shared" si="364"/>
        <v>-1000000</v>
      </c>
      <c r="N310">
        <f t="shared" si="364"/>
        <v>-1000000</v>
      </c>
      <c r="O310">
        <f t="shared" si="364"/>
        <v>-1000000</v>
      </c>
      <c r="P310" s="387">
        <f t="shared" si="364"/>
        <v>-1000000</v>
      </c>
      <c r="Q310">
        <f t="shared" si="364"/>
        <v>-1000000</v>
      </c>
      <c r="R310">
        <f t="shared" si="364"/>
        <v>0.13617458248689532</v>
      </c>
      <c r="S310">
        <f t="shared" si="364"/>
        <v>-1000000</v>
      </c>
      <c r="T310">
        <f t="shared" si="364"/>
        <v>-1000000</v>
      </c>
      <c r="U310">
        <f t="shared" si="364"/>
        <v>8.9055179557913131E-2</v>
      </c>
      <c r="V310">
        <f t="shared" si="364"/>
        <v>0.14095442589055734</v>
      </c>
      <c r="W310">
        <f t="shared" si="364"/>
        <v>-1000000</v>
      </c>
      <c r="X310">
        <f t="shared" si="364"/>
        <v>-1000000</v>
      </c>
      <c r="Y310">
        <f t="shared" si="364"/>
        <v>0.16853010806177343</v>
      </c>
      <c r="Z310">
        <f t="shared" si="364"/>
        <v>0.17900509734230102</v>
      </c>
      <c r="AA310">
        <f t="shared" si="364"/>
        <v>0.19039618077006359</v>
      </c>
      <c r="AB310">
        <f t="shared" ref="AB310" si="365">IF($A310=AB$290,-1000000,AB285)</f>
        <v>0</v>
      </c>
      <c r="AC310">
        <v>7</v>
      </c>
    </row>
    <row r="311" spans="1:29" x14ac:dyDescent="0.2">
      <c r="A311" s="3"/>
    </row>
    <row r="312" spans="1:29" x14ac:dyDescent="0.2">
      <c r="A312" s="59">
        <v>27</v>
      </c>
      <c r="B312" s="137">
        <v>0</v>
      </c>
      <c r="C312">
        <v>1</v>
      </c>
      <c r="D312">
        <v>2</v>
      </c>
      <c r="E312">
        <v>3</v>
      </c>
      <c r="F312">
        <v>4</v>
      </c>
      <c r="G312">
        <v>5</v>
      </c>
      <c r="H312">
        <v>6</v>
      </c>
      <c r="I312">
        <v>7</v>
      </c>
      <c r="J312">
        <v>8</v>
      </c>
      <c r="K312" s="248">
        <v>9</v>
      </c>
      <c r="L312" s="3">
        <v>10</v>
      </c>
      <c r="M312">
        <v>11</v>
      </c>
      <c r="N312">
        <v>12</v>
      </c>
      <c r="O312">
        <v>13</v>
      </c>
      <c r="P312" s="387">
        <v>14</v>
      </c>
      <c r="Q312">
        <v>15</v>
      </c>
      <c r="R312">
        <v>16</v>
      </c>
      <c r="S312">
        <v>17</v>
      </c>
      <c r="T312">
        <v>18</v>
      </c>
      <c r="U312">
        <v>19</v>
      </c>
      <c r="V312">
        <v>20</v>
      </c>
      <c r="W312">
        <v>21</v>
      </c>
      <c r="X312">
        <v>22</v>
      </c>
      <c r="Y312">
        <v>23</v>
      </c>
      <c r="Z312">
        <v>24</v>
      </c>
      <c r="AA312">
        <v>25</v>
      </c>
      <c r="AB312">
        <v>26</v>
      </c>
    </row>
    <row r="313" spans="1:29" x14ac:dyDescent="0.2">
      <c r="A313" s="59"/>
      <c r="B313" s="25" t="s">
        <v>117</v>
      </c>
    </row>
    <row r="314" spans="1:29" x14ac:dyDescent="0.2">
      <c r="A314" s="59"/>
      <c r="B314" t="s">
        <v>118</v>
      </c>
      <c r="C314">
        <f>MAX(C304:C310)</f>
        <v>4.59031582839882E-2</v>
      </c>
      <c r="D314">
        <f t="shared" ref="D314:AA314" si="366">MAX(D304:D310)</f>
        <v>6.8714997321758189E-2</v>
      </c>
      <c r="E314">
        <f t="shared" si="366"/>
        <v>8.4771198387578073E-2</v>
      </c>
      <c r="F314">
        <f t="shared" si="366"/>
        <v>8.877693893692333E-2</v>
      </c>
      <c r="G314">
        <f t="shared" si="366"/>
        <v>6.7407780346147167E-2</v>
      </c>
      <c r="H314">
        <f t="shared" si="366"/>
        <v>7.3184554112147832E-2</v>
      </c>
      <c r="I314">
        <f t="shared" si="366"/>
        <v>6.441728862035033E-2</v>
      </c>
      <c r="J314">
        <f t="shared" si="366"/>
        <v>5.6938769340430462E-2</v>
      </c>
      <c r="K314" s="248">
        <f t="shared" si="366"/>
        <v>0.15164198914722199</v>
      </c>
      <c r="L314" s="3">
        <f t="shared" si="366"/>
        <v>0.16350943047528033</v>
      </c>
      <c r="M314">
        <f t="shared" si="366"/>
        <v>0.15347030390874258</v>
      </c>
      <c r="N314">
        <f t="shared" si="366"/>
        <v>0.14648892075857126</v>
      </c>
      <c r="O314">
        <f t="shared" si="366"/>
        <v>0.13167343195760525</v>
      </c>
      <c r="P314" s="387">
        <f t="shared" si="366"/>
        <v>0.12827131892883833</v>
      </c>
      <c r="Q314">
        <f t="shared" si="366"/>
        <v>0.12845294524805767</v>
      </c>
      <c r="R314">
        <f t="shared" si="366"/>
        <v>0.13617458248689532</v>
      </c>
      <c r="S314">
        <f t="shared" si="366"/>
        <v>0.15319685464230604</v>
      </c>
      <c r="T314">
        <f t="shared" si="366"/>
        <v>0.15480946762504236</v>
      </c>
      <c r="U314">
        <f t="shared" si="366"/>
        <v>0.13595322720490188</v>
      </c>
      <c r="V314">
        <f t="shared" si="366"/>
        <v>0.14095442589055734</v>
      </c>
      <c r="W314">
        <f t="shared" si="366"/>
        <v>0.11622074871860458</v>
      </c>
      <c r="X314">
        <f t="shared" si="366"/>
        <v>0.150090610726868</v>
      </c>
      <c r="Y314">
        <f t="shared" si="366"/>
        <v>0.16853010806177343</v>
      </c>
      <c r="Z314">
        <f t="shared" si="366"/>
        <v>0.17900509734230102</v>
      </c>
      <c r="AA314">
        <f t="shared" si="366"/>
        <v>0.19039618077006359</v>
      </c>
      <c r="AB314">
        <f t="shared" ref="AB314" si="367">MAX(AB304:AB310)</f>
        <v>0</v>
      </c>
    </row>
    <row r="315" spans="1:29" x14ac:dyDescent="0.2">
      <c r="A315" s="59"/>
      <c r="B315" t="s">
        <v>119</v>
      </c>
      <c r="C315" s="138">
        <f>VLOOKUP(C314,C$304:$AC$310,$A$312-B312,FALSE)</f>
        <v>3</v>
      </c>
      <c r="D315" s="138">
        <f>VLOOKUP(D314,D$304:$AC$310,$A$312-C312,FALSE)</f>
        <v>3</v>
      </c>
      <c r="E315" s="138">
        <f>VLOOKUP(E314,E$304:$AC$310,$A$312-D312,FALSE)</f>
        <v>7</v>
      </c>
      <c r="F315" s="138">
        <f>VLOOKUP(F314,F$304:$AC$310,$A$312-E312,FALSE)</f>
        <v>1</v>
      </c>
      <c r="G315" s="138">
        <f>VLOOKUP(G314,G$304:$AC$310,$A$312-F312,FALSE)</f>
        <v>1</v>
      </c>
      <c r="H315" s="138">
        <f>VLOOKUP(H314,H$304:$AC$310,$A$312-G312,FALSE)</f>
        <v>1</v>
      </c>
      <c r="I315" s="138">
        <f>VLOOKUP(I314,I$304:$AC$310,$A$312-H312,FALSE)</f>
        <v>1</v>
      </c>
      <c r="J315" s="138">
        <f>VLOOKUP(J314,J$304:$AC$310,$A$312-I312,FALSE)</f>
        <v>1</v>
      </c>
      <c r="K315" s="264">
        <f>VLOOKUP(K314,K$304:$AC$310,$A$312-J312,FALSE)</f>
        <v>7</v>
      </c>
      <c r="L315" s="242">
        <f>VLOOKUP(L314,L$304:$AC$310,$A$312-K312,FALSE)</f>
        <v>5</v>
      </c>
      <c r="M315" s="138">
        <f>VLOOKUP(M314,M$304:$AC$310,$A$312-L312,FALSE)</f>
        <v>5</v>
      </c>
      <c r="N315" s="138">
        <f>VLOOKUP(N314,N$304:$AC$310,$A$312-M312,FALSE)</f>
        <v>5</v>
      </c>
      <c r="O315" s="138">
        <f>VLOOKUP(O314,O$304:$AC$310,$A$312-N312,FALSE)</f>
        <v>1</v>
      </c>
      <c r="P315" s="407">
        <f>VLOOKUP(P314,P$304:$AC$310,$A$312-O312,FALSE)</f>
        <v>3</v>
      </c>
      <c r="Q315" s="138">
        <f>VLOOKUP(Q314,Q$304:$AC$310,$A$312-P312,FALSE)</f>
        <v>6</v>
      </c>
      <c r="R315" s="138">
        <f>VLOOKUP(R314,R$304:$AC$310,$A$312-Q312,FALSE)</f>
        <v>7</v>
      </c>
      <c r="S315" s="138">
        <f>VLOOKUP(S314,S$304:$AC$310,$A$312-R312,FALSE)</f>
        <v>5</v>
      </c>
      <c r="T315" s="138">
        <f>VLOOKUP(T314,T$304:$AC$310,$A$312-S312,FALSE)</f>
        <v>5</v>
      </c>
      <c r="U315" s="138">
        <f>VLOOKUP(U314,U$304:$AC$310,$A$312-T312,FALSE)</f>
        <v>3</v>
      </c>
      <c r="V315" s="138">
        <f>VLOOKUP(V314,V$304:$AC$310,$A$312-U312,FALSE)</f>
        <v>7</v>
      </c>
      <c r="W315" s="138">
        <f>VLOOKUP(W314,W$304:$AC$310,$A$312-V312,FALSE)</f>
        <v>2</v>
      </c>
      <c r="X315" s="138">
        <f>VLOOKUP(X314,X$304:$AC$310,$A$312-W312,FALSE)</f>
        <v>4</v>
      </c>
      <c r="Y315" s="138">
        <f>VLOOKUP(Y314,Y$304:$AC$310,$A$312-X312,FALSE)</f>
        <v>7</v>
      </c>
      <c r="Z315" s="138">
        <f>VLOOKUP(Z314,Z$304:$AC$310,$A$312-Y312,FALSE)</f>
        <v>7</v>
      </c>
      <c r="AA315" s="138">
        <f>VLOOKUP(AA314,AA$304:$AC$310,$A$312-Z312,FALSE)</f>
        <v>7</v>
      </c>
      <c r="AB315" s="138">
        <f>VLOOKUP(AB314,AB$304:$AC$310,$A$312-AA312,FALSE)</f>
        <v>1</v>
      </c>
    </row>
    <row r="316" spans="1:29" x14ac:dyDescent="0.2">
      <c r="A316" s="59"/>
      <c r="B316" s="4" t="s">
        <v>110</v>
      </c>
    </row>
    <row r="317" spans="1:29" x14ac:dyDescent="0.2">
      <c r="A317" s="3">
        <v>1</v>
      </c>
      <c r="B317" t="s">
        <v>41</v>
      </c>
      <c r="C317">
        <f>IF($A317=C$315,MIN(C200,C$301),0)</f>
        <v>0</v>
      </c>
      <c r="D317">
        <f t="shared" ref="D317:L317" si="368">IF($A317=D$315,MIN(D200,D$301),0)</f>
        <v>0</v>
      </c>
      <c r="E317">
        <f t="shared" si="368"/>
        <v>0</v>
      </c>
      <c r="F317">
        <f t="shared" si="368"/>
        <v>3725703.5172845842</v>
      </c>
      <c r="G317">
        <f t="shared" si="368"/>
        <v>4810425.4000434615</v>
      </c>
      <c r="H317">
        <f t="shared" si="368"/>
        <v>4198415.8285432272</v>
      </c>
      <c r="I317">
        <f t="shared" si="368"/>
        <v>6401307.3610291723</v>
      </c>
      <c r="J317">
        <f t="shared" si="368"/>
        <v>7617916.511295015</v>
      </c>
      <c r="K317" s="248">
        <f t="shared" si="368"/>
        <v>0</v>
      </c>
      <c r="L317" s="3">
        <f t="shared" si="368"/>
        <v>0</v>
      </c>
      <c r="M317">
        <f t="shared" ref="M317:AA317" si="369">IF($A317=M$315,MIN(M200,M$301),0)</f>
        <v>0</v>
      </c>
      <c r="N317">
        <f t="shared" si="369"/>
        <v>0</v>
      </c>
      <c r="O317">
        <f t="shared" si="369"/>
        <v>0</v>
      </c>
      <c r="P317" s="387">
        <f t="shared" si="369"/>
        <v>0</v>
      </c>
      <c r="Q317">
        <f t="shared" si="369"/>
        <v>0</v>
      </c>
      <c r="R317">
        <f t="shared" si="369"/>
        <v>0</v>
      </c>
      <c r="S317">
        <f t="shared" si="369"/>
        <v>0</v>
      </c>
      <c r="T317">
        <f t="shared" si="369"/>
        <v>0</v>
      </c>
      <c r="U317">
        <f t="shared" si="369"/>
        <v>0</v>
      </c>
      <c r="V317">
        <f t="shared" si="369"/>
        <v>0</v>
      </c>
      <c r="W317">
        <f t="shared" si="369"/>
        <v>0</v>
      </c>
      <c r="X317">
        <f t="shared" si="369"/>
        <v>0</v>
      </c>
      <c r="Y317">
        <f t="shared" si="369"/>
        <v>0</v>
      </c>
      <c r="Z317">
        <f t="shared" si="369"/>
        <v>0</v>
      </c>
      <c r="AA317">
        <f t="shared" si="369"/>
        <v>0</v>
      </c>
      <c r="AB317">
        <f t="shared" ref="AB317" si="370">IF($A317=AB$315,MIN(AB200,AB$301),0)</f>
        <v>0</v>
      </c>
    </row>
    <row r="318" spans="1:29" x14ac:dyDescent="0.2">
      <c r="A318" s="3">
        <v>2</v>
      </c>
      <c r="B318" t="s">
        <v>3</v>
      </c>
      <c r="C318">
        <f t="shared" ref="C318:C323" si="371">IF($A318=C$315,MIN(C201,C$301),0)</f>
        <v>0</v>
      </c>
      <c r="D318">
        <f t="shared" ref="D318:L318" si="372">IF($A318=D$315,MIN(D201,D$301),0)</f>
        <v>0</v>
      </c>
      <c r="E318">
        <f t="shared" si="372"/>
        <v>0</v>
      </c>
      <c r="F318">
        <f t="shared" si="372"/>
        <v>0</v>
      </c>
      <c r="G318">
        <f t="shared" si="372"/>
        <v>0</v>
      </c>
      <c r="H318">
        <f t="shared" si="372"/>
        <v>0</v>
      </c>
      <c r="I318">
        <f t="shared" si="372"/>
        <v>0</v>
      </c>
      <c r="J318">
        <f t="shared" si="372"/>
        <v>0</v>
      </c>
      <c r="K318" s="248">
        <f t="shared" si="372"/>
        <v>0</v>
      </c>
      <c r="L318" s="3">
        <f t="shared" si="372"/>
        <v>0</v>
      </c>
      <c r="M318">
        <f t="shared" ref="M318:AA318" si="373">IF($A318=M$315,MIN(M201,M$301),0)</f>
        <v>0</v>
      </c>
      <c r="N318">
        <f t="shared" si="373"/>
        <v>0</v>
      </c>
      <c r="O318">
        <f t="shared" si="373"/>
        <v>0</v>
      </c>
      <c r="P318" s="387">
        <f t="shared" si="373"/>
        <v>0</v>
      </c>
      <c r="Q318">
        <f t="shared" si="373"/>
        <v>0</v>
      </c>
      <c r="R318">
        <f t="shared" si="373"/>
        <v>0</v>
      </c>
      <c r="S318">
        <f t="shared" si="373"/>
        <v>0</v>
      </c>
      <c r="T318">
        <f t="shared" si="373"/>
        <v>0</v>
      </c>
      <c r="U318">
        <f t="shared" si="373"/>
        <v>0</v>
      </c>
      <c r="V318">
        <f t="shared" si="373"/>
        <v>0</v>
      </c>
      <c r="W318">
        <f t="shared" si="373"/>
        <v>0</v>
      </c>
      <c r="X318">
        <f t="shared" si="373"/>
        <v>0</v>
      </c>
      <c r="Y318">
        <f t="shared" si="373"/>
        <v>0</v>
      </c>
      <c r="Z318">
        <f t="shared" si="373"/>
        <v>0</v>
      </c>
      <c r="AA318">
        <f t="shared" si="373"/>
        <v>0</v>
      </c>
      <c r="AB318">
        <f t="shared" ref="AB318" si="374">IF($A318=AB$315,MIN(AB201,AB$301),0)</f>
        <v>0</v>
      </c>
    </row>
    <row r="319" spans="1:29" x14ac:dyDescent="0.2">
      <c r="A319" s="3">
        <v>3</v>
      </c>
      <c r="B319" t="s">
        <v>29</v>
      </c>
      <c r="C319">
        <f t="shared" si="371"/>
        <v>1216702.346189233</v>
      </c>
      <c r="D319">
        <f t="shared" ref="D319:L319" si="375">IF($A319=D$315,MIN(D202,D$301),0)</f>
        <v>1192128.8467508203</v>
      </c>
      <c r="E319">
        <f t="shared" si="375"/>
        <v>0</v>
      </c>
      <c r="F319">
        <f t="shared" si="375"/>
        <v>0</v>
      </c>
      <c r="G319">
        <f t="shared" si="375"/>
        <v>0</v>
      </c>
      <c r="H319">
        <f t="shared" si="375"/>
        <v>0</v>
      </c>
      <c r="I319">
        <f t="shared" si="375"/>
        <v>0</v>
      </c>
      <c r="J319">
        <f t="shared" si="375"/>
        <v>0</v>
      </c>
      <c r="K319" s="248">
        <f t="shared" si="375"/>
        <v>0</v>
      </c>
      <c r="L319" s="3">
        <f t="shared" si="375"/>
        <v>0</v>
      </c>
      <c r="M319">
        <f t="shared" ref="M319:AA319" si="376">IF($A319=M$315,MIN(M202,M$301),0)</f>
        <v>0</v>
      </c>
      <c r="N319">
        <f t="shared" si="376"/>
        <v>0</v>
      </c>
      <c r="O319">
        <f t="shared" si="376"/>
        <v>0</v>
      </c>
      <c r="P319" s="387">
        <f t="shared" si="376"/>
        <v>0</v>
      </c>
      <c r="Q319">
        <f t="shared" si="376"/>
        <v>0</v>
      </c>
      <c r="R319">
        <f t="shared" si="376"/>
        <v>0</v>
      </c>
      <c r="S319">
        <f t="shared" si="376"/>
        <v>0</v>
      </c>
      <c r="T319">
        <f t="shared" si="376"/>
        <v>0</v>
      </c>
      <c r="U319">
        <f t="shared" si="376"/>
        <v>0</v>
      </c>
      <c r="V319">
        <f t="shared" si="376"/>
        <v>0</v>
      </c>
      <c r="W319">
        <f t="shared" si="376"/>
        <v>0</v>
      </c>
      <c r="X319">
        <f t="shared" si="376"/>
        <v>0</v>
      </c>
      <c r="Y319">
        <f t="shared" si="376"/>
        <v>0</v>
      </c>
      <c r="Z319">
        <f t="shared" si="376"/>
        <v>0</v>
      </c>
      <c r="AA319">
        <f t="shared" si="376"/>
        <v>0</v>
      </c>
      <c r="AB319">
        <f t="shared" ref="AB319" si="377">IF($A319=AB$315,MIN(AB202,AB$301),0)</f>
        <v>0</v>
      </c>
    </row>
    <row r="320" spans="1:29" x14ac:dyDescent="0.2">
      <c r="A320" s="3">
        <v>4</v>
      </c>
      <c r="B320" t="s">
        <v>5</v>
      </c>
      <c r="C320">
        <f t="shared" si="371"/>
        <v>0</v>
      </c>
      <c r="D320">
        <f t="shared" ref="D320:L320" si="378">IF($A320=D$315,MIN(D203,D$301),0)</f>
        <v>0</v>
      </c>
      <c r="E320">
        <f t="shared" si="378"/>
        <v>0</v>
      </c>
      <c r="F320">
        <f t="shared" si="378"/>
        <v>0</v>
      </c>
      <c r="G320">
        <f t="shared" si="378"/>
        <v>0</v>
      </c>
      <c r="H320">
        <f t="shared" si="378"/>
        <v>0</v>
      </c>
      <c r="I320">
        <f t="shared" si="378"/>
        <v>0</v>
      </c>
      <c r="J320">
        <f t="shared" si="378"/>
        <v>0</v>
      </c>
      <c r="K320" s="248">
        <f t="shared" si="378"/>
        <v>0</v>
      </c>
      <c r="L320" s="3">
        <f t="shared" si="378"/>
        <v>0</v>
      </c>
      <c r="M320">
        <f t="shared" ref="M320:AA320" si="379">IF($A320=M$315,MIN(M203,M$301),0)</f>
        <v>0</v>
      </c>
      <c r="N320">
        <f t="shared" si="379"/>
        <v>0</v>
      </c>
      <c r="O320">
        <f t="shared" si="379"/>
        <v>0</v>
      </c>
      <c r="P320" s="387">
        <f t="shared" si="379"/>
        <v>0</v>
      </c>
      <c r="Q320">
        <f t="shared" si="379"/>
        <v>0</v>
      </c>
      <c r="R320">
        <f t="shared" si="379"/>
        <v>0</v>
      </c>
      <c r="S320">
        <f t="shared" si="379"/>
        <v>0</v>
      </c>
      <c r="T320">
        <f t="shared" si="379"/>
        <v>0</v>
      </c>
      <c r="U320">
        <f t="shared" si="379"/>
        <v>0</v>
      </c>
      <c r="V320">
        <f t="shared" si="379"/>
        <v>0</v>
      </c>
      <c r="W320">
        <f t="shared" si="379"/>
        <v>0</v>
      </c>
      <c r="X320">
        <f t="shared" si="379"/>
        <v>10789241.653731348</v>
      </c>
      <c r="Y320">
        <f t="shared" si="379"/>
        <v>0</v>
      </c>
      <c r="Z320">
        <f t="shared" si="379"/>
        <v>0</v>
      </c>
      <c r="AA320">
        <f t="shared" si="379"/>
        <v>0</v>
      </c>
      <c r="AB320">
        <f t="shared" ref="AB320" si="380">IF($A320=AB$315,MIN(AB203,AB$301),0)</f>
        <v>0</v>
      </c>
    </row>
    <row r="321" spans="1:29" x14ac:dyDescent="0.2">
      <c r="A321" s="3">
        <v>5</v>
      </c>
      <c r="B321" t="s">
        <v>6</v>
      </c>
      <c r="C321">
        <f t="shared" si="371"/>
        <v>0</v>
      </c>
      <c r="D321">
        <f t="shared" ref="D321:L321" si="381">IF($A321=D$315,MIN(D204,D$301),0)</f>
        <v>0</v>
      </c>
      <c r="E321">
        <f t="shared" si="381"/>
        <v>0</v>
      </c>
      <c r="F321">
        <f t="shared" si="381"/>
        <v>0</v>
      </c>
      <c r="G321">
        <f t="shared" si="381"/>
        <v>0</v>
      </c>
      <c r="H321">
        <f t="shared" si="381"/>
        <v>0</v>
      </c>
      <c r="I321">
        <f t="shared" si="381"/>
        <v>0</v>
      </c>
      <c r="J321">
        <f t="shared" si="381"/>
        <v>0</v>
      </c>
      <c r="K321" s="248">
        <f t="shared" si="381"/>
        <v>0</v>
      </c>
      <c r="L321" s="3">
        <f t="shared" si="381"/>
        <v>0</v>
      </c>
      <c r="M321">
        <f t="shared" ref="M321:AA321" si="382">IF($A321=M$315,MIN(M204,M$301),0)</f>
        <v>0</v>
      </c>
      <c r="N321">
        <f t="shared" si="382"/>
        <v>0</v>
      </c>
      <c r="O321">
        <f t="shared" si="382"/>
        <v>0</v>
      </c>
      <c r="P321" s="387">
        <f t="shared" si="382"/>
        <v>0</v>
      </c>
      <c r="Q321">
        <f t="shared" si="382"/>
        <v>0</v>
      </c>
      <c r="R321">
        <f t="shared" si="382"/>
        <v>0</v>
      </c>
      <c r="S321">
        <f t="shared" si="382"/>
        <v>0</v>
      </c>
      <c r="T321">
        <f t="shared" si="382"/>
        <v>0</v>
      </c>
      <c r="U321">
        <f t="shared" si="382"/>
        <v>0</v>
      </c>
      <c r="V321">
        <f t="shared" si="382"/>
        <v>0</v>
      </c>
      <c r="W321">
        <f t="shared" si="382"/>
        <v>0</v>
      </c>
      <c r="X321">
        <f t="shared" si="382"/>
        <v>0</v>
      </c>
      <c r="Y321">
        <f t="shared" si="382"/>
        <v>0</v>
      </c>
      <c r="Z321">
        <f t="shared" si="382"/>
        <v>0</v>
      </c>
      <c r="AA321">
        <f t="shared" si="382"/>
        <v>0</v>
      </c>
      <c r="AB321">
        <f t="shared" ref="AB321" si="383">IF($A321=AB$315,MIN(AB204,AB$301),0)</f>
        <v>0</v>
      </c>
    </row>
    <row r="322" spans="1:29" x14ac:dyDescent="0.2">
      <c r="A322" s="3">
        <v>6</v>
      </c>
      <c r="B322" t="s">
        <v>1</v>
      </c>
      <c r="C322">
        <f t="shared" si="371"/>
        <v>0</v>
      </c>
      <c r="D322">
        <f t="shared" ref="D322:L322" si="384">IF($A322=D$315,MIN(D205,D$301),0)</f>
        <v>0</v>
      </c>
      <c r="E322">
        <f t="shared" si="384"/>
        <v>0</v>
      </c>
      <c r="F322">
        <f t="shared" si="384"/>
        <v>0</v>
      </c>
      <c r="G322">
        <f t="shared" si="384"/>
        <v>0</v>
      </c>
      <c r="H322">
        <f t="shared" si="384"/>
        <v>0</v>
      </c>
      <c r="I322">
        <f t="shared" si="384"/>
        <v>0</v>
      </c>
      <c r="J322">
        <f t="shared" si="384"/>
        <v>0</v>
      </c>
      <c r="K322" s="248">
        <f t="shared" si="384"/>
        <v>0</v>
      </c>
      <c r="L322" s="3">
        <f t="shared" si="384"/>
        <v>0</v>
      </c>
      <c r="M322">
        <f t="shared" ref="M322:AA322" si="385">IF($A322=M$315,MIN(M205,M$301),0)</f>
        <v>0</v>
      </c>
      <c r="N322">
        <f t="shared" si="385"/>
        <v>0</v>
      </c>
      <c r="O322">
        <f t="shared" si="385"/>
        <v>0</v>
      </c>
      <c r="P322" s="387">
        <f t="shared" si="385"/>
        <v>0</v>
      </c>
      <c r="Q322">
        <f t="shared" si="385"/>
        <v>0</v>
      </c>
      <c r="R322">
        <f t="shared" si="385"/>
        <v>0</v>
      </c>
      <c r="S322">
        <f t="shared" si="385"/>
        <v>0</v>
      </c>
      <c r="T322">
        <f t="shared" si="385"/>
        <v>0</v>
      </c>
      <c r="U322">
        <f t="shared" si="385"/>
        <v>0</v>
      </c>
      <c r="V322">
        <f t="shared" si="385"/>
        <v>0</v>
      </c>
      <c r="W322">
        <f t="shared" si="385"/>
        <v>0</v>
      </c>
      <c r="X322">
        <f t="shared" si="385"/>
        <v>0</v>
      </c>
      <c r="Y322">
        <f t="shared" si="385"/>
        <v>0</v>
      </c>
      <c r="Z322">
        <f t="shared" si="385"/>
        <v>0</v>
      </c>
      <c r="AA322">
        <f t="shared" si="385"/>
        <v>0</v>
      </c>
      <c r="AB322">
        <f t="shared" ref="AB322" si="386">IF($A322=AB$315,MIN(AB205,AB$301),0)</f>
        <v>0</v>
      </c>
    </row>
    <row r="323" spans="1:29" x14ac:dyDescent="0.2">
      <c r="A323" s="3">
        <v>7</v>
      </c>
      <c r="B323" t="s">
        <v>2</v>
      </c>
      <c r="C323">
        <f t="shared" si="371"/>
        <v>0</v>
      </c>
      <c r="D323">
        <f t="shared" ref="D323:L323" si="387">IF($A323=D$315,MIN(D206,D$301),0)</f>
        <v>0</v>
      </c>
      <c r="E323">
        <f t="shared" si="387"/>
        <v>0</v>
      </c>
      <c r="F323">
        <f t="shared" si="387"/>
        <v>0</v>
      </c>
      <c r="G323">
        <f t="shared" si="387"/>
        <v>0</v>
      </c>
      <c r="H323">
        <f t="shared" si="387"/>
        <v>0</v>
      </c>
      <c r="I323">
        <f t="shared" si="387"/>
        <v>0</v>
      </c>
      <c r="J323">
        <f t="shared" si="387"/>
        <v>0</v>
      </c>
      <c r="K323" s="248">
        <f t="shared" si="387"/>
        <v>0</v>
      </c>
      <c r="L323" s="3">
        <f t="shared" si="387"/>
        <v>0</v>
      </c>
      <c r="M323">
        <f t="shared" ref="M323:AA323" si="388">IF($A323=M$315,MIN(M206,M$301),0)</f>
        <v>0</v>
      </c>
      <c r="N323">
        <f t="shared" si="388"/>
        <v>0</v>
      </c>
      <c r="O323">
        <f t="shared" si="388"/>
        <v>0</v>
      </c>
      <c r="P323" s="387">
        <f t="shared" si="388"/>
        <v>0</v>
      </c>
      <c r="Q323">
        <f t="shared" si="388"/>
        <v>0</v>
      </c>
      <c r="R323">
        <f t="shared" si="388"/>
        <v>0</v>
      </c>
      <c r="S323">
        <f t="shared" si="388"/>
        <v>0</v>
      </c>
      <c r="T323">
        <f t="shared" si="388"/>
        <v>0</v>
      </c>
      <c r="U323">
        <f t="shared" si="388"/>
        <v>0</v>
      </c>
      <c r="V323">
        <f t="shared" si="388"/>
        <v>0</v>
      </c>
      <c r="W323">
        <f t="shared" si="388"/>
        <v>0</v>
      </c>
      <c r="X323">
        <f t="shared" si="388"/>
        <v>0</v>
      </c>
      <c r="Y323">
        <f t="shared" si="388"/>
        <v>0</v>
      </c>
      <c r="Z323">
        <f t="shared" si="388"/>
        <v>0</v>
      </c>
      <c r="AA323">
        <f t="shared" si="388"/>
        <v>0</v>
      </c>
      <c r="AB323">
        <f t="shared" ref="AB323" si="389">IF($A323=AB$315,MIN(AB206,AB$301),0)</f>
        <v>0</v>
      </c>
    </row>
    <row r="324" spans="1:29" x14ac:dyDescent="0.2">
      <c r="A324" s="3"/>
      <c r="B324" s="78" t="s">
        <v>93</v>
      </c>
      <c r="C324">
        <f>SUM(C317:C323)</f>
        <v>1216702.346189233</v>
      </c>
      <c r="D324">
        <f t="shared" ref="D324:AA324" si="390">SUM(D317:D323)</f>
        <v>1192128.8467508203</v>
      </c>
      <c r="E324">
        <f t="shared" si="390"/>
        <v>0</v>
      </c>
      <c r="F324">
        <f t="shared" si="390"/>
        <v>3725703.5172845842</v>
      </c>
      <c r="G324">
        <f t="shared" si="390"/>
        <v>4810425.4000434615</v>
      </c>
      <c r="H324">
        <f t="shared" si="390"/>
        <v>4198415.8285432272</v>
      </c>
      <c r="I324">
        <f t="shared" si="390"/>
        <v>6401307.3610291723</v>
      </c>
      <c r="J324">
        <f t="shared" si="390"/>
        <v>7617916.511295015</v>
      </c>
      <c r="K324" s="248">
        <f t="shared" si="390"/>
        <v>0</v>
      </c>
      <c r="L324" s="3">
        <f t="shared" si="390"/>
        <v>0</v>
      </c>
      <c r="M324">
        <f t="shared" si="390"/>
        <v>0</v>
      </c>
      <c r="N324">
        <f t="shared" si="390"/>
        <v>0</v>
      </c>
      <c r="O324">
        <f t="shared" si="390"/>
        <v>0</v>
      </c>
      <c r="P324" s="387">
        <f t="shared" si="390"/>
        <v>0</v>
      </c>
      <c r="Q324">
        <f t="shared" si="390"/>
        <v>0</v>
      </c>
      <c r="R324">
        <f t="shared" si="390"/>
        <v>0</v>
      </c>
      <c r="S324">
        <f t="shared" si="390"/>
        <v>0</v>
      </c>
      <c r="T324">
        <f t="shared" si="390"/>
        <v>0</v>
      </c>
      <c r="U324">
        <f t="shared" si="390"/>
        <v>0</v>
      </c>
      <c r="V324">
        <f t="shared" si="390"/>
        <v>0</v>
      </c>
      <c r="W324">
        <f t="shared" si="390"/>
        <v>0</v>
      </c>
      <c r="X324">
        <f t="shared" si="390"/>
        <v>10789241.653731348</v>
      </c>
      <c r="Y324">
        <f t="shared" si="390"/>
        <v>0</v>
      </c>
      <c r="Z324">
        <f t="shared" si="390"/>
        <v>0</v>
      </c>
      <c r="AA324">
        <f t="shared" si="390"/>
        <v>0</v>
      </c>
      <c r="AB324">
        <f t="shared" ref="AB324" si="391">SUM(AB317:AB323)</f>
        <v>0</v>
      </c>
    </row>
    <row r="325" spans="1:29" x14ac:dyDescent="0.2">
      <c r="A325" s="3"/>
    </row>
    <row r="326" spans="1:29" x14ac:dyDescent="0.2">
      <c r="A326" s="3"/>
      <c r="B326" s="137" t="s">
        <v>99</v>
      </c>
      <c r="C326" s="38">
        <f>C301-C324</f>
        <v>2362479.7253832691</v>
      </c>
      <c r="D326" s="38">
        <f t="shared" ref="D326:AB326" si="392">D301-D324</f>
        <v>1831134.5967779716</v>
      </c>
      <c r="E326" s="38">
        <f t="shared" si="392"/>
        <v>2412195.9377445849</v>
      </c>
      <c r="F326" s="38">
        <f t="shared" si="392"/>
        <v>3086050.4809494158</v>
      </c>
      <c r="G326" s="38">
        <f t="shared" si="392"/>
        <v>2466391.8261513663</v>
      </c>
      <c r="H326" s="38">
        <f t="shared" si="392"/>
        <v>272508.20687465556</v>
      </c>
      <c r="I326" s="38">
        <f t="shared" si="392"/>
        <v>0</v>
      </c>
      <c r="J326" s="38">
        <f t="shared" si="392"/>
        <v>0</v>
      </c>
      <c r="K326" s="251">
        <f t="shared" si="392"/>
        <v>0</v>
      </c>
      <c r="L326" s="76">
        <f t="shared" si="392"/>
        <v>0</v>
      </c>
      <c r="M326" s="38">
        <f t="shared" si="392"/>
        <v>0</v>
      </c>
      <c r="N326" s="38">
        <f t="shared" si="392"/>
        <v>0</v>
      </c>
      <c r="O326" s="38">
        <f t="shared" si="392"/>
        <v>0</v>
      </c>
      <c r="P326" s="390">
        <f t="shared" si="392"/>
        <v>0</v>
      </c>
      <c r="Q326" s="38">
        <f t="shared" si="392"/>
        <v>0</v>
      </c>
      <c r="R326" s="38">
        <f t="shared" si="392"/>
        <v>0</v>
      </c>
      <c r="S326" s="38">
        <f t="shared" si="392"/>
        <v>0</v>
      </c>
      <c r="T326" s="38">
        <f t="shared" si="392"/>
        <v>0</v>
      </c>
      <c r="U326" s="38">
        <f t="shared" si="392"/>
        <v>0</v>
      </c>
      <c r="V326" s="38">
        <f t="shared" si="392"/>
        <v>0</v>
      </c>
      <c r="W326" s="38">
        <f t="shared" si="392"/>
        <v>0</v>
      </c>
      <c r="X326" s="38">
        <f t="shared" si="392"/>
        <v>4225656.4063470755</v>
      </c>
      <c r="Y326" s="38">
        <f t="shared" si="392"/>
        <v>28999062.596188433</v>
      </c>
      <c r="Z326" s="38">
        <f t="shared" si="392"/>
        <v>48378682.371660665</v>
      </c>
      <c r="AA326" s="38">
        <f t="shared" si="392"/>
        <v>77221973.702052146</v>
      </c>
      <c r="AB326" s="38">
        <f t="shared" si="392"/>
        <v>153647810.07906795</v>
      </c>
    </row>
    <row r="327" spans="1:29" x14ac:dyDescent="0.2">
      <c r="A327" s="3"/>
    </row>
    <row r="328" spans="1:29" x14ac:dyDescent="0.2">
      <c r="A328" s="59"/>
      <c r="B328" s="137" t="s">
        <v>94</v>
      </c>
    </row>
    <row r="329" spans="1:29" x14ac:dyDescent="0.2">
      <c r="A329" s="3">
        <v>1</v>
      </c>
      <c r="B329" t="s">
        <v>41</v>
      </c>
      <c r="C329">
        <f t="shared" ref="C329:C335" si="393">IF($A329=C$315,-1000000,C304)</f>
        <v>4.0223066402473855E-2</v>
      </c>
      <c r="D329">
        <f t="shared" ref="D329:AA335" si="394">IF($A329=D$315,-1000000,D304)</f>
        <v>-1000000</v>
      </c>
      <c r="E329">
        <f t="shared" si="394"/>
        <v>-1000000</v>
      </c>
      <c r="F329">
        <f t="shared" si="394"/>
        <v>-1000000</v>
      </c>
      <c r="G329">
        <f t="shared" si="394"/>
        <v>-1000000</v>
      </c>
      <c r="H329">
        <f t="shared" si="394"/>
        <v>-1000000</v>
      </c>
      <c r="I329">
        <f t="shared" si="394"/>
        <v>-1000000</v>
      </c>
      <c r="J329">
        <f t="shared" si="394"/>
        <v>-1000000</v>
      </c>
      <c r="K329" s="248">
        <f t="shared" si="394"/>
        <v>5.6193970799165868E-2</v>
      </c>
      <c r="L329" s="3">
        <f t="shared" si="394"/>
        <v>6.5247013622210873E-2</v>
      </c>
      <c r="M329">
        <f t="shared" si="394"/>
        <v>7.2693131305107753E-2</v>
      </c>
      <c r="N329">
        <f t="shared" si="394"/>
        <v>7.8445105350049435E-2</v>
      </c>
      <c r="O329">
        <f t="shared" si="394"/>
        <v>-1000000</v>
      </c>
      <c r="P329" s="387">
        <f t="shared" si="394"/>
        <v>0.10501072643371959</v>
      </c>
      <c r="Q329">
        <f t="shared" si="394"/>
        <v>0.10172677007420894</v>
      </c>
      <c r="R329">
        <f t="shared" si="394"/>
        <v>0.11683254670013099</v>
      </c>
      <c r="S329">
        <f t="shared" si="394"/>
        <v>0.11877746846311751</v>
      </c>
      <c r="T329">
        <f t="shared" si="394"/>
        <v>0.10625159812537399</v>
      </c>
      <c r="U329">
        <f t="shared" si="394"/>
        <v>0.10366479890188537</v>
      </c>
      <c r="V329">
        <f t="shared" si="394"/>
        <v>9.3025184012785297E-2</v>
      </c>
      <c r="W329">
        <f t="shared" si="394"/>
        <v>9.7817173449166836E-2</v>
      </c>
      <c r="X329">
        <f t="shared" si="394"/>
        <v>0.13725969247373501</v>
      </c>
      <c r="Y329">
        <f t="shared" si="394"/>
        <v>0.16153054425072538</v>
      </c>
      <c r="Z329">
        <f t="shared" si="394"/>
        <v>0.13796103679100594</v>
      </c>
      <c r="AA329">
        <f t="shared" si="394"/>
        <v>0.11714497374828843</v>
      </c>
      <c r="AB329">
        <f t="shared" ref="AB329" si="395">IF($A329=AB$315,-1000000,AB304)</f>
        <v>-1000000</v>
      </c>
      <c r="AC329">
        <v>1</v>
      </c>
    </row>
    <row r="330" spans="1:29" x14ac:dyDescent="0.2">
      <c r="A330" s="3">
        <v>2</v>
      </c>
      <c r="B330" t="s">
        <v>3</v>
      </c>
      <c r="C330">
        <f t="shared" si="393"/>
        <v>-1000000</v>
      </c>
      <c r="D330">
        <f t="shared" ref="D330:R330" si="396">IF($A330=D$315,-1000000,D305)</f>
        <v>-1000000</v>
      </c>
      <c r="E330">
        <f t="shared" si="396"/>
        <v>-1000000</v>
      </c>
      <c r="F330">
        <f t="shared" si="396"/>
        <v>-1000000</v>
      </c>
      <c r="G330">
        <f t="shared" si="396"/>
        <v>-1000000</v>
      </c>
      <c r="H330">
        <f t="shared" si="396"/>
        <v>-1000000</v>
      </c>
      <c r="I330">
        <f t="shared" si="396"/>
        <v>-1000000</v>
      </c>
      <c r="J330">
        <f t="shared" si="396"/>
        <v>-1000000</v>
      </c>
      <c r="K330" s="248">
        <f t="shared" si="396"/>
        <v>7.549375707682153E-2</v>
      </c>
      <c r="L330" s="3">
        <f t="shared" si="396"/>
        <v>0.12100192804470275</v>
      </c>
      <c r="M330">
        <f t="shared" si="396"/>
        <v>0.12829422333309815</v>
      </c>
      <c r="N330">
        <f t="shared" si="396"/>
        <v>0.1278721404064623</v>
      </c>
      <c r="O330">
        <f t="shared" si="396"/>
        <v>2.6441780308304203E-2</v>
      </c>
      <c r="P330" s="387">
        <f t="shared" si="396"/>
        <v>6.4799896016057179E-2</v>
      </c>
      <c r="Q330">
        <f t="shared" si="396"/>
        <v>8.9348162585566701E-2</v>
      </c>
      <c r="R330">
        <f t="shared" si="396"/>
        <v>0.11582676128308356</v>
      </c>
      <c r="S330">
        <f t="shared" si="394"/>
        <v>9.7110648571767003E-2</v>
      </c>
      <c r="T330">
        <f t="shared" si="394"/>
        <v>0.10050239705922208</v>
      </c>
      <c r="U330">
        <f t="shared" si="394"/>
        <v>8.8987068487399679E-2</v>
      </c>
      <c r="V330">
        <f t="shared" si="394"/>
        <v>0.10007248764287122</v>
      </c>
      <c r="W330">
        <f t="shared" si="394"/>
        <v>-1000000</v>
      </c>
      <c r="X330">
        <f t="shared" si="394"/>
        <v>5.0963437826310305E-2</v>
      </c>
      <c r="Y330">
        <f t="shared" si="394"/>
        <v>0</v>
      </c>
      <c r="Z330">
        <f t="shared" si="394"/>
        <v>0</v>
      </c>
      <c r="AA330">
        <f t="shared" si="394"/>
        <v>0</v>
      </c>
      <c r="AB330">
        <f t="shared" ref="AB330" si="397">IF($A330=AB$315,-1000000,AB305)</f>
        <v>0</v>
      </c>
      <c r="AC330">
        <v>2</v>
      </c>
    </row>
    <row r="331" spans="1:29" x14ac:dyDescent="0.2">
      <c r="A331" s="3">
        <v>3</v>
      </c>
      <c r="B331" t="s">
        <v>29</v>
      </c>
      <c r="C331">
        <f t="shared" si="393"/>
        <v>-1000000</v>
      </c>
      <c r="D331">
        <f t="shared" si="394"/>
        <v>-1000000</v>
      </c>
      <c r="E331">
        <f t="shared" si="394"/>
        <v>2.793811565293286E-2</v>
      </c>
      <c r="F331">
        <f t="shared" si="394"/>
        <v>3.043514587355416E-2</v>
      </c>
      <c r="G331">
        <f t="shared" si="394"/>
        <v>4.3875058777426035E-2</v>
      </c>
      <c r="H331">
        <f t="shared" si="394"/>
        <v>0</v>
      </c>
      <c r="I331">
        <f t="shared" si="394"/>
        <v>8.4582438178919875E-3</v>
      </c>
      <c r="J331">
        <f t="shared" si="394"/>
        <v>4.8338058410877634E-2</v>
      </c>
      <c r="K331" s="248">
        <f t="shared" si="394"/>
        <v>-1000000</v>
      </c>
      <c r="L331" s="3">
        <f t="shared" si="394"/>
        <v>9.9025160649915928E-2</v>
      </c>
      <c r="M331">
        <f t="shared" si="394"/>
        <v>9.4372133407876771E-2</v>
      </c>
      <c r="N331">
        <f t="shared" si="394"/>
        <v>9.4838593677294011E-2</v>
      </c>
      <c r="O331">
        <f t="shared" si="394"/>
        <v>0.12067430921954436</v>
      </c>
      <c r="P331" s="387">
        <f t="shared" si="394"/>
        <v>-1000000</v>
      </c>
      <c r="Q331">
        <f t="shared" si="394"/>
        <v>-1000000</v>
      </c>
      <c r="R331">
        <f t="shared" si="394"/>
        <v>-1000000</v>
      </c>
      <c r="S331">
        <f t="shared" si="394"/>
        <v>-1000000</v>
      </c>
      <c r="T331">
        <f t="shared" si="394"/>
        <v>0.14091894976185954</v>
      </c>
      <c r="U331">
        <f t="shared" si="394"/>
        <v>-1000000</v>
      </c>
      <c r="V331">
        <f t="shared" si="394"/>
        <v>0.11429718334065875</v>
      </c>
      <c r="W331">
        <f t="shared" si="394"/>
        <v>9.8343792727686896E-2</v>
      </c>
      <c r="X331">
        <f t="shared" si="394"/>
        <v>9.1924670424457469E-2</v>
      </c>
      <c r="Y331">
        <f t="shared" si="394"/>
        <v>0.12716964930103508</v>
      </c>
      <c r="Z331">
        <f t="shared" si="394"/>
        <v>0.10814124714738031</v>
      </c>
      <c r="AA331">
        <f t="shared" si="394"/>
        <v>8.3540807419010543E-2</v>
      </c>
      <c r="AB331">
        <f t="shared" ref="AB331" si="398">IF($A331=AB$315,-1000000,AB306)</f>
        <v>-1000000</v>
      </c>
      <c r="AC331">
        <v>3</v>
      </c>
    </row>
    <row r="332" spans="1:29" x14ac:dyDescent="0.2">
      <c r="A332" s="3">
        <v>4</v>
      </c>
      <c r="B332" t="s">
        <v>5</v>
      </c>
      <c r="C332">
        <f t="shared" si="393"/>
        <v>3.0692903706995126E-2</v>
      </c>
      <c r="D332">
        <f t="shared" si="394"/>
        <v>0</v>
      </c>
      <c r="E332">
        <f t="shared" si="394"/>
        <v>0</v>
      </c>
      <c r="F332">
        <f t="shared" si="394"/>
        <v>3.4557022077887654E-2</v>
      </c>
      <c r="G332">
        <f t="shared" si="394"/>
        <v>4.1916160265811894E-2</v>
      </c>
      <c r="H332">
        <f t="shared" si="394"/>
        <v>-1000000</v>
      </c>
      <c r="I332">
        <f t="shared" si="394"/>
        <v>-1000000</v>
      </c>
      <c r="J332">
        <f t="shared" si="394"/>
        <v>-1000000</v>
      </c>
      <c r="K332" s="248">
        <f t="shared" si="394"/>
        <v>-1000000</v>
      </c>
      <c r="L332" s="3">
        <f t="shared" si="394"/>
        <v>-1000000</v>
      </c>
      <c r="M332">
        <f t="shared" si="394"/>
        <v>-1000000</v>
      </c>
      <c r="N332">
        <f t="shared" si="394"/>
        <v>-1000000</v>
      </c>
      <c r="O332">
        <f t="shared" si="394"/>
        <v>-1000000</v>
      </c>
      <c r="P332" s="387">
        <f t="shared" si="394"/>
        <v>-1000000</v>
      </c>
      <c r="Q332">
        <f t="shared" si="394"/>
        <v>-1000000</v>
      </c>
      <c r="R332">
        <f t="shared" si="394"/>
        <v>0.1128219733439188</v>
      </c>
      <c r="S332">
        <f t="shared" si="394"/>
        <v>-1000000</v>
      </c>
      <c r="T332">
        <f t="shared" si="394"/>
        <v>-1000000</v>
      </c>
      <c r="U332">
        <f t="shared" si="394"/>
        <v>-1000000</v>
      </c>
      <c r="V332">
        <f t="shared" si="394"/>
        <v>-1000000</v>
      </c>
      <c r="W332">
        <f t="shared" si="394"/>
        <v>-1000000</v>
      </c>
      <c r="X332">
        <f t="shared" si="394"/>
        <v>-1000000</v>
      </c>
      <c r="Y332">
        <f t="shared" si="394"/>
        <v>-1000000</v>
      </c>
      <c r="Z332">
        <f t="shared" si="394"/>
        <v>-1000000</v>
      </c>
      <c r="AA332">
        <f t="shared" si="394"/>
        <v>-1000000</v>
      </c>
      <c r="AB332">
        <f t="shared" ref="AB332" si="399">IF($A332=AB$315,-1000000,AB307)</f>
        <v>0</v>
      </c>
      <c r="AC332">
        <v>4</v>
      </c>
    </row>
    <row r="333" spans="1:29" x14ac:dyDescent="0.2">
      <c r="A333" s="3">
        <v>5</v>
      </c>
      <c r="B333" t="s">
        <v>6</v>
      </c>
      <c r="C333">
        <f t="shared" si="393"/>
        <v>-1000000</v>
      </c>
      <c r="D333">
        <f t="shared" si="394"/>
        <v>-1000000</v>
      </c>
      <c r="E333">
        <f t="shared" si="394"/>
        <v>-1000000</v>
      </c>
      <c r="F333">
        <f t="shared" si="394"/>
        <v>-1000000</v>
      </c>
      <c r="G333">
        <f t="shared" si="394"/>
        <v>-1000000</v>
      </c>
      <c r="H333">
        <f t="shared" si="394"/>
        <v>1.424554279281426E-2</v>
      </c>
      <c r="I333">
        <f t="shared" si="394"/>
        <v>0</v>
      </c>
      <c r="J333">
        <f t="shared" si="394"/>
        <v>1.6398735900905279E-2</v>
      </c>
      <c r="K333" s="248">
        <f t="shared" si="394"/>
        <v>-1000000</v>
      </c>
      <c r="L333" s="3">
        <f t="shared" si="394"/>
        <v>-1000000</v>
      </c>
      <c r="M333">
        <f t="shared" si="394"/>
        <v>-1000000</v>
      </c>
      <c r="N333">
        <f t="shared" si="394"/>
        <v>-1000000</v>
      </c>
      <c r="O333">
        <f t="shared" si="394"/>
        <v>2.0557795135038821E-2</v>
      </c>
      <c r="P333" s="387">
        <f t="shared" si="394"/>
        <v>9.1837302935579512E-2</v>
      </c>
      <c r="Q333">
        <f t="shared" si="394"/>
        <v>0.12844423059207091</v>
      </c>
      <c r="R333">
        <f t="shared" si="394"/>
        <v>-1000000</v>
      </c>
      <c r="S333">
        <f t="shared" si="394"/>
        <v>-1000000</v>
      </c>
      <c r="T333">
        <f t="shared" si="394"/>
        <v>-1000000</v>
      </c>
      <c r="U333">
        <f t="shared" si="394"/>
        <v>-1000000</v>
      </c>
      <c r="V333">
        <f t="shared" si="394"/>
        <v>-1000000</v>
      </c>
      <c r="W333">
        <f t="shared" si="394"/>
        <v>-1000000</v>
      </c>
      <c r="X333">
        <f t="shared" si="394"/>
        <v>-1000000</v>
      </c>
      <c r="Y333">
        <f t="shared" si="394"/>
        <v>-1000000</v>
      </c>
      <c r="Z333">
        <f t="shared" si="394"/>
        <v>-1000000</v>
      </c>
      <c r="AA333">
        <f t="shared" si="394"/>
        <v>-1000000</v>
      </c>
      <c r="AB333">
        <f t="shared" ref="AB333" si="400">IF($A333=AB$315,-1000000,AB308)</f>
        <v>-1000000</v>
      </c>
      <c r="AC333">
        <v>5</v>
      </c>
    </row>
    <row r="334" spans="1:29" x14ac:dyDescent="0.2">
      <c r="A334" s="3">
        <v>6</v>
      </c>
      <c r="B334" t="s">
        <v>1</v>
      </c>
      <c r="C334">
        <f t="shared" si="393"/>
        <v>-1000000</v>
      </c>
      <c r="D334">
        <f t="shared" si="394"/>
        <v>-1000000</v>
      </c>
      <c r="E334">
        <f t="shared" si="394"/>
        <v>-1000000</v>
      </c>
      <c r="F334">
        <f t="shared" si="394"/>
        <v>-1000000</v>
      </c>
      <c r="G334">
        <f t="shared" si="394"/>
        <v>-1000000</v>
      </c>
      <c r="H334">
        <f t="shared" si="394"/>
        <v>-1000000</v>
      </c>
      <c r="I334">
        <f t="shared" si="394"/>
        <v>-1000000</v>
      </c>
      <c r="J334">
        <f t="shared" si="394"/>
        <v>-1000000</v>
      </c>
      <c r="K334" s="248">
        <f t="shared" si="394"/>
        <v>-1000000</v>
      </c>
      <c r="L334" s="3">
        <f t="shared" si="394"/>
        <v>-1000000</v>
      </c>
      <c r="M334">
        <f t="shared" si="394"/>
        <v>-1000000</v>
      </c>
      <c r="N334">
        <f t="shared" si="394"/>
        <v>-1000000</v>
      </c>
      <c r="O334">
        <f t="shared" si="394"/>
        <v>-1000000</v>
      </c>
      <c r="P334" s="387">
        <f t="shared" si="394"/>
        <v>-1000000</v>
      </c>
      <c r="Q334">
        <f t="shared" si="394"/>
        <v>-1000000</v>
      </c>
      <c r="R334">
        <f t="shared" si="394"/>
        <v>-1000000</v>
      </c>
      <c r="S334">
        <f t="shared" si="394"/>
        <v>0.10110626227728828</v>
      </c>
      <c r="T334">
        <f t="shared" si="394"/>
        <v>-1000000</v>
      </c>
      <c r="U334">
        <f t="shared" si="394"/>
        <v>-1000000</v>
      </c>
      <c r="V334">
        <f t="shared" si="394"/>
        <v>-1000000</v>
      </c>
      <c r="W334">
        <f t="shared" si="394"/>
        <v>0.11096382862658845</v>
      </c>
      <c r="X334">
        <f t="shared" si="394"/>
        <v>-1000000</v>
      </c>
      <c r="Y334">
        <f t="shared" si="394"/>
        <v>-1000000</v>
      </c>
      <c r="Z334">
        <f t="shared" si="394"/>
        <v>-1000000</v>
      </c>
      <c r="AA334">
        <f t="shared" si="394"/>
        <v>-1000000</v>
      </c>
      <c r="AB334">
        <f t="shared" ref="AB334" si="401">IF($A334=AB$315,-1000000,AB309)</f>
        <v>-1000000</v>
      </c>
      <c r="AC334">
        <v>6</v>
      </c>
    </row>
    <row r="335" spans="1:29" x14ac:dyDescent="0.2">
      <c r="A335" s="3">
        <v>7</v>
      </c>
      <c r="B335" t="s">
        <v>2</v>
      </c>
      <c r="C335">
        <f t="shared" si="393"/>
        <v>-1000000</v>
      </c>
      <c r="D335">
        <f t="shared" si="394"/>
        <v>1.5459569113676396E-2</v>
      </c>
      <c r="E335">
        <f t="shared" si="394"/>
        <v>-1000000</v>
      </c>
      <c r="F335">
        <f t="shared" si="394"/>
        <v>-1000000</v>
      </c>
      <c r="G335">
        <f t="shared" si="394"/>
        <v>-1000000</v>
      </c>
      <c r="H335">
        <f t="shared" si="394"/>
        <v>-1000000</v>
      </c>
      <c r="I335">
        <f t="shared" si="394"/>
        <v>-1000000</v>
      </c>
      <c r="J335">
        <f t="shared" si="394"/>
        <v>-1000000</v>
      </c>
      <c r="K335" s="248">
        <f t="shared" si="394"/>
        <v>-1000000</v>
      </c>
      <c r="L335" s="3">
        <f t="shared" si="394"/>
        <v>-1000000</v>
      </c>
      <c r="M335">
        <f t="shared" si="394"/>
        <v>-1000000</v>
      </c>
      <c r="N335">
        <f t="shared" si="394"/>
        <v>-1000000</v>
      </c>
      <c r="O335">
        <f t="shared" si="394"/>
        <v>-1000000</v>
      </c>
      <c r="P335" s="387">
        <f t="shared" si="394"/>
        <v>-1000000</v>
      </c>
      <c r="Q335">
        <f t="shared" si="394"/>
        <v>-1000000</v>
      </c>
      <c r="R335">
        <f t="shared" si="394"/>
        <v>-1000000</v>
      </c>
      <c r="S335">
        <f t="shared" si="394"/>
        <v>-1000000</v>
      </c>
      <c r="T335">
        <f t="shared" si="394"/>
        <v>-1000000</v>
      </c>
      <c r="U335">
        <f t="shared" si="394"/>
        <v>8.9055179557913131E-2</v>
      </c>
      <c r="V335">
        <f t="shared" si="394"/>
        <v>-1000000</v>
      </c>
      <c r="W335">
        <f t="shared" si="394"/>
        <v>-1000000</v>
      </c>
      <c r="X335">
        <f t="shared" si="394"/>
        <v>-1000000</v>
      </c>
      <c r="Y335">
        <f t="shared" si="394"/>
        <v>-1000000</v>
      </c>
      <c r="Z335">
        <f t="shared" si="394"/>
        <v>-1000000</v>
      </c>
      <c r="AA335">
        <f t="shared" si="394"/>
        <v>-1000000</v>
      </c>
      <c r="AB335">
        <f t="shared" ref="AB335" si="402">IF($A335=AB$315,-1000000,AB310)</f>
        <v>0</v>
      </c>
      <c r="AC335">
        <v>7</v>
      </c>
    </row>
    <row r="336" spans="1:29" x14ac:dyDescent="0.2">
      <c r="A336" s="3"/>
    </row>
    <row r="337" spans="1:28" x14ac:dyDescent="0.2">
      <c r="A337" s="59">
        <v>27</v>
      </c>
      <c r="B337" s="137">
        <v>0</v>
      </c>
      <c r="C337">
        <v>1</v>
      </c>
      <c r="D337">
        <v>2</v>
      </c>
      <c r="E337">
        <v>3</v>
      </c>
      <c r="F337">
        <v>4</v>
      </c>
      <c r="G337">
        <v>5</v>
      </c>
      <c r="H337">
        <v>6</v>
      </c>
      <c r="I337">
        <v>7</v>
      </c>
      <c r="J337">
        <v>8</v>
      </c>
      <c r="K337" s="248">
        <v>9</v>
      </c>
      <c r="L337" s="3">
        <v>10</v>
      </c>
      <c r="M337">
        <v>11</v>
      </c>
      <c r="N337">
        <v>12</v>
      </c>
      <c r="O337">
        <v>13</v>
      </c>
      <c r="P337" s="387">
        <v>14</v>
      </c>
      <c r="Q337">
        <v>15</v>
      </c>
      <c r="R337">
        <v>16</v>
      </c>
      <c r="S337">
        <v>17</v>
      </c>
      <c r="T337">
        <v>18</v>
      </c>
      <c r="U337">
        <v>19</v>
      </c>
      <c r="V337">
        <v>20</v>
      </c>
      <c r="W337">
        <v>21</v>
      </c>
      <c r="X337">
        <v>22</v>
      </c>
      <c r="Y337">
        <v>23</v>
      </c>
      <c r="Z337">
        <v>24</v>
      </c>
      <c r="AA337">
        <v>25</v>
      </c>
      <c r="AB337">
        <v>26</v>
      </c>
    </row>
    <row r="338" spans="1:28" x14ac:dyDescent="0.2">
      <c r="A338" s="59"/>
      <c r="B338" s="25" t="s">
        <v>120</v>
      </c>
    </row>
    <row r="339" spans="1:28" x14ac:dyDescent="0.2">
      <c r="A339" s="59"/>
      <c r="B339" t="s">
        <v>121</v>
      </c>
      <c r="C339">
        <f>MAX(C329:C335)</f>
        <v>4.0223066402473855E-2</v>
      </c>
      <c r="D339">
        <f t="shared" ref="D339:AA339" si="403">MAX(D329:D335)</f>
        <v>1.5459569113676396E-2</v>
      </c>
      <c r="E339">
        <f t="shared" si="403"/>
        <v>2.793811565293286E-2</v>
      </c>
      <c r="F339">
        <f t="shared" si="403"/>
        <v>3.4557022077887654E-2</v>
      </c>
      <c r="G339">
        <f t="shared" si="403"/>
        <v>4.3875058777426035E-2</v>
      </c>
      <c r="H339">
        <f t="shared" si="403"/>
        <v>1.424554279281426E-2</v>
      </c>
      <c r="I339">
        <f t="shared" si="403"/>
        <v>8.4582438178919875E-3</v>
      </c>
      <c r="J339">
        <f t="shared" si="403"/>
        <v>4.8338058410877634E-2</v>
      </c>
      <c r="K339" s="248">
        <f t="shared" si="403"/>
        <v>7.549375707682153E-2</v>
      </c>
      <c r="L339" s="3">
        <f t="shared" si="403"/>
        <v>0.12100192804470275</v>
      </c>
      <c r="M339">
        <f t="shared" si="403"/>
        <v>0.12829422333309815</v>
      </c>
      <c r="N339">
        <f t="shared" si="403"/>
        <v>0.1278721404064623</v>
      </c>
      <c r="O339">
        <f t="shared" si="403"/>
        <v>0.12067430921954436</v>
      </c>
      <c r="P339" s="387">
        <f t="shared" si="403"/>
        <v>0.10501072643371959</v>
      </c>
      <c r="Q339">
        <f t="shared" si="403"/>
        <v>0.12844423059207091</v>
      </c>
      <c r="R339">
        <f t="shared" si="403"/>
        <v>0.11683254670013099</v>
      </c>
      <c r="S339">
        <f t="shared" si="403"/>
        <v>0.11877746846311751</v>
      </c>
      <c r="T339">
        <f t="shared" si="403"/>
        <v>0.14091894976185954</v>
      </c>
      <c r="U339">
        <f t="shared" si="403"/>
        <v>0.10366479890188537</v>
      </c>
      <c r="V339">
        <f t="shared" si="403"/>
        <v>0.11429718334065875</v>
      </c>
      <c r="W339">
        <f t="shared" si="403"/>
        <v>0.11096382862658845</v>
      </c>
      <c r="X339">
        <f t="shared" si="403"/>
        <v>0.13725969247373501</v>
      </c>
      <c r="Y339">
        <f t="shared" si="403"/>
        <v>0.16153054425072538</v>
      </c>
      <c r="Z339">
        <f t="shared" si="403"/>
        <v>0.13796103679100594</v>
      </c>
      <c r="AA339">
        <f t="shared" si="403"/>
        <v>0.11714497374828843</v>
      </c>
      <c r="AB339">
        <f t="shared" ref="AB339" si="404">MAX(AB329:AB335)</f>
        <v>0</v>
      </c>
    </row>
    <row r="340" spans="1:28" x14ac:dyDescent="0.2">
      <c r="A340" s="59"/>
      <c r="B340" t="s">
        <v>122</v>
      </c>
      <c r="C340" s="138">
        <f>VLOOKUP(C339,C$329:$AC$335,$A$337-B337,FALSE)</f>
        <v>1</v>
      </c>
      <c r="D340" s="138">
        <f>VLOOKUP(D339,D$329:$AC$335,$A$337-C337,FALSE)</f>
        <v>7</v>
      </c>
      <c r="E340" s="138">
        <f>VLOOKUP(E339,E$329:$AC$335,$A$337-D337,FALSE)</f>
        <v>3</v>
      </c>
      <c r="F340" s="138">
        <f>VLOOKUP(F339,F$329:$AC$335,$A$337-E337,FALSE)</f>
        <v>4</v>
      </c>
      <c r="G340" s="138">
        <f>VLOOKUP(G339,G$329:$AC$335,$A$337-F337,FALSE)</f>
        <v>3</v>
      </c>
      <c r="H340" s="138">
        <f>VLOOKUP(H339,H$329:$AC$335,$A$337-G337,FALSE)</f>
        <v>5</v>
      </c>
      <c r="I340" s="138">
        <f>VLOOKUP(I339,I$329:$AC$335,$A$337-H337,FALSE)</f>
        <v>3</v>
      </c>
      <c r="J340" s="138">
        <f>VLOOKUP(J339,J$329:$AC$335,$A$337-I337,FALSE)</f>
        <v>3</v>
      </c>
      <c r="K340" s="264">
        <f>VLOOKUP(K339,K$329:$AC$335,$A$337-J337,FALSE)</f>
        <v>2</v>
      </c>
      <c r="L340" s="242">
        <f>VLOOKUP(L339,L$329:$AC$335,$A$337-K337,FALSE)</f>
        <v>2</v>
      </c>
      <c r="M340" s="138">
        <f>VLOOKUP(M339,M$329:$AC$335,$A$337-L337,FALSE)</f>
        <v>2</v>
      </c>
      <c r="N340" s="138">
        <f>VLOOKUP(N339,N$329:$AC$335,$A$337-M337,FALSE)</f>
        <v>2</v>
      </c>
      <c r="O340" s="138">
        <f>VLOOKUP(O339,O$329:$AC$335,$A$337-N337,FALSE)</f>
        <v>3</v>
      </c>
      <c r="P340" s="407">
        <f>VLOOKUP(P339,P$329:$AC$335,$A$337-O337,FALSE)</f>
        <v>1</v>
      </c>
      <c r="Q340" s="138">
        <f>VLOOKUP(Q339,Q$329:$AC$335,$A$337-P337,FALSE)</f>
        <v>5</v>
      </c>
      <c r="R340" s="138">
        <f>VLOOKUP(R339,R$329:$AC$335,$A$337-Q337,FALSE)</f>
        <v>1</v>
      </c>
      <c r="S340" s="138">
        <f>VLOOKUP(S339,S$329:$AC$335,$A$337-R337,FALSE)</f>
        <v>1</v>
      </c>
      <c r="T340" s="138">
        <f>VLOOKUP(T339,T$329:$AC$335,$A$337-S337,FALSE)</f>
        <v>3</v>
      </c>
      <c r="U340" s="138">
        <f>VLOOKUP(U339,U$329:$AC$335,$A$337-T337,FALSE)</f>
        <v>1</v>
      </c>
      <c r="V340" s="138">
        <f>VLOOKUP(V339,V$329:$AC$335,$A$337-U337,FALSE)</f>
        <v>3</v>
      </c>
      <c r="W340" s="138">
        <f>VLOOKUP(W339,W$329:$AC$335,$A$337-V337,FALSE)</f>
        <v>6</v>
      </c>
      <c r="X340" s="138">
        <f>VLOOKUP(X339,X$329:$AC$335,$A$337-W337,FALSE)</f>
        <v>1</v>
      </c>
      <c r="Y340" s="138">
        <f>VLOOKUP(Y339,Y$329:$AC$335,$A$337-X337,FALSE)</f>
        <v>1</v>
      </c>
      <c r="Z340" s="138">
        <f>VLOOKUP(Z339,Z$329:$AC$335,$A$337-Y337,FALSE)</f>
        <v>1</v>
      </c>
      <c r="AA340" s="138">
        <f>VLOOKUP(AA339,AA$329:$AC$335,$A$337-Z337,FALSE)</f>
        <v>1</v>
      </c>
      <c r="AB340" s="138">
        <f>VLOOKUP(AB339,AB$329:$AC$335,$A$337-AA337,FALSE)</f>
        <v>2</v>
      </c>
    </row>
    <row r="341" spans="1:28" x14ac:dyDescent="0.2">
      <c r="A341" s="59"/>
      <c r="B341" s="4" t="s">
        <v>110</v>
      </c>
    </row>
    <row r="342" spans="1:28" x14ac:dyDescent="0.2">
      <c r="A342" s="3">
        <v>1</v>
      </c>
      <c r="B342" t="s">
        <v>41</v>
      </c>
      <c r="C342">
        <f>IF($A342=C$340,MIN(C200,C$326),0)</f>
        <v>999844.61097833468</v>
      </c>
      <c r="D342">
        <f t="shared" ref="D342:K342" si="405">IF($A342=D$340,MIN(D200,D$326),0)</f>
        <v>0</v>
      </c>
      <c r="E342">
        <f t="shared" si="405"/>
        <v>0</v>
      </c>
      <c r="F342">
        <f t="shared" si="405"/>
        <v>0</v>
      </c>
      <c r="G342">
        <f t="shared" si="405"/>
        <v>0</v>
      </c>
      <c r="H342">
        <f t="shared" si="405"/>
        <v>0</v>
      </c>
      <c r="I342">
        <f t="shared" si="405"/>
        <v>0</v>
      </c>
      <c r="J342">
        <f t="shared" si="405"/>
        <v>0</v>
      </c>
      <c r="K342" s="248">
        <f t="shared" si="405"/>
        <v>0</v>
      </c>
      <c r="L342" s="3">
        <f t="shared" ref="L342:AA342" si="406">IF($A342=L$340,MIN(L200,L$326),0)</f>
        <v>0</v>
      </c>
      <c r="M342">
        <f t="shared" si="406"/>
        <v>0</v>
      </c>
      <c r="N342">
        <f t="shared" si="406"/>
        <v>0</v>
      </c>
      <c r="O342">
        <f t="shared" si="406"/>
        <v>0</v>
      </c>
      <c r="P342" s="387">
        <f t="shared" si="406"/>
        <v>0</v>
      </c>
      <c r="Q342">
        <f t="shared" si="406"/>
        <v>0</v>
      </c>
      <c r="R342">
        <f t="shared" si="406"/>
        <v>0</v>
      </c>
      <c r="S342">
        <f t="shared" si="406"/>
        <v>0</v>
      </c>
      <c r="T342">
        <f t="shared" si="406"/>
        <v>0</v>
      </c>
      <c r="U342">
        <f t="shared" si="406"/>
        <v>0</v>
      </c>
      <c r="V342">
        <f t="shared" si="406"/>
        <v>0</v>
      </c>
      <c r="W342">
        <f t="shared" si="406"/>
        <v>0</v>
      </c>
      <c r="X342">
        <f t="shared" si="406"/>
        <v>4225656.4063470755</v>
      </c>
      <c r="Y342">
        <f t="shared" si="406"/>
        <v>28999062.596188433</v>
      </c>
      <c r="Z342">
        <f t="shared" si="406"/>
        <v>48378682.371660665</v>
      </c>
      <c r="AA342">
        <f t="shared" si="406"/>
        <v>6343273.704831141</v>
      </c>
      <c r="AB342">
        <f t="shared" ref="AB342" si="407">IF($A342=AB$340,MIN(AB200,AB$326),0)</f>
        <v>0</v>
      </c>
    </row>
    <row r="343" spans="1:28" x14ac:dyDescent="0.2">
      <c r="A343" s="3">
        <v>2</v>
      </c>
      <c r="B343" t="s">
        <v>3</v>
      </c>
      <c r="C343">
        <f t="shared" ref="C343:K348" si="408">IF($A343=C$340,MIN(C201,C$326),0)</f>
        <v>0</v>
      </c>
      <c r="D343">
        <f t="shared" si="408"/>
        <v>0</v>
      </c>
      <c r="E343">
        <f t="shared" si="408"/>
        <v>0</v>
      </c>
      <c r="F343">
        <f t="shared" si="408"/>
        <v>0</v>
      </c>
      <c r="G343">
        <f t="shared" si="408"/>
        <v>0</v>
      </c>
      <c r="H343">
        <f t="shared" si="408"/>
        <v>0</v>
      </c>
      <c r="I343">
        <f t="shared" si="408"/>
        <v>0</v>
      </c>
      <c r="J343">
        <f t="shared" si="408"/>
        <v>0</v>
      </c>
      <c r="K343" s="248">
        <f t="shared" si="408"/>
        <v>0</v>
      </c>
      <c r="L343" s="3">
        <f t="shared" ref="L343:AA343" si="409">IF($A343=L$340,MIN(L201,L$326),0)</f>
        <v>0</v>
      </c>
      <c r="M343">
        <f t="shared" si="409"/>
        <v>0</v>
      </c>
      <c r="N343">
        <f t="shared" si="409"/>
        <v>0</v>
      </c>
      <c r="O343">
        <f t="shared" si="409"/>
        <v>0</v>
      </c>
      <c r="P343" s="387">
        <f t="shared" si="409"/>
        <v>0</v>
      </c>
      <c r="Q343">
        <f t="shared" si="409"/>
        <v>0</v>
      </c>
      <c r="R343">
        <f t="shared" si="409"/>
        <v>0</v>
      </c>
      <c r="S343">
        <f t="shared" si="409"/>
        <v>0</v>
      </c>
      <c r="T343">
        <f t="shared" si="409"/>
        <v>0</v>
      </c>
      <c r="U343">
        <f t="shared" si="409"/>
        <v>0</v>
      </c>
      <c r="V343">
        <f t="shared" si="409"/>
        <v>0</v>
      </c>
      <c r="W343">
        <f t="shared" si="409"/>
        <v>0</v>
      </c>
      <c r="X343">
        <f t="shared" si="409"/>
        <v>0</v>
      </c>
      <c r="Y343">
        <f t="shared" si="409"/>
        <v>0</v>
      </c>
      <c r="Z343">
        <f t="shared" si="409"/>
        <v>0</v>
      </c>
      <c r="AA343">
        <f t="shared" si="409"/>
        <v>0</v>
      </c>
      <c r="AB343">
        <f t="shared" ref="AB343" si="410">IF($A343=AB$340,MIN(AB201,AB$326),0)</f>
        <v>0</v>
      </c>
    </row>
    <row r="344" spans="1:28" x14ac:dyDescent="0.2">
      <c r="A344" s="3">
        <v>3</v>
      </c>
      <c r="B344" t="s">
        <v>29</v>
      </c>
      <c r="C344">
        <f t="shared" si="408"/>
        <v>0</v>
      </c>
      <c r="D344">
        <f t="shared" si="408"/>
        <v>0</v>
      </c>
      <c r="E344">
        <f t="shared" si="408"/>
        <v>1232062.0305396379</v>
      </c>
      <c r="F344">
        <f t="shared" si="408"/>
        <v>0</v>
      </c>
      <c r="G344">
        <f t="shared" si="408"/>
        <v>2160893.9450151562</v>
      </c>
      <c r="H344">
        <f t="shared" si="408"/>
        <v>0</v>
      </c>
      <c r="I344">
        <f t="shared" si="408"/>
        <v>0</v>
      </c>
      <c r="J344">
        <f t="shared" si="408"/>
        <v>0</v>
      </c>
      <c r="K344" s="248">
        <f t="shared" si="408"/>
        <v>0</v>
      </c>
      <c r="L344" s="3">
        <f t="shared" ref="L344:AA344" si="411">IF($A344=L$340,MIN(L202,L$326),0)</f>
        <v>0</v>
      </c>
      <c r="M344">
        <f t="shared" si="411"/>
        <v>0</v>
      </c>
      <c r="N344">
        <f t="shared" si="411"/>
        <v>0</v>
      </c>
      <c r="O344">
        <f t="shared" si="411"/>
        <v>0</v>
      </c>
      <c r="P344" s="387">
        <f t="shared" si="411"/>
        <v>0</v>
      </c>
      <c r="Q344">
        <f t="shared" si="411"/>
        <v>0</v>
      </c>
      <c r="R344">
        <f t="shared" si="411"/>
        <v>0</v>
      </c>
      <c r="S344">
        <f t="shared" si="411"/>
        <v>0</v>
      </c>
      <c r="T344">
        <f t="shared" si="411"/>
        <v>0</v>
      </c>
      <c r="U344">
        <f t="shared" si="411"/>
        <v>0</v>
      </c>
      <c r="V344">
        <f t="shared" si="411"/>
        <v>0</v>
      </c>
      <c r="W344">
        <f t="shared" si="411"/>
        <v>0</v>
      </c>
      <c r="X344">
        <f t="shared" si="411"/>
        <v>0</v>
      </c>
      <c r="Y344">
        <f t="shared" si="411"/>
        <v>0</v>
      </c>
      <c r="Z344">
        <f t="shared" si="411"/>
        <v>0</v>
      </c>
      <c r="AA344">
        <f t="shared" si="411"/>
        <v>0</v>
      </c>
      <c r="AB344">
        <f t="shared" ref="AB344" si="412">IF($A344=AB$340,MIN(AB202,AB$326),0)</f>
        <v>0</v>
      </c>
    </row>
    <row r="345" spans="1:28" x14ac:dyDescent="0.2">
      <c r="A345" s="3">
        <v>4</v>
      </c>
      <c r="B345" t="s">
        <v>5</v>
      </c>
      <c r="C345">
        <f t="shared" si="408"/>
        <v>0</v>
      </c>
      <c r="D345">
        <f t="shared" si="408"/>
        <v>0</v>
      </c>
      <c r="E345">
        <f t="shared" si="408"/>
        <v>0</v>
      </c>
      <c r="F345">
        <f t="shared" si="408"/>
        <v>1051920.704385309</v>
      </c>
      <c r="G345">
        <f t="shared" si="408"/>
        <v>0</v>
      </c>
      <c r="H345">
        <f t="shared" si="408"/>
        <v>0</v>
      </c>
      <c r="I345">
        <f t="shared" si="408"/>
        <v>0</v>
      </c>
      <c r="J345">
        <f t="shared" si="408"/>
        <v>0</v>
      </c>
      <c r="K345" s="248">
        <f t="shared" si="408"/>
        <v>0</v>
      </c>
      <c r="L345" s="3">
        <f t="shared" ref="L345:AA345" si="413">IF($A345=L$340,MIN(L203,L$326),0)</f>
        <v>0</v>
      </c>
      <c r="M345">
        <f t="shared" si="413"/>
        <v>0</v>
      </c>
      <c r="N345">
        <f t="shared" si="413"/>
        <v>0</v>
      </c>
      <c r="O345">
        <f t="shared" si="413"/>
        <v>0</v>
      </c>
      <c r="P345" s="387">
        <f t="shared" si="413"/>
        <v>0</v>
      </c>
      <c r="Q345">
        <f t="shared" si="413"/>
        <v>0</v>
      </c>
      <c r="R345">
        <f t="shared" si="413"/>
        <v>0</v>
      </c>
      <c r="S345">
        <f t="shared" si="413"/>
        <v>0</v>
      </c>
      <c r="T345">
        <f t="shared" si="413"/>
        <v>0</v>
      </c>
      <c r="U345">
        <f t="shared" si="413"/>
        <v>0</v>
      </c>
      <c r="V345">
        <f t="shared" si="413"/>
        <v>0</v>
      </c>
      <c r="W345">
        <f t="shared" si="413"/>
        <v>0</v>
      </c>
      <c r="X345">
        <f t="shared" si="413"/>
        <v>0</v>
      </c>
      <c r="Y345">
        <f t="shared" si="413"/>
        <v>0</v>
      </c>
      <c r="Z345">
        <f t="shared" si="413"/>
        <v>0</v>
      </c>
      <c r="AA345">
        <f t="shared" si="413"/>
        <v>0</v>
      </c>
      <c r="AB345">
        <f t="shared" ref="AB345" si="414">IF($A345=AB$340,MIN(AB203,AB$326),0)</f>
        <v>0</v>
      </c>
    </row>
    <row r="346" spans="1:28" x14ac:dyDescent="0.2">
      <c r="A346" s="3">
        <v>5</v>
      </c>
      <c r="B346" t="s">
        <v>6</v>
      </c>
      <c r="C346">
        <f t="shared" si="408"/>
        <v>0</v>
      </c>
      <c r="D346">
        <f t="shared" si="408"/>
        <v>0</v>
      </c>
      <c r="E346">
        <f t="shared" si="408"/>
        <v>0</v>
      </c>
      <c r="F346">
        <f t="shared" si="408"/>
        <v>0</v>
      </c>
      <c r="G346">
        <f t="shared" si="408"/>
        <v>0</v>
      </c>
      <c r="H346">
        <f t="shared" si="408"/>
        <v>272508.20687465556</v>
      </c>
      <c r="I346">
        <f t="shared" si="408"/>
        <v>0</v>
      </c>
      <c r="J346">
        <f t="shared" si="408"/>
        <v>0</v>
      </c>
      <c r="K346" s="248">
        <f t="shared" si="408"/>
        <v>0</v>
      </c>
      <c r="L346" s="3">
        <f t="shared" ref="L346:AA346" si="415">IF($A346=L$340,MIN(L204,L$326),0)</f>
        <v>0</v>
      </c>
      <c r="M346">
        <f t="shared" si="415"/>
        <v>0</v>
      </c>
      <c r="N346">
        <f t="shared" si="415"/>
        <v>0</v>
      </c>
      <c r="O346">
        <f t="shared" si="415"/>
        <v>0</v>
      </c>
      <c r="P346" s="387">
        <f t="shared" si="415"/>
        <v>0</v>
      </c>
      <c r="Q346">
        <f t="shared" si="415"/>
        <v>0</v>
      </c>
      <c r="R346">
        <f t="shared" si="415"/>
        <v>0</v>
      </c>
      <c r="S346">
        <f t="shared" si="415"/>
        <v>0</v>
      </c>
      <c r="T346">
        <f t="shared" si="415"/>
        <v>0</v>
      </c>
      <c r="U346">
        <f t="shared" si="415"/>
        <v>0</v>
      </c>
      <c r="V346">
        <f t="shared" si="415"/>
        <v>0</v>
      </c>
      <c r="W346">
        <f t="shared" si="415"/>
        <v>0</v>
      </c>
      <c r="X346">
        <f t="shared" si="415"/>
        <v>0</v>
      </c>
      <c r="Y346">
        <f t="shared" si="415"/>
        <v>0</v>
      </c>
      <c r="Z346">
        <f t="shared" si="415"/>
        <v>0</v>
      </c>
      <c r="AA346">
        <f t="shared" si="415"/>
        <v>0</v>
      </c>
      <c r="AB346">
        <f t="shared" ref="AB346" si="416">IF($A346=AB$340,MIN(AB204,AB$326),0)</f>
        <v>0</v>
      </c>
    </row>
    <row r="347" spans="1:28" x14ac:dyDescent="0.2">
      <c r="A347" s="3">
        <v>6</v>
      </c>
      <c r="B347" t="s">
        <v>1</v>
      </c>
      <c r="C347">
        <f t="shared" si="408"/>
        <v>0</v>
      </c>
      <c r="D347">
        <f t="shared" si="408"/>
        <v>0</v>
      </c>
      <c r="E347">
        <f t="shared" si="408"/>
        <v>0</v>
      </c>
      <c r="F347">
        <f t="shared" si="408"/>
        <v>0</v>
      </c>
      <c r="G347">
        <f t="shared" si="408"/>
        <v>0</v>
      </c>
      <c r="H347">
        <f t="shared" si="408"/>
        <v>0</v>
      </c>
      <c r="I347">
        <f t="shared" si="408"/>
        <v>0</v>
      </c>
      <c r="J347">
        <f t="shared" si="408"/>
        <v>0</v>
      </c>
      <c r="K347" s="248">
        <f t="shared" si="408"/>
        <v>0</v>
      </c>
      <c r="L347" s="3">
        <f t="shared" ref="L347:AA347" si="417">IF($A347=L$340,MIN(L205,L$326),0)</f>
        <v>0</v>
      </c>
      <c r="M347">
        <f t="shared" si="417"/>
        <v>0</v>
      </c>
      <c r="N347">
        <f t="shared" si="417"/>
        <v>0</v>
      </c>
      <c r="O347">
        <f t="shared" si="417"/>
        <v>0</v>
      </c>
      <c r="P347" s="387">
        <f t="shared" si="417"/>
        <v>0</v>
      </c>
      <c r="Q347">
        <f t="shared" si="417"/>
        <v>0</v>
      </c>
      <c r="R347">
        <f t="shared" si="417"/>
        <v>0</v>
      </c>
      <c r="S347">
        <f t="shared" si="417"/>
        <v>0</v>
      </c>
      <c r="T347">
        <f t="shared" si="417"/>
        <v>0</v>
      </c>
      <c r="U347">
        <f t="shared" si="417"/>
        <v>0</v>
      </c>
      <c r="V347">
        <f t="shared" si="417"/>
        <v>0</v>
      </c>
      <c r="W347">
        <f t="shared" si="417"/>
        <v>0</v>
      </c>
      <c r="X347">
        <f t="shared" si="417"/>
        <v>0</v>
      </c>
      <c r="Y347">
        <f t="shared" si="417"/>
        <v>0</v>
      </c>
      <c r="Z347">
        <f t="shared" si="417"/>
        <v>0</v>
      </c>
      <c r="AA347">
        <f t="shared" si="417"/>
        <v>0</v>
      </c>
      <c r="AB347">
        <f t="shared" ref="AB347" si="418">IF($A347=AB$340,MIN(AB205,AB$326),0)</f>
        <v>0</v>
      </c>
    </row>
    <row r="348" spans="1:28" x14ac:dyDescent="0.2">
      <c r="A348" s="3">
        <v>7</v>
      </c>
      <c r="B348" t="s">
        <v>2</v>
      </c>
      <c r="C348">
        <f t="shared" si="408"/>
        <v>0</v>
      </c>
      <c r="D348">
        <f t="shared" si="408"/>
        <v>84756.914637598296</v>
      </c>
      <c r="E348">
        <f t="shared" si="408"/>
        <v>0</v>
      </c>
      <c r="F348">
        <f t="shared" si="408"/>
        <v>0</v>
      </c>
      <c r="G348">
        <f t="shared" si="408"/>
        <v>0</v>
      </c>
      <c r="H348">
        <f t="shared" si="408"/>
        <v>0</v>
      </c>
      <c r="I348">
        <f t="shared" si="408"/>
        <v>0</v>
      </c>
      <c r="J348">
        <f t="shared" si="408"/>
        <v>0</v>
      </c>
      <c r="K348" s="248">
        <f t="shared" si="408"/>
        <v>0</v>
      </c>
      <c r="L348" s="3">
        <f t="shared" ref="L348:AA348" si="419">IF($A348=L$340,MIN(L206,L$326),0)</f>
        <v>0</v>
      </c>
      <c r="M348">
        <f t="shared" si="419"/>
        <v>0</v>
      </c>
      <c r="N348">
        <f t="shared" si="419"/>
        <v>0</v>
      </c>
      <c r="O348">
        <f t="shared" si="419"/>
        <v>0</v>
      </c>
      <c r="P348" s="387">
        <f t="shared" si="419"/>
        <v>0</v>
      </c>
      <c r="Q348">
        <f t="shared" si="419"/>
        <v>0</v>
      </c>
      <c r="R348">
        <f t="shared" si="419"/>
        <v>0</v>
      </c>
      <c r="S348">
        <f t="shared" si="419"/>
        <v>0</v>
      </c>
      <c r="T348">
        <f t="shared" si="419"/>
        <v>0</v>
      </c>
      <c r="U348">
        <f t="shared" si="419"/>
        <v>0</v>
      </c>
      <c r="V348">
        <f t="shared" si="419"/>
        <v>0</v>
      </c>
      <c r="W348">
        <f t="shared" si="419"/>
        <v>0</v>
      </c>
      <c r="X348">
        <f t="shared" si="419"/>
        <v>0</v>
      </c>
      <c r="Y348">
        <f t="shared" si="419"/>
        <v>0</v>
      </c>
      <c r="Z348">
        <f t="shared" si="419"/>
        <v>0</v>
      </c>
      <c r="AA348">
        <f t="shared" si="419"/>
        <v>0</v>
      </c>
      <c r="AB348">
        <f t="shared" ref="AB348" si="420">IF($A348=AB$340,MIN(AB206,AB$326),0)</f>
        <v>0</v>
      </c>
    </row>
    <row r="349" spans="1:28" x14ac:dyDescent="0.2">
      <c r="A349" s="3"/>
      <c r="B349" s="78" t="s">
        <v>93</v>
      </c>
      <c r="C349">
        <f>SUM(C342:C348)</f>
        <v>999844.61097833468</v>
      </c>
      <c r="D349">
        <f t="shared" ref="D349:L349" si="421">SUM(D342:D348)</f>
        <v>84756.914637598296</v>
      </c>
      <c r="E349">
        <f t="shared" si="421"/>
        <v>1232062.0305396379</v>
      </c>
      <c r="F349">
        <f t="shared" si="421"/>
        <v>1051920.704385309</v>
      </c>
      <c r="G349">
        <f t="shared" si="421"/>
        <v>2160893.9450151562</v>
      </c>
      <c r="H349">
        <f t="shared" si="421"/>
        <v>272508.20687465556</v>
      </c>
      <c r="I349">
        <f t="shared" si="421"/>
        <v>0</v>
      </c>
      <c r="J349">
        <f t="shared" si="421"/>
        <v>0</v>
      </c>
      <c r="K349" s="248">
        <f t="shared" si="421"/>
        <v>0</v>
      </c>
      <c r="L349" s="3">
        <f t="shared" si="421"/>
        <v>0</v>
      </c>
      <c r="M349">
        <f t="shared" ref="M349:AA349" si="422">SUM(M342:M348)</f>
        <v>0</v>
      </c>
      <c r="N349">
        <f t="shared" si="422"/>
        <v>0</v>
      </c>
      <c r="O349">
        <f t="shared" si="422"/>
        <v>0</v>
      </c>
      <c r="P349" s="387">
        <f t="shared" si="422"/>
        <v>0</v>
      </c>
      <c r="Q349">
        <f t="shared" si="422"/>
        <v>0</v>
      </c>
      <c r="R349">
        <f t="shared" si="422"/>
        <v>0</v>
      </c>
      <c r="S349">
        <f t="shared" si="422"/>
        <v>0</v>
      </c>
      <c r="T349">
        <f t="shared" si="422"/>
        <v>0</v>
      </c>
      <c r="U349">
        <f t="shared" si="422"/>
        <v>0</v>
      </c>
      <c r="V349">
        <f t="shared" si="422"/>
        <v>0</v>
      </c>
      <c r="W349">
        <f t="shared" si="422"/>
        <v>0</v>
      </c>
      <c r="X349">
        <f t="shared" si="422"/>
        <v>4225656.4063470755</v>
      </c>
      <c r="Y349">
        <f t="shared" si="422"/>
        <v>28999062.596188433</v>
      </c>
      <c r="Z349">
        <f t="shared" si="422"/>
        <v>48378682.371660665</v>
      </c>
      <c r="AA349">
        <f t="shared" si="422"/>
        <v>6343273.704831141</v>
      </c>
      <c r="AB349">
        <f t="shared" ref="AB349" si="423">SUM(AB342:AB348)</f>
        <v>0</v>
      </c>
    </row>
    <row r="350" spans="1:28" x14ac:dyDescent="0.2">
      <c r="A350" s="3"/>
    </row>
    <row r="351" spans="1:28" x14ac:dyDescent="0.2">
      <c r="A351" s="3"/>
      <c r="B351" s="137" t="s">
        <v>99</v>
      </c>
      <c r="C351" s="38">
        <f>C326-C349</f>
        <v>1362635.1144049345</v>
      </c>
      <c r="D351" s="38">
        <f t="shared" ref="D351:K351" si="424">D326-D349</f>
        <v>1746377.6821403734</v>
      </c>
      <c r="E351" s="38">
        <f t="shared" si="424"/>
        <v>1180133.907204947</v>
      </c>
      <c r="F351" s="38">
        <f t="shared" si="424"/>
        <v>2034129.7765641068</v>
      </c>
      <c r="G351" s="38">
        <f t="shared" si="424"/>
        <v>305497.88113621017</v>
      </c>
      <c r="H351" s="38">
        <f t="shared" si="424"/>
        <v>0</v>
      </c>
      <c r="I351" s="38">
        <f t="shared" si="424"/>
        <v>0</v>
      </c>
      <c r="J351" s="38">
        <f t="shared" si="424"/>
        <v>0</v>
      </c>
      <c r="K351" s="251">
        <f t="shared" si="424"/>
        <v>0</v>
      </c>
      <c r="L351" s="76">
        <f t="shared" ref="L351:AB351" si="425">L326-L349</f>
        <v>0</v>
      </c>
      <c r="M351" s="38">
        <f t="shared" si="425"/>
        <v>0</v>
      </c>
      <c r="N351" s="38">
        <f t="shared" si="425"/>
        <v>0</v>
      </c>
      <c r="O351" s="38">
        <f t="shared" si="425"/>
        <v>0</v>
      </c>
      <c r="P351" s="390">
        <f t="shared" si="425"/>
        <v>0</v>
      </c>
      <c r="Q351" s="38">
        <f t="shared" si="425"/>
        <v>0</v>
      </c>
      <c r="R351" s="38">
        <f t="shared" si="425"/>
        <v>0</v>
      </c>
      <c r="S351" s="38">
        <f t="shared" si="425"/>
        <v>0</v>
      </c>
      <c r="T351" s="38">
        <f t="shared" si="425"/>
        <v>0</v>
      </c>
      <c r="U351" s="38">
        <f t="shared" si="425"/>
        <v>0</v>
      </c>
      <c r="V351" s="38">
        <f t="shared" si="425"/>
        <v>0</v>
      </c>
      <c r="W351" s="38">
        <f t="shared" si="425"/>
        <v>0</v>
      </c>
      <c r="X351" s="38">
        <f t="shared" si="425"/>
        <v>0</v>
      </c>
      <c r="Y351" s="38">
        <f t="shared" si="425"/>
        <v>0</v>
      </c>
      <c r="Z351" s="38">
        <f t="shared" si="425"/>
        <v>0</v>
      </c>
      <c r="AA351" s="38">
        <f t="shared" si="425"/>
        <v>70878699.997221008</v>
      </c>
      <c r="AB351" s="38">
        <f t="shared" si="425"/>
        <v>153647810.07906795</v>
      </c>
    </row>
    <row r="352" spans="1:28" x14ac:dyDescent="0.2">
      <c r="A352" s="3"/>
    </row>
    <row r="353" spans="1:29" x14ac:dyDescent="0.2">
      <c r="A353" s="59"/>
      <c r="B353" s="137" t="s">
        <v>94</v>
      </c>
    </row>
    <row r="354" spans="1:29" x14ac:dyDescent="0.2">
      <c r="A354" s="3">
        <v>1</v>
      </c>
      <c r="B354" t="s">
        <v>41</v>
      </c>
      <c r="C354">
        <f>IF($A354=C$340,-1000000,C329)</f>
        <v>-1000000</v>
      </c>
      <c r="D354">
        <f>IF($A354=D$340,-1000000,D329)</f>
        <v>-1000000</v>
      </c>
      <c r="E354">
        <f t="shared" ref="E354:AA354" si="426">IF($A354=E$340,-1000000,E329)</f>
        <v>-1000000</v>
      </c>
      <c r="F354">
        <f t="shared" si="426"/>
        <v>-1000000</v>
      </c>
      <c r="G354">
        <f t="shared" si="426"/>
        <v>-1000000</v>
      </c>
      <c r="H354">
        <f t="shared" si="426"/>
        <v>-1000000</v>
      </c>
      <c r="I354">
        <f t="shared" si="426"/>
        <v>-1000000</v>
      </c>
      <c r="J354">
        <f t="shared" si="426"/>
        <v>-1000000</v>
      </c>
      <c r="K354" s="248">
        <f t="shared" si="426"/>
        <v>5.6193970799165868E-2</v>
      </c>
      <c r="L354" s="3">
        <f t="shared" si="426"/>
        <v>6.5247013622210873E-2</v>
      </c>
      <c r="M354">
        <f t="shared" si="426"/>
        <v>7.2693131305107753E-2</v>
      </c>
      <c r="N354">
        <f t="shared" si="426"/>
        <v>7.8445105350049435E-2</v>
      </c>
      <c r="O354">
        <f t="shared" si="426"/>
        <v>-1000000</v>
      </c>
      <c r="P354" s="387">
        <f t="shared" si="426"/>
        <v>-1000000</v>
      </c>
      <c r="Q354">
        <f t="shared" si="426"/>
        <v>0.10172677007420894</v>
      </c>
      <c r="R354">
        <f t="shared" si="426"/>
        <v>-1000000</v>
      </c>
      <c r="S354">
        <f t="shared" si="426"/>
        <v>-1000000</v>
      </c>
      <c r="T354">
        <f t="shared" si="426"/>
        <v>0.10625159812537399</v>
      </c>
      <c r="U354">
        <f t="shared" si="426"/>
        <v>-1000000</v>
      </c>
      <c r="V354">
        <f t="shared" si="426"/>
        <v>9.3025184012785297E-2</v>
      </c>
      <c r="W354">
        <f t="shared" si="426"/>
        <v>9.7817173449166836E-2</v>
      </c>
      <c r="X354">
        <f t="shared" si="426"/>
        <v>-1000000</v>
      </c>
      <c r="Y354">
        <f t="shared" si="426"/>
        <v>-1000000</v>
      </c>
      <c r="Z354">
        <f t="shared" si="426"/>
        <v>-1000000</v>
      </c>
      <c r="AA354">
        <f t="shared" si="426"/>
        <v>-1000000</v>
      </c>
      <c r="AB354">
        <f t="shared" ref="AB354" si="427">IF($A354=AB$340,-1000000,AB329)</f>
        <v>-1000000</v>
      </c>
      <c r="AC354">
        <v>1</v>
      </c>
    </row>
    <row r="355" spans="1:29" x14ac:dyDescent="0.2">
      <c r="A355" s="3">
        <v>2</v>
      </c>
      <c r="B355" t="s">
        <v>3</v>
      </c>
      <c r="C355">
        <f t="shared" ref="C355:D360" si="428">IF($A355=C$340,-1000000,C330)</f>
        <v>-1000000</v>
      </c>
      <c r="D355">
        <f t="shared" si="428"/>
        <v>-1000000</v>
      </c>
      <c r="E355">
        <f t="shared" ref="E355:AA355" si="429">IF($A355=E$340,-1000000,E330)</f>
        <v>-1000000</v>
      </c>
      <c r="F355">
        <f t="shared" si="429"/>
        <v>-1000000</v>
      </c>
      <c r="G355">
        <f t="shared" si="429"/>
        <v>-1000000</v>
      </c>
      <c r="H355">
        <f t="shared" si="429"/>
        <v>-1000000</v>
      </c>
      <c r="I355">
        <f t="shared" si="429"/>
        <v>-1000000</v>
      </c>
      <c r="J355">
        <f t="shared" si="429"/>
        <v>-1000000</v>
      </c>
      <c r="K355" s="248">
        <f t="shared" si="429"/>
        <v>-1000000</v>
      </c>
      <c r="L355" s="3">
        <f t="shared" si="429"/>
        <v>-1000000</v>
      </c>
      <c r="M355">
        <f t="shared" si="429"/>
        <v>-1000000</v>
      </c>
      <c r="N355">
        <f t="shared" si="429"/>
        <v>-1000000</v>
      </c>
      <c r="O355">
        <f t="shared" si="429"/>
        <v>2.6441780308304203E-2</v>
      </c>
      <c r="P355" s="387">
        <f t="shared" si="429"/>
        <v>6.4799896016057179E-2</v>
      </c>
      <c r="Q355">
        <f t="shared" si="429"/>
        <v>8.9348162585566701E-2</v>
      </c>
      <c r="R355">
        <f t="shared" si="429"/>
        <v>0.11582676128308356</v>
      </c>
      <c r="S355">
        <f t="shared" si="429"/>
        <v>9.7110648571767003E-2</v>
      </c>
      <c r="T355">
        <f t="shared" si="429"/>
        <v>0.10050239705922208</v>
      </c>
      <c r="U355">
        <f t="shared" si="429"/>
        <v>8.8987068487399679E-2</v>
      </c>
      <c r="V355">
        <f t="shared" si="429"/>
        <v>0.10007248764287122</v>
      </c>
      <c r="W355">
        <f t="shared" si="429"/>
        <v>-1000000</v>
      </c>
      <c r="X355">
        <f t="shared" si="429"/>
        <v>5.0963437826310305E-2</v>
      </c>
      <c r="Y355">
        <f t="shared" si="429"/>
        <v>0</v>
      </c>
      <c r="Z355">
        <f t="shared" si="429"/>
        <v>0</v>
      </c>
      <c r="AA355">
        <f t="shared" si="429"/>
        <v>0</v>
      </c>
      <c r="AB355">
        <f t="shared" ref="AB355" si="430">IF($A355=AB$340,-1000000,AB330)</f>
        <v>-1000000</v>
      </c>
      <c r="AC355">
        <v>2</v>
      </c>
    </row>
    <row r="356" spans="1:29" x14ac:dyDescent="0.2">
      <c r="A356" s="3">
        <v>3</v>
      </c>
      <c r="B356" t="s">
        <v>29</v>
      </c>
      <c r="C356">
        <f t="shared" si="428"/>
        <v>-1000000</v>
      </c>
      <c r="D356">
        <f t="shared" si="428"/>
        <v>-1000000</v>
      </c>
      <c r="E356">
        <f t="shared" ref="E356:AA356" si="431">IF($A356=E$340,-1000000,E331)</f>
        <v>-1000000</v>
      </c>
      <c r="F356">
        <f t="shared" si="431"/>
        <v>3.043514587355416E-2</v>
      </c>
      <c r="G356">
        <f t="shared" si="431"/>
        <v>-1000000</v>
      </c>
      <c r="H356">
        <f t="shared" si="431"/>
        <v>0</v>
      </c>
      <c r="I356">
        <f t="shared" si="431"/>
        <v>-1000000</v>
      </c>
      <c r="J356">
        <f t="shared" si="431"/>
        <v>-1000000</v>
      </c>
      <c r="K356" s="248">
        <f t="shared" si="431"/>
        <v>-1000000</v>
      </c>
      <c r="L356" s="3">
        <f t="shared" si="431"/>
        <v>9.9025160649915928E-2</v>
      </c>
      <c r="M356">
        <f t="shared" si="431"/>
        <v>9.4372133407876771E-2</v>
      </c>
      <c r="N356">
        <f t="shared" si="431"/>
        <v>9.4838593677294011E-2</v>
      </c>
      <c r="O356">
        <f t="shared" si="431"/>
        <v>-1000000</v>
      </c>
      <c r="P356" s="387">
        <f t="shared" si="431"/>
        <v>-1000000</v>
      </c>
      <c r="Q356">
        <f t="shared" si="431"/>
        <v>-1000000</v>
      </c>
      <c r="R356">
        <f t="shared" si="431"/>
        <v>-1000000</v>
      </c>
      <c r="S356">
        <f t="shared" si="431"/>
        <v>-1000000</v>
      </c>
      <c r="T356">
        <f t="shared" si="431"/>
        <v>-1000000</v>
      </c>
      <c r="U356">
        <f t="shared" si="431"/>
        <v>-1000000</v>
      </c>
      <c r="V356">
        <f t="shared" si="431"/>
        <v>-1000000</v>
      </c>
      <c r="W356">
        <f t="shared" si="431"/>
        <v>9.8343792727686896E-2</v>
      </c>
      <c r="X356">
        <f t="shared" si="431"/>
        <v>9.1924670424457469E-2</v>
      </c>
      <c r="Y356">
        <f t="shared" si="431"/>
        <v>0.12716964930103508</v>
      </c>
      <c r="Z356">
        <f t="shared" si="431"/>
        <v>0.10814124714738031</v>
      </c>
      <c r="AA356">
        <f t="shared" si="431"/>
        <v>8.3540807419010543E-2</v>
      </c>
      <c r="AB356">
        <f t="shared" ref="AB356" si="432">IF($A356=AB$340,-1000000,AB331)</f>
        <v>-1000000</v>
      </c>
      <c r="AC356">
        <v>3</v>
      </c>
    </row>
    <row r="357" spans="1:29" x14ac:dyDescent="0.2">
      <c r="A357" s="3">
        <v>4</v>
      </c>
      <c r="B357" t="s">
        <v>5</v>
      </c>
      <c r="C357">
        <f t="shared" si="428"/>
        <v>3.0692903706995126E-2</v>
      </c>
      <c r="D357">
        <f t="shared" si="428"/>
        <v>0</v>
      </c>
      <c r="E357">
        <f t="shared" ref="E357:AA357" si="433">IF($A357=E$340,-1000000,E332)</f>
        <v>0</v>
      </c>
      <c r="F357">
        <f t="shared" si="433"/>
        <v>-1000000</v>
      </c>
      <c r="G357">
        <f t="shared" si="433"/>
        <v>4.1916160265811894E-2</v>
      </c>
      <c r="H357">
        <f t="shared" si="433"/>
        <v>-1000000</v>
      </c>
      <c r="I357">
        <f t="shared" si="433"/>
        <v>-1000000</v>
      </c>
      <c r="J357">
        <f t="shared" si="433"/>
        <v>-1000000</v>
      </c>
      <c r="K357" s="248">
        <f t="shared" si="433"/>
        <v>-1000000</v>
      </c>
      <c r="L357" s="3">
        <f t="shared" si="433"/>
        <v>-1000000</v>
      </c>
      <c r="M357">
        <f t="shared" si="433"/>
        <v>-1000000</v>
      </c>
      <c r="N357">
        <f t="shared" si="433"/>
        <v>-1000000</v>
      </c>
      <c r="O357">
        <f t="shared" si="433"/>
        <v>-1000000</v>
      </c>
      <c r="P357" s="387">
        <f t="shared" si="433"/>
        <v>-1000000</v>
      </c>
      <c r="Q357">
        <f t="shared" si="433"/>
        <v>-1000000</v>
      </c>
      <c r="R357">
        <f t="shared" si="433"/>
        <v>0.1128219733439188</v>
      </c>
      <c r="S357">
        <f t="shared" si="433"/>
        <v>-1000000</v>
      </c>
      <c r="T357">
        <f t="shared" si="433"/>
        <v>-1000000</v>
      </c>
      <c r="U357">
        <f t="shared" si="433"/>
        <v>-1000000</v>
      </c>
      <c r="V357">
        <f t="shared" si="433"/>
        <v>-1000000</v>
      </c>
      <c r="W357">
        <f t="shared" si="433"/>
        <v>-1000000</v>
      </c>
      <c r="X357">
        <f t="shared" si="433"/>
        <v>-1000000</v>
      </c>
      <c r="Y357">
        <f t="shared" si="433"/>
        <v>-1000000</v>
      </c>
      <c r="Z357">
        <f t="shared" si="433"/>
        <v>-1000000</v>
      </c>
      <c r="AA357">
        <f t="shared" si="433"/>
        <v>-1000000</v>
      </c>
      <c r="AB357">
        <f t="shared" ref="AB357" si="434">IF($A357=AB$340,-1000000,AB332)</f>
        <v>0</v>
      </c>
      <c r="AC357">
        <v>4</v>
      </c>
    </row>
    <row r="358" spans="1:29" x14ac:dyDescent="0.2">
      <c r="A358" s="3">
        <v>5</v>
      </c>
      <c r="B358" t="s">
        <v>6</v>
      </c>
      <c r="C358">
        <f t="shared" si="428"/>
        <v>-1000000</v>
      </c>
      <c r="D358">
        <f t="shared" si="428"/>
        <v>-1000000</v>
      </c>
      <c r="E358">
        <f t="shared" ref="E358:AA358" si="435">IF($A358=E$340,-1000000,E333)</f>
        <v>-1000000</v>
      </c>
      <c r="F358">
        <f t="shared" si="435"/>
        <v>-1000000</v>
      </c>
      <c r="G358">
        <f t="shared" si="435"/>
        <v>-1000000</v>
      </c>
      <c r="H358">
        <f t="shared" si="435"/>
        <v>-1000000</v>
      </c>
      <c r="I358">
        <f t="shared" si="435"/>
        <v>0</v>
      </c>
      <c r="J358">
        <f t="shared" si="435"/>
        <v>1.6398735900905279E-2</v>
      </c>
      <c r="K358" s="248">
        <f t="shared" si="435"/>
        <v>-1000000</v>
      </c>
      <c r="L358" s="3">
        <f t="shared" si="435"/>
        <v>-1000000</v>
      </c>
      <c r="M358">
        <f t="shared" si="435"/>
        <v>-1000000</v>
      </c>
      <c r="N358">
        <f t="shared" si="435"/>
        <v>-1000000</v>
      </c>
      <c r="O358">
        <f t="shared" si="435"/>
        <v>2.0557795135038821E-2</v>
      </c>
      <c r="P358" s="387">
        <f t="shared" si="435"/>
        <v>9.1837302935579512E-2</v>
      </c>
      <c r="Q358">
        <f t="shared" si="435"/>
        <v>-1000000</v>
      </c>
      <c r="R358">
        <f t="shared" si="435"/>
        <v>-1000000</v>
      </c>
      <c r="S358">
        <f t="shared" si="435"/>
        <v>-1000000</v>
      </c>
      <c r="T358">
        <f t="shared" si="435"/>
        <v>-1000000</v>
      </c>
      <c r="U358">
        <f t="shared" si="435"/>
        <v>-1000000</v>
      </c>
      <c r="V358">
        <f t="shared" si="435"/>
        <v>-1000000</v>
      </c>
      <c r="W358">
        <f t="shared" si="435"/>
        <v>-1000000</v>
      </c>
      <c r="X358">
        <f t="shared" si="435"/>
        <v>-1000000</v>
      </c>
      <c r="Y358">
        <f t="shared" si="435"/>
        <v>-1000000</v>
      </c>
      <c r="Z358">
        <f t="shared" si="435"/>
        <v>-1000000</v>
      </c>
      <c r="AA358">
        <f t="shared" si="435"/>
        <v>-1000000</v>
      </c>
      <c r="AB358">
        <f t="shared" ref="AB358" si="436">IF($A358=AB$340,-1000000,AB333)</f>
        <v>-1000000</v>
      </c>
      <c r="AC358">
        <v>5</v>
      </c>
    </row>
    <row r="359" spans="1:29" x14ac:dyDescent="0.2">
      <c r="A359" s="3">
        <v>6</v>
      </c>
      <c r="B359" t="s">
        <v>1</v>
      </c>
      <c r="C359">
        <f t="shared" si="428"/>
        <v>-1000000</v>
      </c>
      <c r="D359">
        <f t="shared" si="428"/>
        <v>-1000000</v>
      </c>
      <c r="E359">
        <f t="shared" ref="E359:AA359" si="437">IF($A359=E$340,-1000000,E334)</f>
        <v>-1000000</v>
      </c>
      <c r="F359">
        <f t="shared" si="437"/>
        <v>-1000000</v>
      </c>
      <c r="G359">
        <f t="shared" si="437"/>
        <v>-1000000</v>
      </c>
      <c r="H359">
        <f t="shared" si="437"/>
        <v>-1000000</v>
      </c>
      <c r="I359">
        <f t="shared" si="437"/>
        <v>-1000000</v>
      </c>
      <c r="J359">
        <f t="shared" si="437"/>
        <v>-1000000</v>
      </c>
      <c r="K359" s="248">
        <f t="shared" si="437"/>
        <v>-1000000</v>
      </c>
      <c r="L359" s="3">
        <f t="shared" si="437"/>
        <v>-1000000</v>
      </c>
      <c r="M359">
        <f t="shared" si="437"/>
        <v>-1000000</v>
      </c>
      <c r="N359">
        <f t="shared" si="437"/>
        <v>-1000000</v>
      </c>
      <c r="O359">
        <f t="shared" si="437"/>
        <v>-1000000</v>
      </c>
      <c r="P359" s="387">
        <f t="shared" si="437"/>
        <v>-1000000</v>
      </c>
      <c r="Q359">
        <f t="shared" si="437"/>
        <v>-1000000</v>
      </c>
      <c r="R359">
        <f t="shared" si="437"/>
        <v>-1000000</v>
      </c>
      <c r="S359">
        <f t="shared" si="437"/>
        <v>0.10110626227728828</v>
      </c>
      <c r="T359">
        <f t="shared" si="437"/>
        <v>-1000000</v>
      </c>
      <c r="U359">
        <f t="shared" si="437"/>
        <v>-1000000</v>
      </c>
      <c r="V359">
        <f t="shared" si="437"/>
        <v>-1000000</v>
      </c>
      <c r="W359">
        <f t="shared" si="437"/>
        <v>-1000000</v>
      </c>
      <c r="X359">
        <f t="shared" si="437"/>
        <v>-1000000</v>
      </c>
      <c r="Y359">
        <f t="shared" si="437"/>
        <v>-1000000</v>
      </c>
      <c r="Z359">
        <f t="shared" si="437"/>
        <v>-1000000</v>
      </c>
      <c r="AA359">
        <f t="shared" si="437"/>
        <v>-1000000</v>
      </c>
      <c r="AB359">
        <f t="shared" ref="AB359" si="438">IF($A359=AB$340,-1000000,AB334)</f>
        <v>-1000000</v>
      </c>
      <c r="AC359">
        <v>6</v>
      </c>
    </row>
    <row r="360" spans="1:29" x14ac:dyDescent="0.2">
      <c r="A360" s="3">
        <v>7</v>
      </c>
      <c r="B360" t="s">
        <v>2</v>
      </c>
      <c r="C360">
        <f t="shared" si="428"/>
        <v>-1000000</v>
      </c>
      <c r="D360">
        <f t="shared" si="428"/>
        <v>-1000000</v>
      </c>
      <c r="E360">
        <f t="shared" ref="E360:AA360" si="439">IF($A360=E$340,-1000000,E335)</f>
        <v>-1000000</v>
      </c>
      <c r="F360">
        <f t="shared" si="439"/>
        <v>-1000000</v>
      </c>
      <c r="G360">
        <f t="shared" si="439"/>
        <v>-1000000</v>
      </c>
      <c r="H360">
        <f t="shared" si="439"/>
        <v>-1000000</v>
      </c>
      <c r="I360">
        <f t="shared" si="439"/>
        <v>-1000000</v>
      </c>
      <c r="J360">
        <f t="shared" si="439"/>
        <v>-1000000</v>
      </c>
      <c r="K360" s="248">
        <f t="shared" si="439"/>
        <v>-1000000</v>
      </c>
      <c r="L360" s="3">
        <f t="shared" si="439"/>
        <v>-1000000</v>
      </c>
      <c r="M360">
        <f t="shared" si="439"/>
        <v>-1000000</v>
      </c>
      <c r="N360">
        <f t="shared" si="439"/>
        <v>-1000000</v>
      </c>
      <c r="O360">
        <f t="shared" si="439"/>
        <v>-1000000</v>
      </c>
      <c r="P360" s="387">
        <f t="shared" si="439"/>
        <v>-1000000</v>
      </c>
      <c r="Q360">
        <f t="shared" si="439"/>
        <v>-1000000</v>
      </c>
      <c r="R360">
        <f t="shared" si="439"/>
        <v>-1000000</v>
      </c>
      <c r="S360">
        <f t="shared" si="439"/>
        <v>-1000000</v>
      </c>
      <c r="T360">
        <f t="shared" si="439"/>
        <v>-1000000</v>
      </c>
      <c r="U360">
        <f t="shared" si="439"/>
        <v>8.9055179557913131E-2</v>
      </c>
      <c r="V360">
        <f t="shared" si="439"/>
        <v>-1000000</v>
      </c>
      <c r="W360">
        <f t="shared" si="439"/>
        <v>-1000000</v>
      </c>
      <c r="X360">
        <f t="shared" si="439"/>
        <v>-1000000</v>
      </c>
      <c r="Y360">
        <f t="shared" si="439"/>
        <v>-1000000</v>
      </c>
      <c r="Z360">
        <f t="shared" si="439"/>
        <v>-1000000</v>
      </c>
      <c r="AA360">
        <f t="shared" si="439"/>
        <v>-1000000</v>
      </c>
      <c r="AB360">
        <f t="shared" ref="AB360" si="440">IF($A360=AB$340,-1000000,AB335)</f>
        <v>0</v>
      </c>
      <c r="AC360">
        <v>7</v>
      </c>
    </row>
    <row r="361" spans="1:29" x14ac:dyDescent="0.2">
      <c r="A361" s="3"/>
    </row>
    <row r="362" spans="1:29" x14ac:dyDescent="0.2">
      <c r="A362" s="59">
        <v>27</v>
      </c>
      <c r="B362" s="137">
        <v>0</v>
      </c>
      <c r="C362">
        <v>1</v>
      </c>
      <c r="D362">
        <v>2</v>
      </c>
      <c r="E362">
        <v>3</v>
      </c>
      <c r="F362">
        <v>4</v>
      </c>
      <c r="G362">
        <v>5</v>
      </c>
      <c r="H362">
        <v>6</v>
      </c>
      <c r="I362">
        <v>7</v>
      </c>
      <c r="J362">
        <v>8</v>
      </c>
      <c r="K362" s="248">
        <v>9</v>
      </c>
      <c r="L362" s="3">
        <v>10</v>
      </c>
      <c r="M362">
        <v>11</v>
      </c>
      <c r="N362">
        <v>12</v>
      </c>
      <c r="O362">
        <v>13</v>
      </c>
      <c r="P362" s="387">
        <v>14</v>
      </c>
      <c r="Q362">
        <v>15</v>
      </c>
      <c r="R362">
        <v>16</v>
      </c>
      <c r="S362">
        <v>17</v>
      </c>
      <c r="T362">
        <v>18</v>
      </c>
      <c r="U362">
        <v>19</v>
      </c>
      <c r="V362">
        <v>20</v>
      </c>
      <c r="W362">
        <v>21</v>
      </c>
      <c r="X362">
        <v>22</v>
      </c>
      <c r="Y362">
        <v>23</v>
      </c>
      <c r="Z362">
        <v>24</v>
      </c>
      <c r="AA362">
        <v>25</v>
      </c>
      <c r="AB362">
        <v>26</v>
      </c>
    </row>
    <row r="363" spans="1:29" x14ac:dyDescent="0.2">
      <c r="A363" s="59"/>
      <c r="B363" s="25" t="s">
        <v>123</v>
      </c>
    </row>
    <row r="364" spans="1:29" x14ac:dyDescent="0.2">
      <c r="A364" s="59"/>
      <c r="B364" t="s">
        <v>124</v>
      </c>
      <c r="C364">
        <f>MAX(C354:C360)</f>
        <v>3.0692903706995126E-2</v>
      </c>
      <c r="D364">
        <f t="shared" ref="D364:AA364" si="441">MAX(D354:D360)</f>
        <v>0</v>
      </c>
      <c r="E364">
        <f t="shared" si="441"/>
        <v>0</v>
      </c>
      <c r="F364">
        <f t="shared" si="441"/>
        <v>3.043514587355416E-2</v>
      </c>
      <c r="G364">
        <f t="shared" si="441"/>
        <v>4.1916160265811894E-2</v>
      </c>
      <c r="H364">
        <f t="shared" si="441"/>
        <v>0</v>
      </c>
      <c r="I364">
        <f t="shared" si="441"/>
        <v>0</v>
      </c>
      <c r="J364">
        <f t="shared" si="441"/>
        <v>1.6398735900905279E-2</v>
      </c>
      <c r="K364" s="248">
        <f t="shared" si="441"/>
        <v>5.6193970799165868E-2</v>
      </c>
      <c r="L364" s="3">
        <f t="shared" si="441"/>
        <v>9.9025160649915928E-2</v>
      </c>
      <c r="M364">
        <f t="shared" si="441"/>
        <v>9.4372133407876771E-2</v>
      </c>
      <c r="N364">
        <f t="shared" si="441"/>
        <v>9.4838593677294011E-2</v>
      </c>
      <c r="O364">
        <f t="shared" si="441"/>
        <v>2.6441780308304203E-2</v>
      </c>
      <c r="P364" s="387">
        <f t="shared" si="441"/>
        <v>9.1837302935579512E-2</v>
      </c>
      <c r="Q364">
        <f t="shared" si="441"/>
        <v>0.10172677007420894</v>
      </c>
      <c r="R364">
        <f t="shared" si="441"/>
        <v>0.11582676128308356</v>
      </c>
      <c r="S364">
        <f t="shared" si="441"/>
        <v>0.10110626227728828</v>
      </c>
      <c r="T364">
        <f t="shared" si="441"/>
        <v>0.10625159812537399</v>
      </c>
      <c r="U364">
        <f t="shared" si="441"/>
        <v>8.9055179557913131E-2</v>
      </c>
      <c r="V364">
        <f t="shared" si="441"/>
        <v>0.10007248764287122</v>
      </c>
      <c r="W364">
        <f t="shared" si="441"/>
        <v>9.8343792727686896E-2</v>
      </c>
      <c r="X364">
        <f t="shared" si="441"/>
        <v>9.1924670424457469E-2</v>
      </c>
      <c r="Y364">
        <f t="shared" si="441"/>
        <v>0.12716964930103508</v>
      </c>
      <c r="Z364">
        <f t="shared" si="441"/>
        <v>0.10814124714738031</v>
      </c>
      <c r="AA364">
        <f t="shared" si="441"/>
        <v>8.3540807419010543E-2</v>
      </c>
      <c r="AB364">
        <f t="shared" ref="AB364" si="442">MAX(AB354:AB360)</f>
        <v>0</v>
      </c>
    </row>
    <row r="365" spans="1:29" x14ac:dyDescent="0.2">
      <c r="A365" s="59"/>
      <c r="B365" t="s">
        <v>125</v>
      </c>
      <c r="C365" s="138">
        <f>VLOOKUP(C364,C$354:$AC$360,$A$362-B362,FALSE)</f>
        <v>4</v>
      </c>
      <c r="D365" s="138">
        <f>VLOOKUP(D364,D$354:$AC$360,$A$362-C362,FALSE)</f>
        <v>4</v>
      </c>
      <c r="E365" s="138">
        <f>VLOOKUP(E364,E$354:$AC$360,$A$362-D362,FALSE)</f>
        <v>4</v>
      </c>
      <c r="F365" s="138">
        <f>VLOOKUP(F364,F$354:$AC$360,$A$362-E362,FALSE)</f>
        <v>3</v>
      </c>
      <c r="G365" s="138">
        <f>VLOOKUP(G364,G$354:$AC$360,$A$362-F362,FALSE)</f>
        <v>4</v>
      </c>
      <c r="H365" s="138">
        <f>VLOOKUP(H364,H$354:$AC$360,$A$362-G362,FALSE)</f>
        <v>3</v>
      </c>
      <c r="I365" s="138">
        <f>VLOOKUP(I364,I$354:$AC$360,$A$362-H362,FALSE)</f>
        <v>5</v>
      </c>
      <c r="J365" s="138">
        <f>VLOOKUP(J364,J$354:$AC$360,$A$362-I362,FALSE)</f>
        <v>5</v>
      </c>
      <c r="K365" s="264">
        <f>VLOOKUP(K364,K$354:$AC$360,$A$362-J362,FALSE)</f>
        <v>1</v>
      </c>
      <c r="L365" s="242">
        <f>VLOOKUP(L364,L$354:$AC$360,$A$362-K362,FALSE)</f>
        <v>3</v>
      </c>
      <c r="M365" s="138">
        <f>VLOOKUP(M364,M$354:$AC$360,$A$362-L362,FALSE)</f>
        <v>3</v>
      </c>
      <c r="N365" s="138">
        <f>VLOOKUP(N364,N$354:$AC$360,$A$362-M362,FALSE)</f>
        <v>3</v>
      </c>
      <c r="O365" s="138">
        <f>VLOOKUP(O364,O$354:$AC$360,$A$362-N362,FALSE)</f>
        <v>2</v>
      </c>
      <c r="P365" s="407">
        <f>VLOOKUP(P364,P$354:$AC$360,$A$362-O362,FALSE)</f>
        <v>5</v>
      </c>
      <c r="Q365" s="138">
        <f>VLOOKUP(Q364,Q$354:$AC$360,$A$362-P362,FALSE)</f>
        <v>1</v>
      </c>
      <c r="R365" s="138">
        <f>VLOOKUP(R364,R$354:$AC$360,$A$362-Q362,FALSE)</f>
        <v>2</v>
      </c>
      <c r="S365" s="138">
        <f>VLOOKUP(S364,S$354:$AC$360,$A$362-R362,FALSE)</f>
        <v>6</v>
      </c>
      <c r="T365" s="138">
        <f>VLOOKUP(T364,T$354:$AC$360,$A$362-S362,FALSE)</f>
        <v>1</v>
      </c>
      <c r="U365" s="138">
        <f>VLOOKUP(U364,U$354:$AC$360,$A$362-T362,FALSE)</f>
        <v>7</v>
      </c>
      <c r="V365" s="138">
        <f>VLOOKUP(V364,V$354:$AC$360,$A$362-U362,FALSE)</f>
        <v>2</v>
      </c>
      <c r="W365" s="138">
        <f>VLOOKUP(W364,W$354:$AC$360,$A$362-V362,FALSE)</f>
        <v>3</v>
      </c>
      <c r="X365" s="138">
        <f>VLOOKUP(X364,X$354:$AC$360,$A$362-W362,FALSE)</f>
        <v>3</v>
      </c>
      <c r="Y365" s="138">
        <f>VLOOKUP(Y364,Y$354:$AC$360,$A$362-X362,FALSE)</f>
        <v>3</v>
      </c>
      <c r="Z365" s="138">
        <f>VLOOKUP(Z364,Z$354:$AC$360,$A$362-Y362,FALSE)</f>
        <v>3</v>
      </c>
      <c r="AA365" s="138">
        <f>VLOOKUP(AA364,AA$354:$AC$360,$A$362-Z362,FALSE)</f>
        <v>3</v>
      </c>
      <c r="AB365" s="138">
        <f>VLOOKUP(AB364,AB$354:$AC$360,$A$362-AA362,FALSE)</f>
        <v>4</v>
      </c>
    </row>
    <row r="366" spans="1:29" x14ac:dyDescent="0.2">
      <c r="A366" s="59"/>
      <c r="B366" s="4" t="s">
        <v>110</v>
      </c>
    </row>
    <row r="367" spans="1:29" x14ac:dyDescent="0.2">
      <c r="A367" s="3">
        <v>1</v>
      </c>
      <c r="B367" t="s">
        <v>41</v>
      </c>
      <c r="C367">
        <f t="shared" ref="C367:K373" si="443">IF($A367=C$365,MIN(C200,C$351),0)</f>
        <v>0</v>
      </c>
      <c r="D367">
        <f t="shared" si="443"/>
        <v>0</v>
      </c>
      <c r="E367">
        <f t="shared" si="443"/>
        <v>0</v>
      </c>
      <c r="F367">
        <f t="shared" si="443"/>
        <v>0</v>
      </c>
      <c r="G367">
        <f t="shared" si="443"/>
        <v>0</v>
      </c>
      <c r="H367">
        <f t="shared" si="443"/>
        <v>0</v>
      </c>
      <c r="I367">
        <f t="shared" si="443"/>
        <v>0</v>
      </c>
      <c r="J367">
        <f t="shared" si="443"/>
        <v>0</v>
      </c>
      <c r="K367" s="248">
        <f t="shared" si="443"/>
        <v>0</v>
      </c>
      <c r="L367" s="3">
        <f t="shared" ref="L367:AA373" si="444">IF($A367=L$365,MIN(L200,L$351),0)</f>
        <v>0</v>
      </c>
      <c r="M367">
        <f t="shared" si="444"/>
        <v>0</v>
      </c>
      <c r="N367">
        <f t="shared" si="444"/>
        <v>0</v>
      </c>
      <c r="O367">
        <f t="shared" si="444"/>
        <v>0</v>
      </c>
      <c r="P367" s="387">
        <f t="shared" si="444"/>
        <v>0</v>
      </c>
      <c r="Q367">
        <f t="shared" si="444"/>
        <v>0</v>
      </c>
      <c r="R367">
        <f t="shared" si="444"/>
        <v>0</v>
      </c>
      <c r="S367">
        <f t="shared" si="444"/>
        <v>0</v>
      </c>
      <c r="T367">
        <f t="shared" si="444"/>
        <v>0</v>
      </c>
      <c r="U367">
        <f t="shared" si="444"/>
        <v>0</v>
      </c>
      <c r="V367">
        <f t="shared" si="444"/>
        <v>0</v>
      </c>
      <c r="W367">
        <f t="shared" si="444"/>
        <v>0</v>
      </c>
      <c r="X367">
        <f t="shared" si="444"/>
        <v>0</v>
      </c>
      <c r="Y367">
        <f t="shared" si="444"/>
        <v>0</v>
      </c>
      <c r="Z367">
        <f t="shared" si="444"/>
        <v>0</v>
      </c>
      <c r="AA367">
        <f t="shared" si="444"/>
        <v>0</v>
      </c>
      <c r="AB367">
        <f t="shared" ref="AB367" si="445">IF($A367=AB$365,MIN(AB200,AB$351),0)</f>
        <v>0</v>
      </c>
    </row>
    <row r="368" spans="1:29" x14ac:dyDescent="0.2">
      <c r="A368" s="3">
        <v>2</v>
      </c>
      <c r="B368" t="s">
        <v>3</v>
      </c>
      <c r="C368">
        <f t="shared" si="443"/>
        <v>0</v>
      </c>
      <c r="D368">
        <f t="shared" si="443"/>
        <v>0</v>
      </c>
      <c r="E368">
        <f t="shared" si="443"/>
        <v>0</v>
      </c>
      <c r="F368">
        <f t="shared" si="443"/>
        <v>0</v>
      </c>
      <c r="G368">
        <f t="shared" si="443"/>
        <v>0</v>
      </c>
      <c r="H368">
        <f t="shared" si="443"/>
        <v>0</v>
      </c>
      <c r="I368">
        <f t="shared" si="443"/>
        <v>0</v>
      </c>
      <c r="J368">
        <f t="shared" si="443"/>
        <v>0</v>
      </c>
      <c r="K368" s="248">
        <f t="shared" si="443"/>
        <v>0</v>
      </c>
      <c r="L368" s="3">
        <f t="shared" ref="L368:R368" si="446">IF($A368=L$365,MIN(L201,L$351),0)</f>
        <v>0</v>
      </c>
      <c r="M368">
        <f t="shared" si="446"/>
        <v>0</v>
      </c>
      <c r="N368">
        <f t="shared" si="446"/>
        <v>0</v>
      </c>
      <c r="O368">
        <f t="shared" si="446"/>
        <v>0</v>
      </c>
      <c r="P368" s="387">
        <f t="shared" si="446"/>
        <v>0</v>
      </c>
      <c r="Q368">
        <f t="shared" si="446"/>
        <v>0</v>
      </c>
      <c r="R368">
        <f t="shared" si="446"/>
        <v>0</v>
      </c>
      <c r="S368">
        <f t="shared" si="444"/>
        <v>0</v>
      </c>
      <c r="T368">
        <f t="shared" si="444"/>
        <v>0</v>
      </c>
      <c r="U368">
        <f t="shared" si="444"/>
        <v>0</v>
      </c>
      <c r="V368">
        <f t="shared" si="444"/>
        <v>0</v>
      </c>
      <c r="W368">
        <f t="shared" si="444"/>
        <v>0</v>
      </c>
      <c r="X368">
        <f t="shared" si="444"/>
        <v>0</v>
      </c>
      <c r="Y368">
        <f t="shared" si="444"/>
        <v>0</v>
      </c>
      <c r="Z368">
        <f t="shared" si="444"/>
        <v>0</v>
      </c>
      <c r="AA368">
        <f t="shared" si="444"/>
        <v>0</v>
      </c>
      <c r="AB368">
        <f t="shared" ref="AB368" si="447">IF($A368=AB$365,MIN(AB201,AB$351),0)</f>
        <v>0</v>
      </c>
    </row>
    <row r="369" spans="1:28" x14ac:dyDescent="0.2">
      <c r="A369" s="3">
        <v>3</v>
      </c>
      <c r="B369" t="s">
        <v>29</v>
      </c>
      <c r="C369">
        <f t="shared" si="443"/>
        <v>0</v>
      </c>
      <c r="D369">
        <f t="shared" si="443"/>
        <v>0</v>
      </c>
      <c r="E369">
        <f t="shared" si="443"/>
        <v>0</v>
      </c>
      <c r="F369">
        <f t="shared" si="443"/>
        <v>1704990.3138308586</v>
      </c>
      <c r="G369">
        <f t="shared" si="443"/>
        <v>0</v>
      </c>
      <c r="H369">
        <f t="shared" si="443"/>
        <v>0</v>
      </c>
      <c r="I369">
        <f t="shared" si="443"/>
        <v>0</v>
      </c>
      <c r="J369">
        <f t="shared" si="443"/>
        <v>0</v>
      </c>
      <c r="K369" s="248">
        <f t="shared" si="443"/>
        <v>0</v>
      </c>
      <c r="L369" s="3">
        <f t="shared" si="444"/>
        <v>0</v>
      </c>
      <c r="M369">
        <f t="shared" si="444"/>
        <v>0</v>
      </c>
      <c r="N369">
        <f t="shared" si="444"/>
        <v>0</v>
      </c>
      <c r="O369">
        <f t="shared" si="444"/>
        <v>0</v>
      </c>
      <c r="P369" s="387">
        <f t="shared" si="444"/>
        <v>0</v>
      </c>
      <c r="Q369">
        <f t="shared" si="444"/>
        <v>0</v>
      </c>
      <c r="R369">
        <f t="shared" si="444"/>
        <v>0</v>
      </c>
      <c r="S369">
        <f t="shared" si="444"/>
        <v>0</v>
      </c>
      <c r="T369">
        <f t="shared" si="444"/>
        <v>0</v>
      </c>
      <c r="U369">
        <f t="shared" si="444"/>
        <v>0</v>
      </c>
      <c r="V369">
        <f t="shared" si="444"/>
        <v>0</v>
      </c>
      <c r="W369">
        <f t="shared" si="444"/>
        <v>0</v>
      </c>
      <c r="X369">
        <f t="shared" si="444"/>
        <v>0</v>
      </c>
      <c r="Y369">
        <f t="shared" si="444"/>
        <v>0</v>
      </c>
      <c r="Z369">
        <f t="shared" si="444"/>
        <v>0</v>
      </c>
      <c r="AA369">
        <f t="shared" si="444"/>
        <v>810152.45208051801</v>
      </c>
      <c r="AB369">
        <f t="shared" ref="AB369" si="448">IF($A369=AB$365,MIN(AB202,AB$351),0)</f>
        <v>0</v>
      </c>
    </row>
    <row r="370" spans="1:28" x14ac:dyDescent="0.2">
      <c r="A370" s="3">
        <v>4</v>
      </c>
      <c r="B370" t="s">
        <v>5</v>
      </c>
      <c r="C370">
        <f t="shared" si="443"/>
        <v>1362635.1144049345</v>
      </c>
      <c r="D370">
        <f t="shared" si="443"/>
        <v>1728427.1402395247</v>
      </c>
      <c r="E370">
        <f t="shared" si="443"/>
        <v>1180133.907204947</v>
      </c>
      <c r="F370">
        <f t="shared" si="443"/>
        <v>0</v>
      </c>
      <c r="G370">
        <f t="shared" si="443"/>
        <v>305497.88113621017</v>
      </c>
      <c r="H370">
        <f t="shared" si="443"/>
        <v>0</v>
      </c>
      <c r="I370">
        <f t="shared" si="443"/>
        <v>0</v>
      </c>
      <c r="J370">
        <f t="shared" si="443"/>
        <v>0</v>
      </c>
      <c r="K370" s="248">
        <f t="shared" si="443"/>
        <v>0</v>
      </c>
      <c r="L370" s="3">
        <f t="shared" si="444"/>
        <v>0</v>
      </c>
      <c r="M370">
        <f t="shared" si="444"/>
        <v>0</v>
      </c>
      <c r="N370">
        <f t="shared" si="444"/>
        <v>0</v>
      </c>
      <c r="O370">
        <f t="shared" si="444"/>
        <v>0</v>
      </c>
      <c r="P370" s="387">
        <f t="shared" si="444"/>
        <v>0</v>
      </c>
      <c r="Q370">
        <f t="shared" si="444"/>
        <v>0</v>
      </c>
      <c r="R370">
        <f t="shared" si="444"/>
        <v>0</v>
      </c>
      <c r="S370">
        <f t="shared" si="444"/>
        <v>0</v>
      </c>
      <c r="T370">
        <f t="shared" si="444"/>
        <v>0</v>
      </c>
      <c r="U370">
        <f t="shared" si="444"/>
        <v>0</v>
      </c>
      <c r="V370">
        <f t="shared" si="444"/>
        <v>0</v>
      </c>
      <c r="W370">
        <f t="shared" si="444"/>
        <v>0</v>
      </c>
      <c r="X370">
        <f t="shared" si="444"/>
        <v>0</v>
      </c>
      <c r="Y370">
        <f t="shared" si="444"/>
        <v>0</v>
      </c>
      <c r="Z370">
        <f t="shared" si="444"/>
        <v>0</v>
      </c>
      <c r="AA370">
        <f t="shared" si="444"/>
        <v>0</v>
      </c>
      <c r="AB370">
        <f t="shared" ref="AB370" si="449">IF($A370=AB$365,MIN(AB203,AB$351),0)</f>
        <v>0</v>
      </c>
    </row>
    <row r="371" spans="1:28" x14ac:dyDescent="0.2">
      <c r="A371" s="3">
        <v>5</v>
      </c>
      <c r="B371" t="s">
        <v>6</v>
      </c>
      <c r="C371">
        <f t="shared" si="443"/>
        <v>0</v>
      </c>
      <c r="D371">
        <f t="shared" si="443"/>
        <v>0</v>
      </c>
      <c r="E371">
        <f t="shared" si="443"/>
        <v>0</v>
      </c>
      <c r="F371">
        <f t="shared" si="443"/>
        <v>0</v>
      </c>
      <c r="G371">
        <f t="shared" si="443"/>
        <v>0</v>
      </c>
      <c r="H371">
        <f t="shared" si="443"/>
        <v>0</v>
      </c>
      <c r="I371">
        <f t="shared" si="443"/>
        <v>0</v>
      </c>
      <c r="J371">
        <f t="shared" si="443"/>
        <v>0</v>
      </c>
      <c r="K371" s="248">
        <f t="shared" si="443"/>
        <v>0</v>
      </c>
      <c r="L371" s="3">
        <f t="shared" si="444"/>
        <v>0</v>
      </c>
      <c r="M371">
        <f t="shared" si="444"/>
        <v>0</v>
      </c>
      <c r="N371">
        <f t="shared" si="444"/>
        <v>0</v>
      </c>
      <c r="O371">
        <f t="shared" si="444"/>
        <v>0</v>
      </c>
      <c r="P371" s="387">
        <f t="shared" si="444"/>
        <v>0</v>
      </c>
      <c r="Q371">
        <f t="shared" si="444"/>
        <v>0</v>
      </c>
      <c r="R371">
        <f t="shared" si="444"/>
        <v>0</v>
      </c>
      <c r="S371">
        <f t="shared" si="444"/>
        <v>0</v>
      </c>
      <c r="T371">
        <f t="shared" si="444"/>
        <v>0</v>
      </c>
      <c r="U371">
        <f t="shared" si="444"/>
        <v>0</v>
      </c>
      <c r="V371">
        <f t="shared" si="444"/>
        <v>0</v>
      </c>
      <c r="W371">
        <f t="shared" si="444"/>
        <v>0</v>
      </c>
      <c r="X371">
        <f t="shared" si="444"/>
        <v>0</v>
      </c>
      <c r="Y371">
        <f t="shared" si="444"/>
        <v>0</v>
      </c>
      <c r="Z371">
        <f t="shared" si="444"/>
        <v>0</v>
      </c>
      <c r="AA371">
        <f t="shared" si="444"/>
        <v>0</v>
      </c>
      <c r="AB371">
        <f t="shared" ref="AB371" si="450">IF($A371=AB$365,MIN(AB204,AB$351),0)</f>
        <v>0</v>
      </c>
    </row>
    <row r="372" spans="1:28" x14ac:dyDescent="0.2">
      <c r="A372" s="3">
        <v>6</v>
      </c>
      <c r="B372" t="s">
        <v>1</v>
      </c>
      <c r="C372">
        <f t="shared" si="443"/>
        <v>0</v>
      </c>
      <c r="D372">
        <f t="shared" si="443"/>
        <v>0</v>
      </c>
      <c r="E372">
        <f t="shared" si="443"/>
        <v>0</v>
      </c>
      <c r="F372">
        <f t="shared" si="443"/>
        <v>0</v>
      </c>
      <c r="G372">
        <f t="shared" si="443"/>
        <v>0</v>
      </c>
      <c r="H372">
        <f t="shared" si="443"/>
        <v>0</v>
      </c>
      <c r="I372">
        <f t="shared" si="443"/>
        <v>0</v>
      </c>
      <c r="J372">
        <f t="shared" si="443"/>
        <v>0</v>
      </c>
      <c r="K372" s="248">
        <f t="shared" si="443"/>
        <v>0</v>
      </c>
      <c r="L372" s="3">
        <f t="shared" si="444"/>
        <v>0</v>
      </c>
      <c r="M372">
        <f t="shared" si="444"/>
        <v>0</v>
      </c>
      <c r="N372">
        <f t="shared" si="444"/>
        <v>0</v>
      </c>
      <c r="O372">
        <f t="shared" si="444"/>
        <v>0</v>
      </c>
      <c r="P372" s="387">
        <f t="shared" si="444"/>
        <v>0</v>
      </c>
      <c r="Q372">
        <f t="shared" si="444"/>
        <v>0</v>
      </c>
      <c r="R372">
        <f t="shared" si="444"/>
        <v>0</v>
      </c>
      <c r="S372">
        <f t="shared" si="444"/>
        <v>0</v>
      </c>
      <c r="T372">
        <f t="shared" si="444"/>
        <v>0</v>
      </c>
      <c r="U372">
        <f t="shared" si="444"/>
        <v>0</v>
      </c>
      <c r="V372">
        <f t="shared" si="444"/>
        <v>0</v>
      </c>
      <c r="W372">
        <f t="shared" si="444"/>
        <v>0</v>
      </c>
      <c r="X372">
        <f t="shared" si="444"/>
        <v>0</v>
      </c>
      <c r="Y372">
        <f t="shared" si="444"/>
        <v>0</v>
      </c>
      <c r="Z372">
        <f t="shared" si="444"/>
        <v>0</v>
      </c>
      <c r="AA372">
        <f t="shared" si="444"/>
        <v>0</v>
      </c>
      <c r="AB372">
        <f t="shared" ref="AB372" si="451">IF($A372=AB$365,MIN(AB205,AB$351),0)</f>
        <v>0</v>
      </c>
    </row>
    <row r="373" spans="1:28" x14ac:dyDescent="0.2">
      <c r="A373" s="3">
        <v>7</v>
      </c>
      <c r="B373" t="s">
        <v>2</v>
      </c>
      <c r="C373">
        <f t="shared" si="443"/>
        <v>0</v>
      </c>
      <c r="D373">
        <f t="shared" si="443"/>
        <v>0</v>
      </c>
      <c r="E373">
        <f t="shared" si="443"/>
        <v>0</v>
      </c>
      <c r="F373">
        <f t="shared" si="443"/>
        <v>0</v>
      </c>
      <c r="G373">
        <f t="shared" si="443"/>
        <v>0</v>
      </c>
      <c r="H373">
        <f t="shared" si="443"/>
        <v>0</v>
      </c>
      <c r="I373">
        <f t="shared" si="443"/>
        <v>0</v>
      </c>
      <c r="J373">
        <f t="shared" si="443"/>
        <v>0</v>
      </c>
      <c r="K373" s="248">
        <f t="shared" si="443"/>
        <v>0</v>
      </c>
      <c r="L373" s="3">
        <f t="shared" si="444"/>
        <v>0</v>
      </c>
      <c r="M373">
        <f t="shared" si="444"/>
        <v>0</v>
      </c>
      <c r="N373">
        <f t="shared" si="444"/>
        <v>0</v>
      </c>
      <c r="O373">
        <f t="shared" si="444"/>
        <v>0</v>
      </c>
      <c r="P373" s="387">
        <f t="shared" si="444"/>
        <v>0</v>
      </c>
      <c r="Q373">
        <f t="shared" si="444"/>
        <v>0</v>
      </c>
      <c r="R373">
        <f t="shared" si="444"/>
        <v>0</v>
      </c>
      <c r="S373">
        <f t="shared" si="444"/>
        <v>0</v>
      </c>
      <c r="T373">
        <f t="shared" si="444"/>
        <v>0</v>
      </c>
      <c r="U373">
        <f t="shared" si="444"/>
        <v>0</v>
      </c>
      <c r="V373">
        <f t="shared" si="444"/>
        <v>0</v>
      </c>
      <c r="W373">
        <f t="shared" si="444"/>
        <v>0</v>
      </c>
      <c r="X373">
        <f t="shared" si="444"/>
        <v>0</v>
      </c>
      <c r="Y373">
        <f t="shared" si="444"/>
        <v>0</v>
      </c>
      <c r="Z373">
        <f t="shared" si="444"/>
        <v>0</v>
      </c>
      <c r="AA373">
        <f t="shared" si="444"/>
        <v>0</v>
      </c>
      <c r="AB373">
        <f t="shared" ref="AB373" si="452">IF($A373=AB$365,MIN(AB206,AB$351),0)</f>
        <v>0</v>
      </c>
    </row>
    <row r="374" spans="1:28" x14ac:dyDescent="0.2">
      <c r="A374" s="3"/>
      <c r="B374" s="78" t="s">
        <v>93</v>
      </c>
      <c r="C374">
        <f>SUM(C367:C373)</f>
        <v>1362635.1144049345</v>
      </c>
      <c r="D374">
        <f t="shared" ref="D374:AA374" si="453">SUM(D367:D373)</f>
        <v>1728427.1402395247</v>
      </c>
      <c r="E374">
        <f t="shared" si="453"/>
        <v>1180133.907204947</v>
      </c>
      <c r="F374">
        <f t="shared" si="453"/>
        <v>1704990.3138308586</v>
      </c>
      <c r="G374">
        <f t="shared" si="453"/>
        <v>305497.88113621017</v>
      </c>
      <c r="H374">
        <f t="shared" si="453"/>
        <v>0</v>
      </c>
      <c r="I374">
        <f t="shared" si="453"/>
        <v>0</v>
      </c>
      <c r="J374">
        <f t="shared" si="453"/>
        <v>0</v>
      </c>
      <c r="K374" s="248">
        <f t="shared" si="453"/>
        <v>0</v>
      </c>
      <c r="L374" s="3">
        <f t="shared" si="453"/>
        <v>0</v>
      </c>
      <c r="M374">
        <f t="shared" si="453"/>
        <v>0</v>
      </c>
      <c r="N374">
        <f t="shared" si="453"/>
        <v>0</v>
      </c>
      <c r="O374">
        <f t="shared" si="453"/>
        <v>0</v>
      </c>
      <c r="P374" s="387">
        <f t="shared" si="453"/>
        <v>0</v>
      </c>
      <c r="Q374">
        <f t="shared" si="453"/>
        <v>0</v>
      </c>
      <c r="R374">
        <f t="shared" si="453"/>
        <v>0</v>
      </c>
      <c r="S374">
        <f t="shared" si="453"/>
        <v>0</v>
      </c>
      <c r="T374">
        <f t="shared" si="453"/>
        <v>0</v>
      </c>
      <c r="U374">
        <f t="shared" si="453"/>
        <v>0</v>
      </c>
      <c r="V374">
        <f t="shared" si="453"/>
        <v>0</v>
      </c>
      <c r="W374">
        <f t="shared" si="453"/>
        <v>0</v>
      </c>
      <c r="X374">
        <f t="shared" si="453"/>
        <v>0</v>
      </c>
      <c r="Y374">
        <f t="shared" si="453"/>
        <v>0</v>
      </c>
      <c r="Z374">
        <f t="shared" si="453"/>
        <v>0</v>
      </c>
      <c r="AA374">
        <f t="shared" si="453"/>
        <v>810152.45208051801</v>
      </c>
      <c r="AB374">
        <f t="shared" ref="AB374" si="454">SUM(AB367:AB373)</f>
        <v>0</v>
      </c>
    </row>
    <row r="375" spans="1:28" x14ac:dyDescent="0.2">
      <c r="A375" s="3"/>
    </row>
    <row r="376" spans="1:28" x14ac:dyDescent="0.2">
      <c r="A376" s="3"/>
      <c r="B376" s="66" t="s">
        <v>135</v>
      </c>
      <c r="C376" s="140">
        <f>C351-C374</f>
        <v>0</v>
      </c>
      <c r="D376" s="140">
        <f t="shared" ref="D376:AA376" si="455">D351-D374</f>
        <v>17950.541900848737</v>
      </c>
      <c r="E376" s="140">
        <f t="shared" si="455"/>
        <v>0</v>
      </c>
      <c r="F376" s="140">
        <f t="shared" si="455"/>
        <v>329139.46273324825</v>
      </c>
      <c r="G376" s="140">
        <f t="shared" si="455"/>
        <v>0</v>
      </c>
      <c r="H376" s="140">
        <f t="shared" si="455"/>
        <v>0</v>
      </c>
      <c r="I376" s="140">
        <f t="shared" si="455"/>
        <v>0</v>
      </c>
      <c r="J376" s="140">
        <f t="shared" si="455"/>
        <v>0</v>
      </c>
      <c r="K376" s="263">
        <f t="shared" si="455"/>
        <v>0</v>
      </c>
      <c r="L376" s="243">
        <f t="shared" si="455"/>
        <v>0</v>
      </c>
      <c r="M376" s="140">
        <f t="shared" si="455"/>
        <v>0</v>
      </c>
      <c r="N376" s="140">
        <f t="shared" si="455"/>
        <v>0</v>
      </c>
      <c r="O376" s="140">
        <f t="shared" si="455"/>
        <v>0</v>
      </c>
      <c r="P376" s="408">
        <f t="shared" si="455"/>
        <v>0</v>
      </c>
      <c r="Q376" s="140">
        <f t="shared" si="455"/>
        <v>0</v>
      </c>
      <c r="R376" s="140">
        <f t="shared" si="455"/>
        <v>0</v>
      </c>
      <c r="S376" s="140">
        <f t="shared" si="455"/>
        <v>0</v>
      </c>
      <c r="T376" s="140">
        <f t="shared" si="455"/>
        <v>0</v>
      </c>
      <c r="U376" s="140">
        <f t="shared" si="455"/>
        <v>0</v>
      </c>
      <c r="V376" s="140">
        <f t="shared" si="455"/>
        <v>0</v>
      </c>
      <c r="W376" s="140">
        <f t="shared" si="455"/>
        <v>0</v>
      </c>
      <c r="X376" s="140">
        <f t="shared" si="455"/>
        <v>0</v>
      </c>
      <c r="Y376" s="140">
        <f t="shared" si="455"/>
        <v>0</v>
      </c>
      <c r="Z376" s="140">
        <f t="shared" si="455"/>
        <v>0</v>
      </c>
      <c r="AA376" s="140">
        <f t="shared" si="455"/>
        <v>70068547.54514049</v>
      </c>
      <c r="AB376" s="140">
        <f t="shared" ref="AB376" si="456">AB351-AB374</f>
        <v>153647810.07906795</v>
      </c>
    </row>
    <row r="377" spans="1:28" x14ac:dyDescent="0.2">
      <c r="A377" s="3"/>
    </row>
    <row r="378" spans="1:28" x14ac:dyDescent="0.2">
      <c r="A378" s="59"/>
      <c r="B378" s="137" t="s">
        <v>94</v>
      </c>
    </row>
    <row r="379" spans="1:28" x14ac:dyDescent="0.2">
      <c r="A379" s="3">
        <v>1</v>
      </c>
      <c r="B379" t="s">
        <v>41</v>
      </c>
      <c r="C379">
        <f>IF($A379=C$365,-1000000,C354)</f>
        <v>-1000000</v>
      </c>
      <c r="D379">
        <f>IF($A379=D$365,-1000000,D354)</f>
        <v>-1000000</v>
      </c>
      <c r="E379">
        <f t="shared" ref="E379:AA385" si="457">IF($A379=E$365,-1000000,E354)</f>
        <v>-1000000</v>
      </c>
      <c r="F379">
        <f t="shared" si="457"/>
        <v>-1000000</v>
      </c>
      <c r="G379">
        <f t="shared" si="457"/>
        <v>-1000000</v>
      </c>
      <c r="H379">
        <f t="shared" si="457"/>
        <v>-1000000</v>
      </c>
      <c r="I379">
        <f t="shared" si="457"/>
        <v>-1000000</v>
      </c>
      <c r="J379">
        <f t="shared" si="457"/>
        <v>-1000000</v>
      </c>
      <c r="K379" s="248">
        <f t="shared" si="457"/>
        <v>-1000000</v>
      </c>
      <c r="L379" s="3">
        <f t="shared" si="457"/>
        <v>6.5247013622210873E-2</v>
      </c>
      <c r="M379">
        <f t="shared" si="457"/>
        <v>7.2693131305107753E-2</v>
      </c>
      <c r="N379">
        <f t="shared" si="457"/>
        <v>7.8445105350049435E-2</v>
      </c>
      <c r="O379">
        <f t="shared" si="457"/>
        <v>-1000000</v>
      </c>
      <c r="P379" s="387">
        <f t="shared" si="457"/>
        <v>-1000000</v>
      </c>
      <c r="Q379">
        <f t="shared" si="457"/>
        <v>-1000000</v>
      </c>
      <c r="R379">
        <f t="shared" si="457"/>
        <v>-1000000</v>
      </c>
      <c r="S379">
        <f t="shared" si="457"/>
        <v>-1000000</v>
      </c>
      <c r="T379">
        <f t="shared" si="457"/>
        <v>-1000000</v>
      </c>
      <c r="U379">
        <f t="shared" si="457"/>
        <v>-1000000</v>
      </c>
      <c r="V379">
        <f t="shared" si="457"/>
        <v>9.3025184012785297E-2</v>
      </c>
      <c r="W379">
        <f t="shared" si="457"/>
        <v>9.7817173449166836E-2</v>
      </c>
      <c r="X379">
        <f t="shared" si="457"/>
        <v>-1000000</v>
      </c>
      <c r="Y379">
        <f t="shared" si="457"/>
        <v>-1000000</v>
      </c>
      <c r="Z379">
        <f t="shared" si="457"/>
        <v>-1000000</v>
      </c>
      <c r="AA379">
        <f t="shared" si="457"/>
        <v>-1000000</v>
      </c>
      <c r="AB379">
        <f t="shared" ref="AB379" si="458">IF($A379=AB$365,-1000000,AB354)</f>
        <v>-1000000</v>
      </c>
    </row>
    <row r="380" spans="1:28" x14ac:dyDescent="0.2">
      <c r="A380" s="3">
        <v>2</v>
      </c>
      <c r="B380" t="s">
        <v>3</v>
      </c>
      <c r="C380">
        <f t="shared" ref="C380:C385" si="459">IF(A380=C$365,-1000000,C355)</f>
        <v>-1000000</v>
      </c>
      <c r="D380">
        <f t="shared" ref="D380:S380" si="460">IF($A380=D$365,-1000000,D355)</f>
        <v>-1000000</v>
      </c>
      <c r="E380">
        <f t="shared" si="460"/>
        <v>-1000000</v>
      </c>
      <c r="F380">
        <f t="shared" si="460"/>
        <v>-1000000</v>
      </c>
      <c r="G380">
        <f t="shared" si="460"/>
        <v>-1000000</v>
      </c>
      <c r="H380">
        <f t="shared" si="460"/>
        <v>-1000000</v>
      </c>
      <c r="I380">
        <f t="shared" si="460"/>
        <v>-1000000</v>
      </c>
      <c r="J380">
        <f t="shared" si="460"/>
        <v>-1000000</v>
      </c>
      <c r="K380" s="248">
        <f t="shared" si="460"/>
        <v>-1000000</v>
      </c>
      <c r="L380" s="3">
        <f t="shared" si="460"/>
        <v>-1000000</v>
      </c>
      <c r="M380">
        <f t="shared" si="460"/>
        <v>-1000000</v>
      </c>
      <c r="N380">
        <f t="shared" si="460"/>
        <v>-1000000</v>
      </c>
      <c r="O380">
        <f t="shared" si="460"/>
        <v>-1000000</v>
      </c>
      <c r="P380" s="387">
        <f t="shared" si="460"/>
        <v>6.4799896016057179E-2</v>
      </c>
      <c r="Q380">
        <f t="shared" si="460"/>
        <v>8.9348162585566701E-2</v>
      </c>
      <c r="R380">
        <f t="shared" si="460"/>
        <v>-1000000</v>
      </c>
      <c r="S380">
        <f t="shared" si="460"/>
        <v>9.7110648571767003E-2</v>
      </c>
      <c r="T380">
        <f t="shared" si="457"/>
        <v>0.10050239705922208</v>
      </c>
      <c r="U380">
        <f t="shared" si="457"/>
        <v>8.8987068487399679E-2</v>
      </c>
      <c r="V380">
        <f t="shared" si="457"/>
        <v>-1000000</v>
      </c>
      <c r="W380">
        <f t="shared" si="457"/>
        <v>-1000000</v>
      </c>
      <c r="X380">
        <f t="shared" si="457"/>
        <v>5.0963437826310305E-2</v>
      </c>
      <c r="Y380">
        <f t="shared" si="457"/>
        <v>0</v>
      </c>
      <c r="Z380">
        <f t="shared" si="457"/>
        <v>0</v>
      </c>
      <c r="AA380">
        <f t="shared" si="457"/>
        <v>0</v>
      </c>
      <c r="AB380">
        <f t="shared" ref="AB380" si="461">IF($A380=AB$365,-1000000,AB355)</f>
        <v>-1000000</v>
      </c>
    </row>
    <row r="381" spans="1:28" x14ac:dyDescent="0.2">
      <c r="A381" s="3">
        <v>3</v>
      </c>
      <c r="B381" t="s">
        <v>29</v>
      </c>
      <c r="C381">
        <f t="shared" si="459"/>
        <v>-1000000</v>
      </c>
      <c r="D381">
        <f>IF($A381=D$365,-1000000,D356)</f>
        <v>-1000000</v>
      </c>
      <c r="E381">
        <f t="shared" si="457"/>
        <v>-1000000</v>
      </c>
      <c r="F381">
        <f t="shared" si="457"/>
        <v>-1000000</v>
      </c>
      <c r="G381">
        <f t="shared" si="457"/>
        <v>-1000000</v>
      </c>
      <c r="H381">
        <f t="shared" si="457"/>
        <v>-1000000</v>
      </c>
      <c r="I381">
        <f t="shared" si="457"/>
        <v>-1000000</v>
      </c>
      <c r="J381">
        <f t="shared" si="457"/>
        <v>-1000000</v>
      </c>
      <c r="K381" s="248">
        <f t="shared" si="457"/>
        <v>-1000000</v>
      </c>
      <c r="L381" s="3">
        <f t="shared" si="457"/>
        <v>-1000000</v>
      </c>
      <c r="M381">
        <f t="shared" si="457"/>
        <v>-1000000</v>
      </c>
      <c r="N381">
        <f t="shared" si="457"/>
        <v>-1000000</v>
      </c>
      <c r="O381">
        <f t="shared" si="457"/>
        <v>-1000000</v>
      </c>
      <c r="P381" s="387">
        <f t="shared" si="457"/>
        <v>-1000000</v>
      </c>
      <c r="Q381">
        <f t="shared" si="457"/>
        <v>-1000000</v>
      </c>
      <c r="R381">
        <f t="shared" si="457"/>
        <v>-1000000</v>
      </c>
      <c r="S381">
        <f t="shared" si="457"/>
        <v>-1000000</v>
      </c>
      <c r="T381">
        <f t="shared" si="457"/>
        <v>-1000000</v>
      </c>
      <c r="U381">
        <f t="shared" si="457"/>
        <v>-1000000</v>
      </c>
      <c r="V381">
        <f t="shared" si="457"/>
        <v>-1000000</v>
      </c>
      <c r="W381">
        <f t="shared" si="457"/>
        <v>-1000000</v>
      </c>
      <c r="X381">
        <f t="shared" si="457"/>
        <v>-1000000</v>
      </c>
      <c r="Y381">
        <f t="shared" si="457"/>
        <v>-1000000</v>
      </c>
      <c r="Z381">
        <f t="shared" si="457"/>
        <v>-1000000</v>
      </c>
      <c r="AA381">
        <f t="shared" si="457"/>
        <v>-1000000</v>
      </c>
      <c r="AB381">
        <f t="shared" ref="AB381" si="462">IF($A381=AB$365,-1000000,AB356)</f>
        <v>-1000000</v>
      </c>
    </row>
    <row r="382" spans="1:28" x14ac:dyDescent="0.2">
      <c r="A382" s="3">
        <v>4</v>
      </c>
      <c r="B382" t="s">
        <v>5</v>
      </c>
      <c r="C382">
        <f t="shared" si="459"/>
        <v>-1000000</v>
      </c>
      <c r="D382">
        <f>IF($A382=D$365,-1000000,D357)</f>
        <v>-1000000</v>
      </c>
      <c r="E382">
        <f t="shared" si="457"/>
        <v>-1000000</v>
      </c>
      <c r="F382">
        <f t="shared" si="457"/>
        <v>-1000000</v>
      </c>
      <c r="G382">
        <f t="shared" si="457"/>
        <v>-1000000</v>
      </c>
      <c r="H382">
        <f t="shared" si="457"/>
        <v>-1000000</v>
      </c>
      <c r="I382">
        <f t="shared" si="457"/>
        <v>-1000000</v>
      </c>
      <c r="J382">
        <f t="shared" si="457"/>
        <v>-1000000</v>
      </c>
      <c r="K382" s="248">
        <f t="shared" si="457"/>
        <v>-1000000</v>
      </c>
      <c r="L382" s="3">
        <f t="shared" si="457"/>
        <v>-1000000</v>
      </c>
      <c r="M382">
        <f t="shared" si="457"/>
        <v>-1000000</v>
      </c>
      <c r="N382">
        <f t="shared" si="457"/>
        <v>-1000000</v>
      </c>
      <c r="O382">
        <f t="shared" si="457"/>
        <v>-1000000</v>
      </c>
      <c r="P382" s="387">
        <f t="shared" si="457"/>
        <v>-1000000</v>
      </c>
      <c r="Q382">
        <f t="shared" si="457"/>
        <v>-1000000</v>
      </c>
      <c r="R382">
        <f t="shared" si="457"/>
        <v>0.1128219733439188</v>
      </c>
      <c r="S382">
        <f t="shared" si="457"/>
        <v>-1000000</v>
      </c>
      <c r="T382">
        <f t="shared" si="457"/>
        <v>-1000000</v>
      </c>
      <c r="U382">
        <f t="shared" si="457"/>
        <v>-1000000</v>
      </c>
      <c r="V382">
        <f t="shared" si="457"/>
        <v>-1000000</v>
      </c>
      <c r="W382">
        <f t="shared" si="457"/>
        <v>-1000000</v>
      </c>
      <c r="X382">
        <f t="shared" si="457"/>
        <v>-1000000</v>
      </c>
      <c r="Y382">
        <f t="shared" si="457"/>
        <v>-1000000</v>
      </c>
      <c r="Z382">
        <f t="shared" si="457"/>
        <v>-1000000</v>
      </c>
      <c r="AA382">
        <f t="shared" si="457"/>
        <v>-1000000</v>
      </c>
      <c r="AB382">
        <f t="shared" ref="AB382" si="463">IF($A382=AB$365,-1000000,AB357)</f>
        <v>-1000000</v>
      </c>
    </row>
    <row r="383" spans="1:28" x14ac:dyDescent="0.2">
      <c r="A383" s="3">
        <v>5</v>
      </c>
      <c r="B383" t="s">
        <v>6</v>
      </c>
      <c r="C383">
        <f t="shared" si="459"/>
        <v>-1000000</v>
      </c>
      <c r="D383">
        <f>IF($A383=D$365,-1000000,D358)</f>
        <v>-1000000</v>
      </c>
      <c r="E383">
        <f t="shared" si="457"/>
        <v>-1000000</v>
      </c>
      <c r="F383">
        <f t="shared" si="457"/>
        <v>-1000000</v>
      </c>
      <c r="G383">
        <f t="shared" si="457"/>
        <v>-1000000</v>
      </c>
      <c r="H383">
        <f t="shared" si="457"/>
        <v>-1000000</v>
      </c>
      <c r="I383">
        <f t="shared" si="457"/>
        <v>-1000000</v>
      </c>
      <c r="J383">
        <f t="shared" si="457"/>
        <v>-1000000</v>
      </c>
      <c r="K383" s="248">
        <f t="shared" si="457"/>
        <v>-1000000</v>
      </c>
      <c r="L383" s="3">
        <f t="shared" si="457"/>
        <v>-1000000</v>
      </c>
      <c r="M383">
        <f t="shared" si="457"/>
        <v>-1000000</v>
      </c>
      <c r="N383">
        <f t="shared" si="457"/>
        <v>-1000000</v>
      </c>
      <c r="O383">
        <f t="shared" si="457"/>
        <v>2.0557795135038821E-2</v>
      </c>
      <c r="P383" s="387">
        <f t="shared" si="457"/>
        <v>-1000000</v>
      </c>
      <c r="Q383">
        <f t="shared" si="457"/>
        <v>-1000000</v>
      </c>
      <c r="R383">
        <f t="shared" si="457"/>
        <v>-1000000</v>
      </c>
      <c r="S383">
        <f t="shared" si="457"/>
        <v>-1000000</v>
      </c>
      <c r="T383">
        <f t="shared" si="457"/>
        <v>-1000000</v>
      </c>
      <c r="U383">
        <f t="shared" si="457"/>
        <v>-1000000</v>
      </c>
      <c r="V383">
        <f t="shared" si="457"/>
        <v>-1000000</v>
      </c>
      <c r="W383">
        <f t="shared" si="457"/>
        <v>-1000000</v>
      </c>
      <c r="X383">
        <f t="shared" si="457"/>
        <v>-1000000</v>
      </c>
      <c r="Y383">
        <f t="shared" si="457"/>
        <v>-1000000</v>
      </c>
      <c r="Z383">
        <f t="shared" si="457"/>
        <v>-1000000</v>
      </c>
      <c r="AA383">
        <f t="shared" si="457"/>
        <v>-1000000</v>
      </c>
      <c r="AB383">
        <f t="shared" ref="AB383" si="464">IF($A383=AB$365,-1000000,AB358)</f>
        <v>-1000000</v>
      </c>
    </row>
    <row r="384" spans="1:28" x14ac:dyDescent="0.2">
      <c r="A384" s="3">
        <v>6</v>
      </c>
      <c r="B384" t="s">
        <v>1</v>
      </c>
      <c r="C384">
        <f t="shared" si="459"/>
        <v>-1000000</v>
      </c>
      <c r="D384">
        <f>IF($A384=D$365,-1000000,D359)</f>
        <v>-1000000</v>
      </c>
      <c r="E384">
        <f t="shared" si="457"/>
        <v>-1000000</v>
      </c>
      <c r="F384">
        <f t="shared" si="457"/>
        <v>-1000000</v>
      </c>
      <c r="G384">
        <f t="shared" si="457"/>
        <v>-1000000</v>
      </c>
      <c r="H384">
        <f t="shared" si="457"/>
        <v>-1000000</v>
      </c>
      <c r="I384">
        <f t="shared" si="457"/>
        <v>-1000000</v>
      </c>
      <c r="J384">
        <f t="shared" si="457"/>
        <v>-1000000</v>
      </c>
      <c r="K384" s="248">
        <f t="shared" si="457"/>
        <v>-1000000</v>
      </c>
      <c r="L384" s="3">
        <f t="shared" si="457"/>
        <v>-1000000</v>
      </c>
      <c r="M384">
        <f t="shared" si="457"/>
        <v>-1000000</v>
      </c>
      <c r="N384">
        <f t="shared" si="457"/>
        <v>-1000000</v>
      </c>
      <c r="O384">
        <f t="shared" si="457"/>
        <v>-1000000</v>
      </c>
      <c r="P384" s="387">
        <f t="shared" si="457"/>
        <v>-1000000</v>
      </c>
      <c r="Q384">
        <f t="shared" si="457"/>
        <v>-1000000</v>
      </c>
      <c r="R384">
        <f t="shared" si="457"/>
        <v>-1000000</v>
      </c>
      <c r="S384">
        <f t="shared" si="457"/>
        <v>-1000000</v>
      </c>
      <c r="T384">
        <f t="shared" si="457"/>
        <v>-1000000</v>
      </c>
      <c r="U384">
        <f t="shared" si="457"/>
        <v>-1000000</v>
      </c>
      <c r="V384">
        <f t="shared" si="457"/>
        <v>-1000000</v>
      </c>
      <c r="W384">
        <f t="shared" si="457"/>
        <v>-1000000</v>
      </c>
      <c r="X384">
        <f t="shared" si="457"/>
        <v>-1000000</v>
      </c>
      <c r="Y384">
        <f t="shared" si="457"/>
        <v>-1000000</v>
      </c>
      <c r="Z384">
        <f t="shared" si="457"/>
        <v>-1000000</v>
      </c>
      <c r="AA384">
        <f t="shared" si="457"/>
        <v>-1000000</v>
      </c>
      <c r="AB384">
        <f t="shared" ref="AB384" si="465">IF($A384=AB$365,-1000000,AB359)</f>
        <v>-1000000</v>
      </c>
    </row>
    <row r="385" spans="1:28" x14ac:dyDescent="0.2">
      <c r="A385" s="3">
        <v>7</v>
      </c>
      <c r="B385" t="s">
        <v>2</v>
      </c>
      <c r="C385">
        <f t="shared" si="459"/>
        <v>-1000000</v>
      </c>
      <c r="D385">
        <f>IF($A385=D$365,-1000000,D360)</f>
        <v>-1000000</v>
      </c>
      <c r="E385">
        <f t="shared" si="457"/>
        <v>-1000000</v>
      </c>
      <c r="F385">
        <f t="shared" si="457"/>
        <v>-1000000</v>
      </c>
      <c r="G385">
        <f t="shared" si="457"/>
        <v>-1000000</v>
      </c>
      <c r="H385">
        <f t="shared" si="457"/>
        <v>-1000000</v>
      </c>
      <c r="I385">
        <f t="shared" si="457"/>
        <v>-1000000</v>
      </c>
      <c r="J385">
        <f t="shared" si="457"/>
        <v>-1000000</v>
      </c>
      <c r="K385" s="248">
        <f t="shared" si="457"/>
        <v>-1000000</v>
      </c>
      <c r="L385" s="3">
        <f t="shared" si="457"/>
        <v>-1000000</v>
      </c>
      <c r="M385">
        <f t="shared" si="457"/>
        <v>-1000000</v>
      </c>
      <c r="N385">
        <f t="shared" si="457"/>
        <v>-1000000</v>
      </c>
      <c r="O385">
        <f t="shared" si="457"/>
        <v>-1000000</v>
      </c>
      <c r="P385" s="387">
        <f t="shared" si="457"/>
        <v>-1000000</v>
      </c>
      <c r="Q385">
        <f t="shared" si="457"/>
        <v>-1000000</v>
      </c>
      <c r="R385">
        <f t="shared" si="457"/>
        <v>-1000000</v>
      </c>
      <c r="S385">
        <f t="shared" si="457"/>
        <v>-1000000</v>
      </c>
      <c r="T385">
        <f t="shared" si="457"/>
        <v>-1000000</v>
      </c>
      <c r="U385">
        <f t="shared" si="457"/>
        <v>-1000000</v>
      </c>
      <c r="V385">
        <f t="shared" si="457"/>
        <v>-1000000</v>
      </c>
      <c r="W385">
        <f t="shared" si="457"/>
        <v>-1000000</v>
      </c>
      <c r="X385">
        <f t="shared" si="457"/>
        <v>-1000000</v>
      </c>
      <c r="Y385">
        <f t="shared" si="457"/>
        <v>-1000000</v>
      </c>
      <c r="Z385">
        <f t="shared" si="457"/>
        <v>-1000000</v>
      </c>
      <c r="AA385">
        <f t="shared" si="457"/>
        <v>-1000000</v>
      </c>
      <c r="AB385">
        <f t="shared" ref="AB385" si="466">IF($A385=AB$365,-1000000,AB360)</f>
        <v>0</v>
      </c>
    </row>
    <row r="386" spans="1:28" x14ac:dyDescent="0.2">
      <c r="A386" s="3"/>
    </row>
    <row r="387" spans="1:28" x14ac:dyDescent="0.2">
      <c r="A387" s="3"/>
    </row>
    <row r="388" spans="1:28" x14ac:dyDescent="0.2">
      <c r="A388" s="3"/>
      <c r="B388" s="25" t="s">
        <v>126</v>
      </c>
    </row>
    <row r="389" spans="1:28" x14ac:dyDescent="0.2">
      <c r="A389" s="3"/>
    </row>
    <row r="390" spans="1:28" x14ac:dyDescent="0.2">
      <c r="A390" s="3">
        <v>1</v>
      </c>
      <c r="B390" t="s">
        <v>41</v>
      </c>
      <c r="C390" s="38">
        <f t="shared" ref="C390:AA390" si="467">C132+C190+C217+C242+C267+C292+C317+C342+C367</f>
        <v>3795511.0110069443</v>
      </c>
      <c r="D390" s="38">
        <f t="shared" si="467"/>
        <v>5417247.0515563767</v>
      </c>
      <c r="E390" s="38">
        <f t="shared" si="467"/>
        <v>10611382.693950184</v>
      </c>
      <c r="F390" s="38">
        <f t="shared" si="467"/>
        <v>11083299.749379866</v>
      </c>
      <c r="G390" s="38">
        <f t="shared" si="467"/>
        <v>12749413.263477594</v>
      </c>
      <c r="H390" s="38">
        <f t="shared" si="467"/>
        <v>13452807.694590047</v>
      </c>
      <c r="I390" s="38">
        <f t="shared" si="467"/>
        <v>15836272.585404661</v>
      </c>
      <c r="J390" s="38">
        <f t="shared" si="467"/>
        <v>16746952.061172429</v>
      </c>
      <c r="K390" s="251">
        <f t="shared" si="467"/>
        <v>13316518.872092167</v>
      </c>
      <c r="L390" s="38">
        <f t="shared" si="467"/>
        <v>19399410.676570769</v>
      </c>
      <c r="M390" s="38">
        <f t="shared" si="467"/>
        <v>24101001.257419858</v>
      </c>
      <c r="N390" s="38">
        <f t="shared" si="467"/>
        <v>29362984.770244796</v>
      </c>
      <c r="O390" s="38">
        <f t="shared" si="467"/>
        <v>50601745.66865284</v>
      </c>
      <c r="P390" s="390">
        <f t="shared" si="467"/>
        <v>80449105.75886777</v>
      </c>
      <c r="Q390" s="38">
        <f t="shared" si="467"/>
        <v>100816902.36087699</v>
      </c>
      <c r="R390" s="38">
        <f t="shared" si="467"/>
        <v>94587777.735274851</v>
      </c>
      <c r="S390" s="38">
        <f t="shared" si="467"/>
        <v>85732191.773585513</v>
      </c>
      <c r="T390" s="38">
        <f t="shared" si="467"/>
        <v>79782224.407523751</v>
      </c>
      <c r="U390" s="38">
        <f t="shared" si="467"/>
        <v>83707279.620392889</v>
      </c>
      <c r="V390" s="38">
        <f t="shared" si="467"/>
        <v>92709579.740288064</v>
      </c>
      <c r="W390" s="38">
        <f t="shared" si="467"/>
        <v>128420489.56021073</v>
      </c>
      <c r="X390" s="38">
        <f t="shared" si="467"/>
        <v>170163299.67225733</v>
      </c>
      <c r="Y390" s="38">
        <f t="shared" si="467"/>
        <v>233062573.65821055</v>
      </c>
      <c r="Z390" s="38">
        <f t="shared" si="467"/>
        <v>273125259.28146887</v>
      </c>
      <c r="AA390" s="38">
        <f t="shared" si="467"/>
        <v>201835030.59999019</v>
      </c>
      <c r="AB390" s="38">
        <f t="shared" ref="AB390" si="468">AB132+AB190+AB217+AB242+AB267+AB292+AB317+AB342+AB367</f>
        <v>162442784.81811324</v>
      </c>
    </row>
    <row r="391" spans="1:28" x14ac:dyDescent="0.2">
      <c r="A391" s="3">
        <v>2</v>
      </c>
      <c r="B391" t="s">
        <v>3</v>
      </c>
      <c r="C391" s="38">
        <f t="shared" ref="C391:AA391" si="469">C133+C191+C218+C243+C268+C293+C318+C343+C368</f>
        <v>1288839.5351664044</v>
      </c>
      <c r="D391" s="38">
        <f t="shared" si="469"/>
        <v>1250991.0311774418</v>
      </c>
      <c r="E391" s="38">
        <f t="shared" si="469"/>
        <v>1494779.3317419994</v>
      </c>
      <c r="F391" s="38">
        <f t="shared" si="469"/>
        <v>1568530.0110806148</v>
      </c>
      <c r="G391" s="38">
        <f t="shared" si="469"/>
        <v>1341926.595382957</v>
      </c>
      <c r="H391" s="38">
        <f t="shared" si="469"/>
        <v>1894117.6109438688</v>
      </c>
      <c r="I391" s="38">
        <f t="shared" si="469"/>
        <v>2877735.9053538591</v>
      </c>
      <c r="J391" s="38">
        <f t="shared" si="469"/>
        <v>4023184.3690139214</v>
      </c>
      <c r="K391" s="251">
        <f t="shared" si="469"/>
        <v>2128628.6499141837</v>
      </c>
      <c r="L391" s="38">
        <f t="shared" si="469"/>
        <v>2349346.0060044434</v>
      </c>
      <c r="M391" s="38">
        <f t="shared" si="469"/>
        <v>2422349.372413788</v>
      </c>
      <c r="N391" s="38">
        <f t="shared" si="469"/>
        <v>2574106.3475176878</v>
      </c>
      <c r="O391" s="38">
        <f t="shared" si="469"/>
        <v>1720371.9956528491</v>
      </c>
      <c r="P391" s="390">
        <f t="shared" si="469"/>
        <v>4185095.2465231065</v>
      </c>
      <c r="Q391" s="38">
        <f t="shared" si="469"/>
        <v>6552457.5111424811</v>
      </c>
      <c r="R391" s="38">
        <f t="shared" si="469"/>
        <v>6682218.0461163148</v>
      </c>
      <c r="S391" s="38">
        <f t="shared" si="469"/>
        <v>6185720.8074484523</v>
      </c>
      <c r="T391" s="38">
        <f t="shared" si="469"/>
        <v>5966219.4684098931</v>
      </c>
      <c r="U391" s="38">
        <f t="shared" si="469"/>
        <v>6859908.8451419929</v>
      </c>
      <c r="V391" s="38">
        <f t="shared" si="469"/>
        <v>9085759.7649514042</v>
      </c>
      <c r="W391" s="38">
        <f t="shared" si="469"/>
        <v>9457925.3181519061</v>
      </c>
      <c r="X391" s="38">
        <f t="shared" si="469"/>
        <v>8950607.7269526459</v>
      </c>
      <c r="Y391" s="38">
        <f t="shared" si="469"/>
        <v>8333785.3809474828</v>
      </c>
      <c r="Z391" s="38">
        <f t="shared" si="469"/>
        <v>9990930.4491681866</v>
      </c>
      <c r="AA391" s="38">
        <f t="shared" si="469"/>
        <v>13109781.580403723</v>
      </c>
      <c r="AB391" s="38">
        <f t="shared" ref="AB391" si="470">AB133+AB191+AB218+AB243+AB268+AB293+AB318+AB343+AB368</f>
        <v>14918909.813265011</v>
      </c>
    </row>
    <row r="392" spans="1:28" x14ac:dyDescent="0.2">
      <c r="A392" s="3">
        <v>3</v>
      </c>
      <c r="B392" t="s">
        <v>29</v>
      </c>
      <c r="C392" s="38">
        <f t="shared" ref="C392:AA392" si="471">C134+C192+C219+C244+C269+C294+C319+C344+C369</f>
        <v>4583194.1837012637</v>
      </c>
      <c r="D392" s="38">
        <f t="shared" si="471"/>
        <v>4916347.0509984726</v>
      </c>
      <c r="E392" s="38">
        <f t="shared" si="471"/>
        <v>4429899.9471870391</v>
      </c>
      <c r="F392" s="38">
        <f t="shared" si="471"/>
        <v>4890895.1595348399</v>
      </c>
      <c r="G392" s="38">
        <f t="shared" si="471"/>
        <v>5981495.2540557934</v>
      </c>
      <c r="H392" s="38">
        <f t="shared" si="471"/>
        <v>3798486.7115560388</v>
      </c>
      <c r="I392" s="38">
        <f t="shared" si="471"/>
        <v>7473873.8385049179</v>
      </c>
      <c r="J392" s="38">
        <f t="shared" si="471"/>
        <v>9251517.1727041155</v>
      </c>
      <c r="K392" s="251">
        <f t="shared" si="471"/>
        <v>6891521.5014991956</v>
      </c>
      <c r="L392" s="38">
        <f t="shared" si="471"/>
        <v>5504340.699216241</v>
      </c>
      <c r="M392" s="38">
        <f t="shared" si="471"/>
        <v>5023767.0180227747</v>
      </c>
      <c r="N392" s="38">
        <f t="shared" si="471"/>
        <v>5026536.8664690936</v>
      </c>
      <c r="O392" s="38">
        <f t="shared" si="471"/>
        <v>8974599.621336529</v>
      </c>
      <c r="P392" s="390">
        <f t="shared" si="471"/>
        <v>15594820.443048965</v>
      </c>
      <c r="Q392" s="38">
        <f t="shared" si="471"/>
        <v>21778502.617236767</v>
      </c>
      <c r="R392" s="38">
        <f t="shared" si="471"/>
        <v>24016315.408287946</v>
      </c>
      <c r="S392" s="38">
        <f t="shared" si="471"/>
        <v>22943051.586395182</v>
      </c>
      <c r="T392" s="38">
        <f t="shared" si="471"/>
        <v>22831505.956459511</v>
      </c>
      <c r="U392" s="38">
        <f t="shared" si="471"/>
        <v>25807564.308808681</v>
      </c>
      <c r="V392" s="38">
        <f t="shared" si="471"/>
        <v>30173115.726572242</v>
      </c>
      <c r="W392" s="38">
        <f t="shared" si="471"/>
        <v>35812168.452390924</v>
      </c>
      <c r="X392" s="38">
        <f t="shared" si="471"/>
        <v>45861931.337946162</v>
      </c>
      <c r="Y392" s="38">
        <f t="shared" si="471"/>
        <v>60762739.826365784</v>
      </c>
      <c r="Z392" s="38">
        <f t="shared" si="471"/>
        <v>72048161.38501659</v>
      </c>
      <c r="AA392" s="38">
        <f t="shared" si="471"/>
        <v>92464137.922325939</v>
      </c>
      <c r="AB392" s="38">
        <f t="shared" ref="AB392" si="472">AB134+AB192+AB219+AB244+AB269+AB294+AB319+AB344+AB369</f>
        <v>96640344.032305151</v>
      </c>
    </row>
    <row r="393" spans="1:28" x14ac:dyDescent="0.2">
      <c r="A393" s="3">
        <v>4</v>
      </c>
      <c r="B393" t="s">
        <v>5</v>
      </c>
      <c r="C393" s="38">
        <f t="shared" ref="C393:AA393" si="473">C135+C193+C220+C245+C270+C295+C320+C345+C370</f>
        <v>4925245.8909640554</v>
      </c>
      <c r="D393" s="38">
        <f t="shared" si="473"/>
        <v>5773917.3595162351</v>
      </c>
      <c r="E393" s="38">
        <f t="shared" si="473"/>
        <v>4522118.5965826483</v>
      </c>
      <c r="F393" s="38">
        <f t="shared" si="473"/>
        <v>3297976.3126407918</v>
      </c>
      <c r="G393" s="38">
        <f t="shared" si="473"/>
        <v>2764529.6543291681</v>
      </c>
      <c r="H393" s="38">
        <f t="shared" si="473"/>
        <v>4282716.2780101858</v>
      </c>
      <c r="I393" s="38">
        <f t="shared" si="473"/>
        <v>4663966.9269936327</v>
      </c>
      <c r="J393" s="38">
        <f t="shared" si="473"/>
        <v>5069720.2458410319</v>
      </c>
      <c r="K393" s="251">
        <f t="shared" si="473"/>
        <v>4924987.4434593674</v>
      </c>
      <c r="L393" s="38">
        <f t="shared" si="473"/>
        <v>2839849.4762969986</v>
      </c>
      <c r="M393" s="38">
        <f t="shared" si="473"/>
        <v>5764711.5628643995</v>
      </c>
      <c r="N393" s="38">
        <f t="shared" si="473"/>
        <v>3143711.0097981319</v>
      </c>
      <c r="O393" s="38">
        <f t="shared" si="473"/>
        <v>5496048.3185084388</v>
      </c>
      <c r="P393" s="390">
        <f t="shared" si="473"/>
        <v>9850416.64366116</v>
      </c>
      <c r="Q393" s="38">
        <f t="shared" si="473"/>
        <v>21414181.879164167</v>
      </c>
      <c r="R393" s="38">
        <f t="shared" si="473"/>
        <v>9757657.752802575</v>
      </c>
      <c r="S393" s="38">
        <f t="shared" si="473"/>
        <v>22436670.404232591</v>
      </c>
      <c r="T393" s="38">
        <f t="shared" si="473"/>
        <v>11808929.965925392</v>
      </c>
      <c r="U393" s="38">
        <f t="shared" si="473"/>
        <v>25971513.622647982</v>
      </c>
      <c r="V393" s="38">
        <f t="shared" si="473"/>
        <v>18349441.463191111</v>
      </c>
      <c r="W393" s="38">
        <f t="shared" si="473"/>
        <v>38770757.853671931</v>
      </c>
      <c r="X393" s="38">
        <f t="shared" si="473"/>
        <v>38462034.519062057</v>
      </c>
      <c r="Y393" s="38">
        <f t="shared" si="473"/>
        <v>42014692.121227235</v>
      </c>
      <c r="Z393" s="38">
        <f t="shared" si="473"/>
        <v>46773330.122895658</v>
      </c>
      <c r="AA393" s="38">
        <f t="shared" si="473"/>
        <v>51220032.843525723</v>
      </c>
      <c r="AB393" s="38">
        <f t="shared" ref="AB393" si="474">AB135+AB193+AB220+AB245+AB270+AB295+AB320+AB345+AB370</f>
        <v>50797718.127789758</v>
      </c>
    </row>
    <row r="394" spans="1:28" x14ac:dyDescent="0.2">
      <c r="A394" s="3">
        <v>5</v>
      </c>
      <c r="B394" t="s">
        <v>6</v>
      </c>
      <c r="C394" s="38">
        <f t="shared" ref="C394:AA394" si="475">C136+C194+C221+C246+C271+C296+C321+C346+C371</f>
        <v>574603.22479839134</v>
      </c>
      <c r="D394" s="38">
        <f t="shared" si="475"/>
        <v>665951.89994323289</v>
      </c>
      <c r="E394" s="38">
        <f t="shared" si="475"/>
        <v>1115614.0852721655</v>
      </c>
      <c r="F394" s="38">
        <f t="shared" si="475"/>
        <v>1016014.8057644205</v>
      </c>
      <c r="G394" s="38">
        <f t="shared" si="475"/>
        <v>1236012.7006464787</v>
      </c>
      <c r="H394" s="38">
        <f t="shared" si="475"/>
        <v>1053876.2984400198</v>
      </c>
      <c r="I394" s="38">
        <f t="shared" si="475"/>
        <v>498487.09926287329</v>
      </c>
      <c r="J394" s="38">
        <f t="shared" si="475"/>
        <v>847388.96530123113</v>
      </c>
      <c r="K394" s="251">
        <f t="shared" si="475"/>
        <v>1680589.8253701727</v>
      </c>
      <c r="L394" s="38">
        <f t="shared" si="475"/>
        <v>1582926.2482178602</v>
      </c>
      <c r="M394" s="38">
        <f t="shared" si="475"/>
        <v>1614447.8813818307</v>
      </c>
      <c r="N394" s="38">
        <f t="shared" si="475"/>
        <v>1745333.7612143049</v>
      </c>
      <c r="O394" s="38">
        <f t="shared" si="475"/>
        <v>888013.18318906392</v>
      </c>
      <c r="P394" s="390">
        <f t="shared" si="475"/>
        <v>3314631.5603243844</v>
      </c>
      <c r="Q394" s="38">
        <f t="shared" si="475"/>
        <v>5580097.234898366</v>
      </c>
      <c r="R394" s="38">
        <f t="shared" si="475"/>
        <v>5759805.3829957321</v>
      </c>
      <c r="S394" s="38">
        <f t="shared" si="475"/>
        <v>5977515.1098709749</v>
      </c>
      <c r="T394" s="38">
        <f t="shared" si="475"/>
        <v>6078621.3614988588</v>
      </c>
      <c r="U394" s="38">
        <f t="shared" si="475"/>
        <v>7077432.3565155957</v>
      </c>
      <c r="V394" s="38">
        <f t="shared" si="475"/>
        <v>8317867.1864482053</v>
      </c>
      <c r="W394" s="38">
        <f t="shared" si="475"/>
        <v>11257391.897297807</v>
      </c>
      <c r="X394" s="38">
        <f t="shared" si="475"/>
        <v>11534373.301728364</v>
      </c>
      <c r="Y394" s="38">
        <f t="shared" si="475"/>
        <v>12283474.42063245</v>
      </c>
      <c r="Z394" s="38">
        <f t="shared" si="475"/>
        <v>13853000.477685474</v>
      </c>
      <c r="AA394" s="38">
        <f t="shared" si="475"/>
        <v>15023234.266798314</v>
      </c>
      <c r="AB394" s="38">
        <f t="shared" ref="AB394" si="476">AB136+AB194+AB221+AB246+AB271+AB296+AB321+AB346+AB371</f>
        <v>13947576.656121988</v>
      </c>
    </row>
    <row r="395" spans="1:28" x14ac:dyDescent="0.2">
      <c r="A395" s="3">
        <v>6</v>
      </c>
      <c r="B395" t="s">
        <v>1</v>
      </c>
      <c r="C395" s="38">
        <f t="shared" ref="C395:AA395" si="477">C137+C195+C222+C247+C272+C297+C322+C347+C372</f>
        <v>797020.97228832357</v>
      </c>
      <c r="D395" s="38">
        <f t="shared" si="477"/>
        <v>839316.2560224327</v>
      </c>
      <c r="E395" s="38">
        <f t="shared" si="477"/>
        <v>688264.16027791693</v>
      </c>
      <c r="F395" s="38">
        <f t="shared" si="477"/>
        <v>1057097.8860185638</v>
      </c>
      <c r="G395" s="38">
        <f t="shared" si="477"/>
        <v>1913578.8176636163</v>
      </c>
      <c r="H395" s="38">
        <f t="shared" si="477"/>
        <v>2396610.6298858309</v>
      </c>
      <c r="I395" s="38">
        <f t="shared" si="477"/>
        <v>3825015.8179782867</v>
      </c>
      <c r="J395" s="38">
        <f t="shared" si="477"/>
        <v>3244355.473147125</v>
      </c>
      <c r="K395" s="251">
        <f t="shared" si="477"/>
        <v>2572220.0287392484</v>
      </c>
      <c r="L395" s="38">
        <f t="shared" si="477"/>
        <v>5466740.6932338178</v>
      </c>
      <c r="M395" s="38">
        <f t="shared" si="477"/>
        <v>2961259.3240895416</v>
      </c>
      <c r="N395" s="38">
        <f t="shared" si="477"/>
        <v>6767802.6747014737</v>
      </c>
      <c r="O395" s="38">
        <f t="shared" si="477"/>
        <v>6697447.1317138122</v>
      </c>
      <c r="P395" s="390">
        <f t="shared" si="477"/>
        <v>20425445.955832466</v>
      </c>
      <c r="Q395" s="38">
        <f t="shared" si="477"/>
        <v>9740014.4033309706</v>
      </c>
      <c r="R395" s="38">
        <f t="shared" si="477"/>
        <v>22054210.391489666</v>
      </c>
      <c r="S395" s="38">
        <f t="shared" si="477"/>
        <v>7693504.6961549632</v>
      </c>
      <c r="T395" s="38">
        <f t="shared" si="477"/>
        <v>12721805.844992228</v>
      </c>
      <c r="U395" s="38">
        <f t="shared" si="477"/>
        <v>14440313.810109571</v>
      </c>
      <c r="V395" s="38">
        <f t="shared" si="477"/>
        <v>30994796.188275538</v>
      </c>
      <c r="W395" s="38">
        <f t="shared" si="477"/>
        <v>15341066.178464603</v>
      </c>
      <c r="X395" s="38">
        <f t="shared" si="477"/>
        <v>33994745.959044665</v>
      </c>
      <c r="Y395" s="38">
        <f t="shared" si="477"/>
        <v>28527272.891146854</v>
      </c>
      <c r="Z395" s="38">
        <f t="shared" si="477"/>
        <v>32691711.589387026</v>
      </c>
      <c r="AA395" s="38">
        <f t="shared" si="477"/>
        <v>35115439.968914539</v>
      </c>
      <c r="AB395" s="38">
        <f t="shared" ref="AB395" si="478">AB137+AB195+AB222+AB247+AB272+AB297+AB322+AB347+AB372</f>
        <v>28000204.0132588</v>
      </c>
    </row>
    <row r="396" spans="1:28" x14ac:dyDescent="0.2">
      <c r="A396" s="3">
        <v>7</v>
      </c>
      <c r="B396" t="s">
        <v>2</v>
      </c>
      <c r="C396" s="38">
        <f t="shared" ref="C396:AA396" si="479">C138+C196+C223+C248+C273+C298+C323+C348+C373</f>
        <v>744824.11411461851</v>
      </c>
      <c r="D396" s="38">
        <f t="shared" si="479"/>
        <v>493260.57102495816</v>
      </c>
      <c r="E396" s="38">
        <f t="shared" si="479"/>
        <v>666958.56297804613</v>
      </c>
      <c r="F396" s="38">
        <f t="shared" si="479"/>
        <v>1637433.2507276598</v>
      </c>
      <c r="G396" s="38">
        <f t="shared" si="479"/>
        <v>1988813.3246143914</v>
      </c>
      <c r="H396" s="38">
        <f t="shared" si="479"/>
        <v>2182181.0703440076</v>
      </c>
      <c r="I396" s="38">
        <f t="shared" si="479"/>
        <v>2589020.2470617685</v>
      </c>
      <c r="J396" s="38">
        <f t="shared" si="479"/>
        <v>2985164.0200901544</v>
      </c>
      <c r="K396" s="251">
        <f t="shared" si="479"/>
        <v>2067819.3283768748</v>
      </c>
      <c r="L396" s="38">
        <f t="shared" si="479"/>
        <v>2501082.2709913501</v>
      </c>
      <c r="M396" s="38">
        <f t="shared" si="479"/>
        <v>2865253.9789785771</v>
      </c>
      <c r="N396" s="38">
        <f t="shared" si="479"/>
        <v>3362477.277484884</v>
      </c>
      <c r="O396" s="38">
        <f t="shared" si="479"/>
        <v>11859288.278140089</v>
      </c>
      <c r="P396" s="390">
        <f t="shared" si="479"/>
        <v>7453481.0572565962</v>
      </c>
      <c r="Q396" s="38">
        <f t="shared" si="479"/>
        <v>14021665.160875048</v>
      </c>
      <c r="R396" s="38">
        <f t="shared" si="479"/>
        <v>7796300.4041056652</v>
      </c>
      <c r="S396" s="38">
        <f t="shared" si="479"/>
        <v>9036273.0139865465</v>
      </c>
      <c r="T396" s="38">
        <f t="shared" si="479"/>
        <v>17108054.905421235</v>
      </c>
      <c r="U396" s="38">
        <f t="shared" si="479"/>
        <v>6027416.5098405387</v>
      </c>
      <c r="V396" s="38">
        <f t="shared" si="479"/>
        <v>11020415.303219466</v>
      </c>
      <c r="W396" s="38">
        <f t="shared" si="479"/>
        <v>19446969.119643845</v>
      </c>
      <c r="X396" s="38">
        <f t="shared" si="479"/>
        <v>20560859.62911851</v>
      </c>
      <c r="Y396" s="38">
        <f t="shared" si="479"/>
        <v>17831299.827342793</v>
      </c>
      <c r="Z396" s="38">
        <f t="shared" si="479"/>
        <v>21034753.210486412</v>
      </c>
      <c r="AA396" s="38">
        <f t="shared" si="479"/>
        <v>22260169.254703943</v>
      </c>
      <c r="AB396" s="38">
        <f t="shared" ref="AB396" si="480">AB138+AB196+AB223+AB248+AB273+AB298+AB323+AB348+AB373</f>
        <v>14402255.700086694</v>
      </c>
    </row>
    <row r="397" spans="1:28" x14ac:dyDescent="0.2">
      <c r="A397" s="3"/>
      <c r="C397" s="38">
        <f>SUM(C390:C396)</f>
        <v>16709238.93204</v>
      </c>
      <c r="D397" s="38">
        <f t="shared" ref="D397:AA397" si="481">SUM(D390:D396)</f>
        <v>19357031.220239148</v>
      </c>
      <c r="E397" s="38">
        <f t="shared" si="481"/>
        <v>23529017.377990004</v>
      </c>
      <c r="F397" s="38">
        <f t="shared" si="481"/>
        <v>24551247.175146762</v>
      </c>
      <c r="G397" s="38">
        <f t="shared" si="481"/>
        <v>27975769.610169999</v>
      </c>
      <c r="H397" s="38">
        <f t="shared" si="481"/>
        <v>29060796.29377</v>
      </c>
      <c r="I397" s="38">
        <f t="shared" si="481"/>
        <v>37764372.420560002</v>
      </c>
      <c r="J397" s="38">
        <f t="shared" si="481"/>
        <v>42168282.307270005</v>
      </c>
      <c r="K397" s="251">
        <f>SUM(K390:K396)</f>
        <v>33582285.649451211</v>
      </c>
      <c r="L397" s="38">
        <f>SUM(L390:L396)</f>
        <v>39643696.070531473</v>
      </c>
      <c r="M397" s="38">
        <f t="shared" si="481"/>
        <v>44752790.395170771</v>
      </c>
      <c r="N397" s="38">
        <f t="shared" si="481"/>
        <v>51982952.707430378</v>
      </c>
      <c r="O397" s="38">
        <f t="shared" si="481"/>
        <v>86237514.197193608</v>
      </c>
      <c r="P397" s="390">
        <f t="shared" si="481"/>
        <v>141272996.66551447</v>
      </c>
      <c r="Q397" s="38">
        <f t="shared" si="481"/>
        <v>179903821.16752478</v>
      </c>
      <c r="R397" s="38">
        <f t="shared" si="481"/>
        <v>170654285.12107274</v>
      </c>
      <c r="S397" s="38">
        <f t="shared" si="481"/>
        <v>160004927.39167422</v>
      </c>
      <c r="T397" s="38">
        <f t="shared" si="481"/>
        <v>156297361.91023088</v>
      </c>
      <c r="U397" s="38">
        <f t="shared" si="481"/>
        <v>169891429.07345724</v>
      </c>
      <c r="V397" s="38">
        <f t="shared" si="481"/>
        <v>200650975.37294605</v>
      </c>
      <c r="W397" s="38">
        <f t="shared" si="481"/>
        <v>258506768.37983173</v>
      </c>
      <c r="X397" s="38">
        <f t="shared" si="481"/>
        <v>329527852.14610976</v>
      </c>
      <c r="Y397" s="38">
        <f t="shared" si="481"/>
        <v>402815838.12587315</v>
      </c>
      <c r="Z397" s="38">
        <f t="shared" si="481"/>
        <v>469517146.51610816</v>
      </c>
      <c r="AA397" s="38">
        <f t="shared" si="481"/>
        <v>431027826.43666238</v>
      </c>
      <c r="AB397" s="38">
        <f t="shared" ref="AB397" si="482">SUM(AB390:AB396)</f>
        <v>381149793.16094065</v>
      </c>
    </row>
    <row r="398" spans="1:28" x14ac:dyDescent="0.2">
      <c r="A398" s="3"/>
    </row>
    <row r="399" spans="1:28" x14ac:dyDescent="0.2">
      <c r="A399" s="3"/>
      <c r="B399" s="66" t="s">
        <v>127</v>
      </c>
    </row>
    <row r="400" spans="1:28" ht="13.5" thickBot="1" x14ac:dyDescent="0.25">
      <c r="A400" s="3"/>
      <c r="B400" s="147" t="s">
        <v>164</v>
      </c>
    </row>
    <row r="401" spans="1:28" x14ac:dyDescent="0.2">
      <c r="A401" s="3">
        <v>1</v>
      </c>
      <c r="B401" t="s">
        <v>41</v>
      </c>
      <c r="C401" s="193">
        <f t="shared" ref="C401:AA401" si="483">C390/C111</f>
        <v>1</v>
      </c>
      <c r="D401" s="194">
        <f t="shared" si="483"/>
        <v>1</v>
      </c>
      <c r="E401" s="194">
        <f t="shared" si="483"/>
        <v>1</v>
      </c>
      <c r="F401" s="194">
        <f t="shared" si="483"/>
        <v>1</v>
      </c>
      <c r="G401" s="194">
        <f t="shared" si="483"/>
        <v>1</v>
      </c>
      <c r="H401" s="194">
        <f t="shared" si="483"/>
        <v>1</v>
      </c>
      <c r="I401" s="194">
        <f t="shared" si="483"/>
        <v>0.78061197558053952</v>
      </c>
      <c r="J401" s="194">
        <f t="shared" si="483"/>
        <v>0.97056642294281892</v>
      </c>
      <c r="K401" s="265">
        <f t="shared" si="483"/>
        <v>0.31841693073104438</v>
      </c>
      <c r="L401" s="244">
        <f t="shared" si="483"/>
        <v>0.22155249889091516</v>
      </c>
      <c r="M401" s="194">
        <f t="shared" si="483"/>
        <v>0.16530193964856291</v>
      </c>
      <c r="N401" s="194">
        <f t="shared" si="483"/>
        <v>0.13340905334628089</v>
      </c>
      <c r="O401" s="194">
        <f t="shared" si="483"/>
        <v>0.20419079361513714</v>
      </c>
      <c r="P401" s="409">
        <f t="shared" si="483"/>
        <v>0.30332220327984261</v>
      </c>
      <c r="Q401" s="194">
        <f t="shared" si="483"/>
        <v>0.38214523550025103</v>
      </c>
      <c r="R401" s="194">
        <f t="shared" si="483"/>
        <v>0.37048691901822367</v>
      </c>
      <c r="S401" s="194">
        <f t="shared" si="483"/>
        <v>0.35584221294907931</v>
      </c>
      <c r="T401" s="194">
        <f t="shared" si="483"/>
        <v>0.33814684683015317</v>
      </c>
      <c r="U401" s="194">
        <f t="shared" si="483"/>
        <v>0.36365087383724509</v>
      </c>
      <c r="V401" s="194">
        <f t="shared" si="483"/>
        <v>0.41376794142621109</v>
      </c>
      <c r="W401" s="194">
        <f t="shared" si="483"/>
        <v>0.47032331027560503</v>
      </c>
      <c r="X401" s="194">
        <f t="shared" si="483"/>
        <v>0.57513999859392628</v>
      </c>
      <c r="Y401" s="194">
        <f t="shared" si="483"/>
        <v>0.77642592616063599</v>
      </c>
      <c r="Z401" s="194">
        <f t="shared" si="483"/>
        <v>0.94135465849381195</v>
      </c>
      <c r="AA401" s="194">
        <f t="shared" si="483"/>
        <v>1</v>
      </c>
      <c r="AB401" s="194">
        <f t="shared" ref="AB401" si="484">AB390/AB111</f>
        <v>1</v>
      </c>
    </row>
    <row r="402" spans="1:28" x14ac:dyDescent="0.2">
      <c r="A402" s="3">
        <v>2</v>
      </c>
      <c r="B402" t="s">
        <v>3</v>
      </c>
      <c r="C402" s="195">
        <f t="shared" ref="C402:AA402" si="485">C391/C112</f>
        <v>1</v>
      </c>
      <c r="D402" s="196">
        <f t="shared" si="485"/>
        <v>1</v>
      </c>
      <c r="E402" s="196">
        <f t="shared" si="485"/>
        <v>1</v>
      </c>
      <c r="F402" s="196">
        <f t="shared" si="485"/>
        <v>1</v>
      </c>
      <c r="G402" s="196">
        <f t="shared" si="485"/>
        <v>1</v>
      </c>
      <c r="H402" s="196">
        <f t="shared" si="485"/>
        <v>1</v>
      </c>
      <c r="I402" s="196">
        <f t="shared" si="485"/>
        <v>1</v>
      </c>
      <c r="J402" s="196">
        <f t="shared" si="485"/>
        <v>1</v>
      </c>
      <c r="K402" s="266">
        <f t="shared" si="485"/>
        <v>0.37455414473973653</v>
      </c>
      <c r="L402" s="174">
        <f t="shared" si="485"/>
        <v>0.3044439420365902</v>
      </c>
      <c r="M402" s="196">
        <f t="shared" si="485"/>
        <v>0.24272064866600446</v>
      </c>
      <c r="N402" s="196">
        <f t="shared" si="485"/>
        <v>0.20488703375738071</v>
      </c>
      <c r="O402" s="196">
        <f t="shared" si="485"/>
        <v>0.24283765581064978</v>
      </c>
      <c r="P402" s="410">
        <f t="shared" si="485"/>
        <v>0.42592498072655838</v>
      </c>
      <c r="Q402" s="196">
        <f t="shared" si="485"/>
        <v>0.56724898020245917</v>
      </c>
      <c r="R402" s="196">
        <f t="shared" si="485"/>
        <v>0.61370587657920894</v>
      </c>
      <c r="S402" s="196">
        <f t="shared" si="485"/>
        <v>0.5318275880810297</v>
      </c>
      <c r="T402" s="196">
        <f t="shared" si="485"/>
        <v>0.51994534220686872</v>
      </c>
      <c r="U402" s="196">
        <f t="shared" si="485"/>
        <v>0.51042444673179377</v>
      </c>
      <c r="V402" s="196">
        <f t="shared" si="485"/>
        <v>0.58225626559941512</v>
      </c>
      <c r="W402" s="196">
        <f t="shared" si="485"/>
        <v>0.82365487963024364</v>
      </c>
      <c r="X402" s="196">
        <f t="shared" si="485"/>
        <v>0.73164226558442902</v>
      </c>
      <c r="Y402" s="196">
        <f t="shared" si="485"/>
        <v>0.64947122440401484</v>
      </c>
      <c r="Z402" s="196">
        <f t="shared" si="485"/>
        <v>0.74335692508461793</v>
      </c>
      <c r="AA402" s="196">
        <f t="shared" si="485"/>
        <v>0.92785492844275197</v>
      </c>
      <c r="AB402" s="196">
        <f t="shared" ref="AB402" si="486">AB391/AB112</f>
        <v>1</v>
      </c>
    </row>
    <row r="403" spans="1:28" x14ac:dyDescent="0.2">
      <c r="A403" s="3">
        <v>3</v>
      </c>
      <c r="B403" t="s">
        <v>29</v>
      </c>
      <c r="C403" s="195">
        <f t="shared" ref="C403:AA403" si="487">C392/C113</f>
        <v>1</v>
      </c>
      <c r="D403" s="196">
        <f t="shared" si="487"/>
        <v>1</v>
      </c>
      <c r="E403" s="196">
        <f t="shared" si="487"/>
        <v>1</v>
      </c>
      <c r="F403" s="196">
        <f t="shared" si="487"/>
        <v>1</v>
      </c>
      <c r="G403" s="196">
        <f t="shared" si="487"/>
        <v>1</v>
      </c>
      <c r="H403" s="196">
        <f t="shared" si="487"/>
        <v>0.65471563765971785</v>
      </c>
      <c r="I403" s="196">
        <f t="shared" si="487"/>
        <v>0.43672498617893662</v>
      </c>
      <c r="J403" s="196">
        <f t="shared" si="487"/>
        <v>0.52233259587435266</v>
      </c>
      <c r="K403" s="266">
        <f t="shared" si="487"/>
        <v>0.3503822631122554</v>
      </c>
      <c r="L403" s="174">
        <f t="shared" si="487"/>
        <v>0.24153359683742587</v>
      </c>
      <c r="M403" s="196">
        <f t="shared" si="487"/>
        <v>0.18381211892483618</v>
      </c>
      <c r="N403" s="196">
        <f t="shared" si="487"/>
        <v>0.15163660039887211</v>
      </c>
      <c r="O403" s="196">
        <f t="shared" si="487"/>
        <v>0.23610499583962674</v>
      </c>
      <c r="P403" s="410">
        <f t="shared" si="487"/>
        <v>0.35290180211278943</v>
      </c>
      <c r="Q403" s="196">
        <f t="shared" si="487"/>
        <v>0.44499251974292253</v>
      </c>
      <c r="R403" s="196">
        <f t="shared" si="487"/>
        <v>0.45685052309762458</v>
      </c>
      <c r="S403" s="196">
        <f t="shared" si="487"/>
        <v>0.40651905125413867</v>
      </c>
      <c r="T403" s="196">
        <f t="shared" si="487"/>
        <v>0.37955391514652365</v>
      </c>
      <c r="U403" s="196">
        <f t="shared" si="487"/>
        <v>0.40349636584054482</v>
      </c>
      <c r="V403" s="196">
        <f t="shared" si="487"/>
        <v>0.44998870659805212</v>
      </c>
      <c r="W403" s="196">
        <f t="shared" si="487"/>
        <v>0.50782813975171759</v>
      </c>
      <c r="X403" s="196">
        <f t="shared" si="487"/>
        <v>0.59442072787063283</v>
      </c>
      <c r="Y403" s="196">
        <f t="shared" si="487"/>
        <v>0.73638432294870748</v>
      </c>
      <c r="Z403" s="196">
        <f t="shared" si="487"/>
        <v>0.82472564076467647</v>
      </c>
      <c r="AA403" s="196">
        <f t="shared" si="487"/>
        <v>1</v>
      </c>
      <c r="AB403" s="196">
        <f t="shared" ref="AB403" si="488">AB392/AB113</f>
        <v>1</v>
      </c>
    </row>
    <row r="404" spans="1:28" x14ac:dyDescent="0.2">
      <c r="A404" s="3">
        <v>4</v>
      </c>
      <c r="B404" t="s">
        <v>5</v>
      </c>
      <c r="C404" s="195">
        <f t="shared" ref="C404:AA404" si="489">C393/C114</f>
        <v>0.99702894101373529</v>
      </c>
      <c r="D404" s="196">
        <f t="shared" si="489"/>
        <v>1</v>
      </c>
      <c r="E404" s="196">
        <f t="shared" si="489"/>
        <v>0.93462120740167198</v>
      </c>
      <c r="F404" s="196">
        <f t="shared" si="489"/>
        <v>1</v>
      </c>
      <c r="G404" s="196">
        <f t="shared" si="489"/>
        <v>0.7541974006246025</v>
      </c>
      <c r="H404" s="196">
        <f t="shared" si="489"/>
        <v>1</v>
      </c>
      <c r="I404" s="196">
        <f t="shared" si="489"/>
        <v>1</v>
      </c>
      <c r="J404" s="196">
        <f t="shared" si="489"/>
        <v>1</v>
      </c>
      <c r="K404" s="266">
        <f t="shared" si="489"/>
        <v>0.77885296051305886</v>
      </c>
      <c r="L404" s="174">
        <f t="shared" si="489"/>
        <v>0.34622227264811567</v>
      </c>
      <c r="M404" s="196">
        <f t="shared" si="489"/>
        <v>0.52598547428283915</v>
      </c>
      <c r="N404" s="196">
        <f t="shared" si="489"/>
        <v>0.22781301382584973</v>
      </c>
      <c r="O404" s="196">
        <f t="shared" si="489"/>
        <v>0.36493748942711046</v>
      </c>
      <c r="P404" s="410">
        <f t="shared" si="489"/>
        <v>0.52997077852253616</v>
      </c>
      <c r="Q404" s="196">
        <f t="shared" si="489"/>
        <v>1</v>
      </c>
      <c r="R404" s="196">
        <f t="shared" si="489"/>
        <v>0.49678881124251417</v>
      </c>
      <c r="S404" s="196">
        <f t="shared" si="489"/>
        <v>0.9402306580317662</v>
      </c>
      <c r="T404" s="196">
        <f t="shared" si="489"/>
        <v>0.46294063432736038</v>
      </c>
      <c r="U404" s="196">
        <f t="shared" si="489"/>
        <v>0.86153906057838237</v>
      </c>
      <c r="V404" s="196">
        <f t="shared" si="489"/>
        <v>0.5573388590640056</v>
      </c>
      <c r="W404" s="196">
        <f t="shared" si="489"/>
        <v>1</v>
      </c>
      <c r="X404" s="196">
        <f t="shared" si="489"/>
        <v>1</v>
      </c>
      <c r="Y404" s="196">
        <f t="shared" si="489"/>
        <v>1</v>
      </c>
      <c r="Z404" s="196">
        <f t="shared" si="489"/>
        <v>1</v>
      </c>
      <c r="AA404" s="196">
        <f t="shared" si="489"/>
        <v>1</v>
      </c>
      <c r="AB404" s="196">
        <f t="shared" ref="AB404" si="490">AB393/AB114</f>
        <v>1</v>
      </c>
    </row>
    <row r="405" spans="1:28" x14ac:dyDescent="0.2">
      <c r="A405" s="3">
        <v>5</v>
      </c>
      <c r="B405" t="s">
        <v>6</v>
      </c>
      <c r="C405" s="195">
        <f t="shared" ref="C405:AA405" si="491">C394/C115</f>
        <v>1</v>
      </c>
      <c r="D405" s="196">
        <f t="shared" si="491"/>
        <v>1</v>
      </c>
      <c r="E405" s="196">
        <f t="shared" si="491"/>
        <v>1</v>
      </c>
      <c r="F405" s="196">
        <f t="shared" si="491"/>
        <v>1</v>
      </c>
      <c r="G405" s="196">
        <f t="shared" si="491"/>
        <v>1</v>
      </c>
      <c r="H405" s="196">
        <f t="shared" si="491"/>
        <v>0.993604018106506</v>
      </c>
      <c r="I405" s="196">
        <f t="shared" si="491"/>
        <v>0.43149882523070282</v>
      </c>
      <c r="J405" s="196">
        <f t="shared" si="491"/>
        <v>0.63526193747457593</v>
      </c>
      <c r="K405" s="266">
        <f t="shared" si="491"/>
        <v>0.68758686855657158</v>
      </c>
      <c r="L405" s="174">
        <f t="shared" si="491"/>
        <v>0.5095344883677595</v>
      </c>
      <c r="M405" s="196">
        <f t="shared" si="491"/>
        <v>0.40102550860462943</v>
      </c>
      <c r="N405" s="196">
        <f t="shared" si="491"/>
        <v>0.33613286474795651</v>
      </c>
      <c r="O405" s="196">
        <f t="shared" si="491"/>
        <v>0.27449794753140555</v>
      </c>
      <c r="P405" s="410">
        <f t="shared" si="491"/>
        <v>0.65372478711834892</v>
      </c>
      <c r="Q405" s="196">
        <f t="shared" si="491"/>
        <v>0.88622022510228993</v>
      </c>
      <c r="R405" s="196">
        <f t="shared" si="491"/>
        <v>0.87167484342140955</v>
      </c>
      <c r="S405" s="196">
        <f t="shared" si="491"/>
        <v>0.80958412505054289</v>
      </c>
      <c r="T405" s="196">
        <f t="shared" si="491"/>
        <v>0.74153307496934928</v>
      </c>
      <c r="U405" s="196">
        <f t="shared" si="491"/>
        <v>0.77725827805093117</v>
      </c>
      <c r="V405" s="196">
        <f t="shared" si="491"/>
        <v>0.82889567685004528</v>
      </c>
      <c r="W405" s="196">
        <f t="shared" si="491"/>
        <v>0.97708884066501911</v>
      </c>
      <c r="X405" s="196">
        <f t="shared" si="491"/>
        <v>1</v>
      </c>
      <c r="Y405" s="196">
        <f t="shared" si="491"/>
        <v>1</v>
      </c>
      <c r="Z405" s="196">
        <f t="shared" si="491"/>
        <v>1</v>
      </c>
      <c r="AA405" s="196">
        <f t="shared" si="491"/>
        <v>1</v>
      </c>
      <c r="AB405" s="196">
        <f t="shared" ref="AB405" si="492">AB394/AB115</f>
        <v>1</v>
      </c>
    </row>
    <row r="406" spans="1:28" x14ac:dyDescent="0.2">
      <c r="A406" s="3">
        <v>6</v>
      </c>
      <c r="B406" t="s">
        <v>1</v>
      </c>
      <c r="C406" s="195">
        <f t="shared" ref="C406:AA406" si="493">C395/C116</f>
        <v>1</v>
      </c>
      <c r="D406" s="196">
        <f t="shared" si="493"/>
        <v>1</v>
      </c>
      <c r="E406" s="196">
        <f t="shared" si="493"/>
        <v>1</v>
      </c>
      <c r="F406" s="196">
        <f t="shared" si="493"/>
        <v>1</v>
      </c>
      <c r="G406" s="196">
        <f t="shared" si="493"/>
        <v>1</v>
      </c>
      <c r="H406" s="196">
        <f t="shared" si="493"/>
        <v>1</v>
      </c>
      <c r="I406" s="196">
        <f t="shared" si="493"/>
        <v>1</v>
      </c>
      <c r="J406" s="196">
        <f t="shared" si="493"/>
        <v>0.99999999999999989</v>
      </c>
      <c r="K406" s="266">
        <f t="shared" si="493"/>
        <v>0.44352223162051768</v>
      </c>
      <c r="L406" s="174">
        <f t="shared" si="493"/>
        <v>0.58735405815985553</v>
      </c>
      <c r="M406" s="196">
        <f t="shared" si="493"/>
        <v>0.2495109842124478</v>
      </c>
      <c r="N406" s="196">
        <f t="shared" si="493"/>
        <v>0.38468557595717412</v>
      </c>
      <c r="O406" s="196">
        <f t="shared" si="493"/>
        <v>0.34482342332714522</v>
      </c>
      <c r="P406" s="410">
        <f t="shared" si="493"/>
        <v>0.83173333715398656</v>
      </c>
      <c r="Q406" s="196">
        <f t="shared" si="493"/>
        <v>0.55767223867460991</v>
      </c>
      <c r="R406" s="196">
        <f t="shared" si="493"/>
        <v>1</v>
      </c>
      <c r="S406" s="196">
        <f t="shared" si="493"/>
        <v>0.48864962571392723</v>
      </c>
      <c r="T406" s="196">
        <f t="shared" si="493"/>
        <v>0.56563182288332559</v>
      </c>
      <c r="U406" s="196">
        <f t="shared" si="493"/>
        <v>0.53135189243723191</v>
      </c>
      <c r="V406" s="196">
        <f t="shared" si="493"/>
        <v>0.96968196635504411</v>
      </c>
      <c r="W406" s="196">
        <f t="shared" si="493"/>
        <v>0.6195364572871731</v>
      </c>
      <c r="X406" s="196">
        <f t="shared" si="493"/>
        <v>1</v>
      </c>
      <c r="Y406" s="196">
        <f t="shared" si="493"/>
        <v>1</v>
      </c>
      <c r="Z406" s="196">
        <f t="shared" si="493"/>
        <v>1</v>
      </c>
      <c r="AA406" s="196">
        <f t="shared" si="493"/>
        <v>1</v>
      </c>
      <c r="AB406" s="196">
        <f t="shared" ref="AB406" si="494">AB395/AB116</f>
        <v>1</v>
      </c>
    </row>
    <row r="407" spans="1:28" ht="13.5" thickBot="1" x14ac:dyDescent="0.25">
      <c r="A407" s="3">
        <v>7</v>
      </c>
      <c r="B407" t="s">
        <v>2</v>
      </c>
      <c r="C407" s="197">
        <f t="shared" ref="C407:AA407" si="495">C396/C117</f>
        <v>1</v>
      </c>
      <c r="D407" s="198">
        <f t="shared" si="495"/>
        <v>1.0000000000000002</v>
      </c>
      <c r="E407" s="198">
        <f t="shared" si="495"/>
        <v>1</v>
      </c>
      <c r="F407" s="198">
        <f t="shared" si="495"/>
        <v>1</v>
      </c>
      <c r="G407" s="198">
        <f t="shared" si="495"/>
        <v>1</v>
      </c>
      <c r="H407" s="198">
        <f t="shared" si="495"/>
        <v>1</v>
      </c>
      <c r="I407" s="198">
        <f t="shared" si="495"/>
        <v>1</v>
      </c>
      <c r="J407" s="198">
        <f t="shared" si="495"/>
        <v>1</v>
      </c>
      <c r="K407" s="267">
        <f t="shared" si="495"/>
        <v>0.47632974590283228</v>
      </c>
      <c r="L407" s="245">
        <f t="shared" si="495"/>
        <v>0.34794792150788789</v>
      </c>
      <c r="M407" s="198">
        <f t="shared" si="495"/>
        <v>0.26544964036688456</v>
      </c>
      <c r="N407" s="198">
        <f t="shared" si="495"/>
        <v>0.21683567789030506</v>
      </c>
      <c r="O407" s="198">
        <f t="shared" si="495"/>
        <v>0.65162077475228075</v>
      </c>
      <c r="P407" s="411">
        <f t="shared" si="495"/>
        <v>0.49628523034390776</v>
      </c>
      <c r="Q407" s="198">
        <f t="shared" si="495"/>
        <v>0.82710895554026242</v>
      </c>
      <c r="R407" s="198">
        <f t="shared" si="495"/>
        <v>0.61705216945697317</v>
      </c>
      <c r="S407" s="198">
        <f t="shared" si="495"/>
        <v>0.59233512329440263</v>
      </c>
      <c r="T407" s="198">
        <f t="shared" si="495"/>
        <v>1</v>
      </c>
      <c r="U407" s="198">
        <f t="shared" si="495"/>
        <v>0.54417307260870174</v>
      </c>
      <c r="V407" s="198">
        <f t="shared" si="495"/>
        <v>0.62759707975400891</v>
      </c>
      <c r="W407" s="198">
        <f t="shared" si="495"/>
        <v>0.88118126056554913</v>
      </c>
      <c r="X407" s="198">
        <f t="shared" si="495"/>
        <v>1.0576592854826301</v>
      </c>
      <c r="Y407" s="198">
        <f t="shared" si="495"/>
        <v>1</v>
      </c>
      <c r="Z407" s="198">
        <f t="shared" si="495"/>
        <v>1</v>
      </c>
      <c r="AA407" s="198">
        <f t="shared" si="495"/>
        <v>1</v>
      </c>
      <c r="AB407" s="198">
        <f t="shared" ref="AB407" si="496">AB396/AB117</f>
        <v>1</v>
      </c>
    </row>
    <row r="408" spans="1:28" x14ac:dyDescent="0.2">
      <c r="A408" s="3"/>
    </row>
    <row r="409" spans="1:28" x14ac:dyDescent="0.2">
      <c r="A409" s="3"/>
    </row>
    <row r="410" spans="1:28" x14ac:dyDescent="0.2">
      <c r="A410" s="3"/>
    </row>
    <row r="411" spans="1:28" s="58" customFormat="1" x14ac:dyDescent="0.2">
      <c r="A411" s="58" t="s">
        <v>134</v>
      </c>
      <c r="K411" s="248"/>
      <c r="L411" s="3"/>
      <c r="P411" s="387"/>
    </row>
    <row r="412" spans="1:28" x14ac:dyDescent="0.2">
      <c r="A412" s="3"/>
    </row>
    <row r="413" spans="1:28" x14ac:dyDescent="0.2">
      <c r="A413" s="3"/>
    </row>
    <row r="414" spans="1:28" x14ac:dyDescent="0.2">
      <c r="A414" s="25" t="s">
        <v>71</v>
      </c>
    </row>
    <row r="415" spans="1:28" s="25" customFormat="1" x14ac:dyDescent="0.2">
      <c r="B415" s="79"/>
      <c r="C415" s="25">
        <v>2006</v>
      </c>
      <c r="D415" s="25">
        <v>2007</v>
      </c>
      <c r="E415" s="25">
        <v>2008</v>
      </c>
      <c r="F415" s="25">
        <v>2009</v>
      </c>
      <c r="G415" s="25">
        <v>2010</v>
      </c>
      <c r="H415" s="25">
        <v>2011</v>
      </c>
      <c r="I415" s="25">
        <v>2012</v>
      </c>
      <c r="J415" s="25">
        <v>2013</v>
      </c>
      <c r="K415" s="249">
        <v>2014</v>
      </c>
      <c r="L415" s="84">
        <v>2015</v>
      </c>
      <c r="M415" s="25">
        <v>2016</v>
      </c>
      <c r="N415" s="25">
        <v>2017</v>
      </c>
      <c r="O415" s="25">
        <v>2018</v>
      </c>
      <c r="P415" s="388">
        <v>2019</v>
      </c>
      <c r="Q415" s="25">
        <v>2020</v>
      </c>
      <c r="R415" s="25">
        <v>2021</v>
      </c>
      <c r="S415" s="25">
        <v>2022</v>
      </c>
      <c r="T415" s="25">
        <v>2023</v>
      </c>
      <c r="U415" s="25">
        <v>2024</v>
      </c>
      <c r="V415" s="25">
        <v>2025</v>
      </c>
      <c r="W415" s="25">
        <v>2026</v>
      </c>
      <c r="X415" s="25">
        <v>2027</v>
      </c>
      <c r="Y415" s="25">
        <v>2028</v>
      </c>
      <c r="Z415" s="25">
        <v>2029</v>
      </c>
      <c r="AA415" s="25">
        <v>2030</v>
      </c>
      <c r="AB415" s="25">
        <v>2031</v>
      </c>
    </row>
    <row r="416" spans="1:28" x14ac:dyDescent="0.2">
      <c r="B416" s="25"/>
      <c r="C416">
        <v>1</v>
      </c>
      <c r="D416">
        <v>2</v>
      </c>
      <c r="E416">
        <v>3</v>
      </c>
      <c r="F416">
        <v>4</v>
      </c>
      <c r="G416">
        <v>5</v>
      </c>
      <c r="H416">
        <v>6</v>
      </c>
      <c r="I416">
        <v>7</v>
      </c>
      <c r="J416">
        <v>8</v>
      </c>
      <c r="K416" s="248">
        <v>9</v>
      </c>
      <c r="L416" s="3">
        <v>10</v>
      </c>
      <c r="M416" s="3">
        <v>11</v>
      </c>
      <c r="N416" s="3">
        <v>12</v>
      </c>
      <c r="O416" s="3">
        <v>13</v>
      </c>
      <c r="P416" s="387">
        <v>14</v>
      </c>
      <c r="Q416" s="3">
        <v>15</v>
      </c>
      <c r="R416" s="3">
        <v>16</v>
      </c>
      <c r="S416" s="3">
        <v>17</v>
      </c>
      <c r="T416" s="3">
        <v>18</v>
      </c>
      <c r="U416" s="3">
        <v>19</v>
      </c>
      <c r="V416" s="3">
        <v>20</v>
      </c>
      <c r="W416" s="3">
        <v>21</v>
      </c>
      <c r="X416" s="3">
        <v>22</v>
      </c>
      <c r="Y416" s="3">
        <v>23</v>
      </c>
      <c r="Z416" s="3">
        <v>24</v>
      </c>
      <c r="AA416" s="3">
        <v>25</v>
      </c>
      <c r="AB416" s="3">
        <v>26</v>
      </c>
    </row>
    <row r="417" spans="1:28" x14ac:dyDescent="0.2">
      <c r="A417" s="3">
        <v>1</v>
      </c>
      <c r="B417" t="s">
        <v>41</v>
      </c>
      <c r="C417" s="76">
        <f>C390+'Лист2_прогнозные цены'!F8</f>
        <v>6850763.2005293593</v>
      </c>
      <c r="D417" s="76">
        <f>D390+'Лист2_прогнозные цены'!G8</f>
        <v>9100211.2452470921</v>
      </c>
      <c r="E417" s="76">
        <f>E390+'Лист2_прогнозные цены'!H8</f>
        <v>14854268.868782043</v>
      </c>
      <c r="F417" s="76">
        <f>F390+'Лист2_прогнозные цены'!I8</f>
        <v>16336585.587833609</v>
      </c>
      <c r="G417" s="76">
        <f>G390+'Лист2_прогнозные цены'!J8</f>
        <v>18710534.779834237</v>
      </c>
      <c r="H417" s="76">
        <f>H390+'Лист2_прогнозные цены'!K8</f>
        <v>20258005.345961556</v>
      </c>
      <c r="I417" s="76">
        <f>I390+'Лист2_прогнозные цены'!L8</f>
        <v>23461245.396985345</v>
      </c>
      <c r="J417" s="76">
        <f>J390+'Лист2_прогнозные цены'!M8</f>
        <v>25092370.202466238</v>
      </c>
      <c r="K417" s="251">
        <f>K390+'Лист2_прогнозные цены'!N8</f>
        <v>22661888.901406288</v>
      </c>
      <c r="L417" s="76">
        <f>L390+'Лист2_прогнозные цены'!O8</f>
        <v>30150238.952556476</v>
      </c>
      <c r="M417" s="76">
        <f>M390+'Лист2_прогнозные цены'!P8</f>
        <v>36608561.98640874</v>
      </c>
      <c r="N417" s="76">
        <f>N390+'Лист2_прогнозные цены'!Q8</f>
        <v>43962014.639611125</v>
      </c>
      <c r="O417" s="76">
        <f>O390+'Лист2_прогнозные цены'!R8</f>
        <v>67199137.367990911</v>
      </c>
      <c r="P417" s="390">
        <f>P390+'Лист2_прогнозные цены'!S8</f>
        <v>99207640.669680491</v>
      </c>
      <c r="Q417" s="76">
        <f>Q390+'Лист2_прогнозные цены'!T8</f>
        <v>121616436.18964964</v>
      </c>
      <c r="R417" s="76">
        <f>R390+'Лист2_прогнозные цены'!U8</f>
        <v>117206378.30232516</v>
      </c>
      <c r="S417" s="76">
        <f>S390+'Лист2_прогнозные цены'!V8</f>
        <v>109920212.92649715</v>
      </c>
      <c r="T417" s="76">
        <f>T390+'Лист2_прогнозные цены'!W8</f>
        <v>106335778.01637316</v>
      </c>
      <c r="U417" s="76">
        <f>U390+'Лист2_прогнозные цены'!X8</f>
        <v>113010258.43965089</v>
      </c>
      <c r="V417" s="76">
        <f>V390+'Лист2_прогнозные цены'!Y8</f>
        <v>124728366.28231463</v>
      </c>
      <c r="W417" s="76">
        <f>W390+'Лист2_прогнозные цены'!Z8</f>
        <v>163180853.51465321</v>
      </c>
      <c r="X417" s="76">
        <f>X390+'Лист2_прогнозные цены'!AA8</f>
        <v>207548965.96737242</v>
      </c>
      <c r="Y417" s="76">
        <f>Y390+'Лист2_прогнозные цены'!AB8</f>
        <v>273071524.14600736</v>
      </c>
      <c r="Z417" s="76">
        <f>Z390+'Лист2_прогнозные цены'!AC8</f>
        <v>316065212.53475028</v>
      </c>
      <c r="AA417" s="76">
        <f>AA390+'Лист2_прогнозные цены'!AD8</f>
        <v>248346312.37246668</v>
      </c>
      <c r="AB417" s="76">
        <f>AB390+'Лист2_прогнозные цены'!AE8</f>
        <v>212578460.93131182</v>
      </c>
    </row>
    <row r="418" spans="1:28" x14ac:dyDescent="0.2">
      <c r="A418" s="3">
        <v>2</v>
      </c>
      <c r="B418" t="s">
        <v>3</v>
      </c>
      <c r="C418" s="76">
        <f>C391+'Лист2_прогнозные цены'!F18</f>
        <v>1494081.5889561356</v>
      </c>
      <c r="D418" s="76">
        <f>D391+'Лист2_прогнозные цены'!G18</f>
        <v>1459606.7037166068</v>
      </c>
      <c r="E418" s="76">
        <f>E391+'Лист2_прогнозные цены'!H18</f>
        <v>1711925.0111385246</v>
      </c>
      <c r="F418" s="76">
        <f>F391+'Лист2_прогнозные цены'!I18</f>
        <v>1827171.8889598032</v>
      </c>
      <c r="G418" s="76">
        <f>G391+'Лист2_прогнозные цены'!J18</f>
        <v>1629796.5295422231</v>
      </c>
      <c r="H418" s="76">
        <f>H391+'Лист2_прогнозные цены'!K18</f>
        <v>2199016.999447397</v>
      </c>
      <c r="I418" s="76">
        <f>I391+'Лист2_прогнозные цены'!L18</f>
        <v>3224110.6807134831</v>
      </c>
      <c r="J418" s="76">
        <f>J391+'Лист2_прогнозные цены'!M18</f>
        <v>4419916.7873869827</v>
      </c>
      <c r="K418" s="251">
        <f>K391+'Лист2_прогнозные цены'!N18</f>
        <v>2590649.2511561061</v>
      </c>
      <c r="L418" s="76">
        <f>L391+'Лист2_прогнозные цены'!O18</f>
        <v>2880524.6048277831</v>
      </c>
      <c r="M418" s="76">
        <f>M391+'Лист2_прогнозные цены'!P18</f>
        <v>3042656.3705212078</v>
      </c>
      <c r="N418" s="76">
        <f>N391+'Лист2_прогнозные цены'!Q18</f>
        <v>3300804.5418827776</v>
      </c>
      <c r="O418" s="76">
        <f>O391+'Лист2_прогнозные цены'!R18</f>
        <v>2548881.621572678</v>
      </c>
      <c r="P418" s="390">
        <f>P391+'Лист2_прогнозные цены'!S18</f>
        <v>5089946.5297730677</v>
      </c>
      <c r="Q418" s="76">
        <f>Q391+'Лист2_прогнозные цены'!T18</f>
        <v>7535425.922641742</v>
      </c>
      <c r="R418" s="76">
        <f>R391+'Лист2_прогнозные цены'!U18</f>
        <v>7741083.9561881879</v>
      </c>
      <c r="S418" s="76">
        <f>S391+'Лист2_прогнозные цены'!V18</f>
        <v>7310097.6043402012</v>
      </c>
      <c r="T418" s="76">
        <f>T391+'Лист2_прогнозные цены'!W18</f>
        <v>7187461.4865504019</v>
      </c>
      <c r="U418" s="76">
        <f>U391+'Лист2_прогнозные цены'!X18</f>
        <v>8194160.7689364478</v>
      </c>
      <c r="V418" s="76">
        <f>V391+'Лист2_прогнозные цены'!Y18</f>
        <v>10532736.6209302</v>
      </c>
      <c r="W418" s="76">
        <f>W391+'Лист2_прогнозные цены'!Z18</f>
        <v>11028214.484461144</v>
      </c>
      <c r="X418" s="76">
        <f>X391+'Лист2_прогнозные цены'!AA18</f>
        <v>10613750.743462648</v>
      </c>
      <c r="Y418" s="76">
        <f>Y391+'Лист2_прогнозные цены'!AB18</f>
        <v>10067877.874191031</v>
      </c>
      <c r="Z418" s="76">
        <f>Z391+'Лист2_прогнозные цены'!AC18</f>
        <v>11796455.563074416</v>
      </c>
      <c r="AA418" s="76">
        <f>AA391+'Лист2_прогнозные цены'!AD18</f>
        <v>15005732.130121654</v>
      </c>
      <c r="AB418" s="76">
        <f>AB391+'Лист2_прогнозные цены'!AE18</f>
        <v>16918604.626858868</v>
      </c>
    </row>
    <row r="419" spans="1:28" x14ac:dyDescent="0.2">
      <c r="A419" s="3">
        <v>3</v>
      </c>
      <c r="B419" t="s">
        <v>29</v>
      </c>
      <c r="C419" s="76">
        <f>C392+'Лист2_прогнозные цены'!F27</f>
        <v>5393040.5402615666</v>
      </c>
      <c r="D419" s="76">
        <f>D392+'Лист2_прогнозные цены'!G27</f>
        <v>5874618.9304038892</v>
      </c>
      <c r="E419" s="76">
        <f>E392+'Лист2_прогнозные цены'!H27</f>
        <v>5565096.4206579858</v>
      </c>
      <c r="F419" s="76">
        <f>F392+'Лист2_прогнозные цены'!I27</f>
        <v>6162255.8514766935</v>
      </c>
      <c r="G419" s="76">
        <f>G392+'Лист2_прогнозные цены'!J27</f>
        <v>7245994.6522143874</v>
      </c>
      <c r="H419" s="76">
        <f>H392+'Лист2_прогнозные цены'!K27</f>
        <v>5114681.3370161168</v>
      </c>
      <c r="I419" s="76">
        <f>I392+'Лист2_прогнозные цены'!L27</f>
        <v>8968952.7903534286</v>
      </c>
      <c r="J419" s="76">
        <f>J392+'Лист2_прогнозные цены'!M27</f>
        <v>10812779.380921563</v>
      </c>
      <c r="K419" s="251">
        <f>K392+'Лист2_прогнозные цены'!N27</f>
        <v>8498950.1444290597</v>
      </c>
      <c r="L419" s="76">
        <f>L392+'Лист2_прогнозные цены'!O27</f>
        <v>7353360.3053745888</v>
      </c>
      <c r="M419" s="76">
        <f>M392+'Лист2_прогнозные цены'!P27</f>
        <v>7167764.2343045063</v>
      </c>
      <c r="N419" s="76">
        <f>N392+'Лист2_прогнозные цены'!Q27</f>
        <v>7519676.1052854192</v>
      </c>
      <c r="O419" s="76">
        <f>O392+'Лист2_прогнозные цены'!R27</f>
        <v>11799110.136948291</v>
      </c>
      <c r="P419" s="390">
        <f>P392+'Лист2_прогнозные цены'!S27</f>
        <v>18733218.432876177</v>
      </c>
      <c r="Q419" s="76">
        <f>Q392+'Лист2_прогнозные цены'!T27</f>
        <v>25248653.419191532</v>
      </c>
      <c r="R419" s="76">
        <f>R392+'Лист2_прогнозные цены'!U27</f>
        <v>27806271.394357666</v>
      </c>
      <c r="S419" s="76">
        <f>S392+'Лист2_прогнозные цены'!V27</f>
        <v>27022014.458785795</v>
      </c>
      <c r="T419" s="76">
        <f>T392+'Лист2_прогнозные цены'!W27</f>
        <v>27305675.489992313</v>
      </c>
      <c r="U419" s="76">
        <f>U392+'Лист2_прогнозные цены'!X27</f>
        <v>30739320.370408513</v>
      </c>
      <c r="V419" s="76">
        <f>V392+'Лист2_прогнозные цены'!Y27</f>
        <v>35547707.867866516</v>
      </c>
      <c r="W419" s="76">
        <f>W392+'Лист2_прогнозные цены'!Z27</f>
        <v>41609321.140945673</v>
      </c>
      <c r="X419" s="76">
        <f>X392+'Лист2_прогнозные цены'!AA27</f>
        <v>52011876.241695717</v>
      </c>
      <c r="Y419" s="76">
        <f>Y392+'Лист2_прогнозные цены'!AB27</f>
        <v>67269890.404445559</v>
      </c>
      <c r="Z419" s="76">
        <f>Z392+'Лист2_прогнозные цены'!AC27</f>
        <v>78977713.911818177</v>
      </c>
      <c r="AA419" s="76">
        <f>AA392+'Лист2_прогнозные цены'!AD27</f>
        <v>99901486.961355597</v>
      </c>
      <c r="AB419" s="76">
        <f>AB392+'Лист2_прогнозные цены'!AE27</f>
        <v>104681380.76189716</v>
      </c>
    </row>
    <row r="420" spans="1:28" x14ac:dyDescent="0.2">
      <c r="A420" s="3">
        <v>4</v>
      </c>
      <c r="B420" t="s">
        <v>5</v>
      </c>
      <c r="C420" s="76">
        <f>C393+'Лист2_прогнозные цены'!F36</f>
        <v>5118885.4513753662</v>
      </c>
      <c r="D420" s="76">
        <f>D393+'Лист2_прогнозные цены'!G36</f>
        <v>6079203.7940381095</v>
      </c>
      <c r="E420" s="76">
        <f>E393+'Лист2_прогнозные цены'!H36</f>
        <v>4933522.0613253433</v>
      </c>
      <c r="F420" s="76">
        <f>F393+'Лист2_прогнозные цены'!I36</f>
        <v>3786812.9632083457</v>
      </c>
      <c r="G420" s="76">
        <f>G393+'Лист2_прогнозные цены'!J36</f>
        <v>3370433.5808697399</v>
      </c>
      <c r="H420" s="76">
        <f>H393+'Лист2_прогнозные цены'!K36</f>
        <v>4980826.1568412147</v>
      </c>
      <c r="I420" s="76">
        <f>I393+'Лист2_прогнозные цены'!L36</f>
        <v>5502389.0997135658</v>
      </c>
      <c r="J420" s="76">
        <f>J393+'Лист2_прогнозные цены'!M36</f>
        <v>5984299.2643122934</v>
      </c>
      <c r="K420" s="251">
        <f>K393+'Лист2_прогнозные цены'!N36</f>
        <v>6017840.6722803712</v>
      </c>
      <c r="L420" s="76">
        <f>L393+'Лист2_прогнозные цены'!O36</f>
        <v>4144467.9532409362</v>
      </c>
      <c r="M420" s="76">
        <f>M393+'Лист2_прогнозные цены'!P36</f>
        <v>7315138.1836800873</v>
      </c>
      <c r="N420" s="76">
        <f>N393+'Лист2_прогнозные цены'!Q36</f>
        <v>5050300.8045095205</v>
      </c>
      <c r="O420" s="76">
        <f>O393+'Лист2_прогнозные цены'!R36</f>
        <v>7715874.4387975894</v>
      </c>
      <c r="P420" s="390">
        <f>P393+'Лист2_прогнозные цены'!S36</f>
        <v>12382729.984145436</v>
      </c>
      <c r="Q420" s="76">
        <f>Q393+'Лист2_прогнозные цены'!T36</f>
        <v>24319238.648849722</v>
      </c>
      <c r="R420" s="76">
        <f>R393+'Лист2_прогнозные цены'!U36</f>
        <v>13378222.357902491</v>
      </c>
      <c r="S420" s="76">
        <f>S393+'Лист2_прогнозные цены'!V36</f>
        <v>26289657.967937462</v>
      </c>
      <c r="T420" s="76">
        <f>T393+'Лист2_прогнозные цены'!W36</f>
        <v>16247187.571969643</v>
      </c>
      <c r="U420" s="76">
        <f>U393+'Лист2_прогнозные цены'!X36</f>
        <v>30887565.170401409</v>
      </c>
      <c r="V420" s="76">
        <f>V393+'Лист2_прогнозные цены'!Y36</f>
        <v>23929513.926831067</v>
      </c>
      <c r="W420" s="76">
        <f>W393+'Лист2_прогнозные цены'!Z36</f>
        <v>44902046.128985487</v>
      </c>
      <c r="X420" s="76">
        <f>X393+'Лист2_прогнозные цены'!AA36</f>
        <v>45569277.291378319</v>
      </c>
      <c r="Y420" s="76">
        <f>Y393+'Лист2_прогнозные цены'!AB36</f>
        <v>49786083.842745125</v>
      </c>
      <c r="Z420" s="76">
        <f>Z393+'Лист2_прогнозные цены'!AC36</f>
        <v>55254279.57464049</v>
      </c>
      <c r="AA420" s="76">
        <f>AA393+'Лист2_прогнозные цены'!AD36</f>
        <v>60585738.573547363</v>
      </c>
      <c r="AB420" s="76">
        <f>AB393+'Лист2_прогнозные цены'!AE36</f>
        <v>61104322.826991051</v>
      </c>
    </row>
    <row r="421" spans="1:28" x14ac:dyDescent="0.2">
      <c r="A421" s="3">
        <v>5</v>
      </c>
      <c r="B421" t="s">
        <v>6</v>
      </c>
      <c r="C421" s="76">
        <f>C394+'Лист2_прогнозные цены'!F45</f>
        <v>864680.23167017009</v>
      </c>
      <c r="D421" s="76">
        <f>D394+'Лист2_прогнозные цены'!G45</f>
        <v>968257.95199697348</v>
      </c>
      <c r="E421" s="76">
        <f>E394+'Лист2_прогнозные цены'!H45</f>
        <v>1519004.8098790068</v>
      </c>
      <c r="F421" s="76">
        <f>F394+'Лист2_прогнозные цены'!I45</f>
        <v>1501167.5834598457</v>
      </c>
      <c r="G421" s="76">
        <f>G394+'Лист2_прогнозные цены'!J45</f>
        <v>1841245.7184630278</v>
      </c>
      <c r="H421" s="76">
        <f>H394+'Лист2_прогнозные цены'!K45</f>
        <v>1739990.9059053659</v>
      </c>
      <c r="I421" s="76">
        <f>I394+'Лист2_прогнозные цены'!L45</f>
        <v>1323753.5716635324</v>
      </c>
      <c r="J421" s="76">
        <f>J394+'Лист2_прогнозные цены'!M45</f>
        <v>1707462.2249423251</v>
      </c>
      <c r="K421" s="251">
        <f>K394+'Лист2_прогнозные цены'!N45</f>
        <v>2615195.9411897729</v>
      </c>
      <c r="L421" s="76">
        <f>L394+'Лист2_прогнозные цены'!O45</f>
        <v>2691089.0300383135</v>
      </c>
      <c r="M421" s="76">
        <f>M394+'Лист2_прогнозные цены'!P45</f>
        <v>2940776.0536005152</v>
      </c>
      <c r="N421" s="76">
        <f>N394+'Лист2_прогнозные цены'!Q45</f>
        <v>3336976.0730224159</v>
      </c>
      <c r="O421" s="76">
        <f>O394+'Лист2_прогнозные цены'!R45</f>
        <v>2747887.1682651415</v>
      </c>
      <c r="P421" s="390">
        <f>P394+'Лист2_прогнозные цены'!S45</f>
        <v>5348767.1679796372</v>
      </c>
      <c r="Q421" s="76">
        <f>Q394+'Лист2_прогнозные цены'!T45</f>
        <v>7840154.5540239802</v>
      </c>
      <c r="R421" s="76">
        <f>R394+'Лист2_прогнозные цены'!U45</f>
        <v>8305504.7348218132</v>
      </c>
      <c r="S421" s="76">
        <f>S394+'Лист2_прогнозные цены'!V45</f>
        <v>8763646.8508180231</v>
      </c>
      <c r="T421" s="76">
        <f>T394+'Лист2_прогнозные цены'!W45</f>
        <v>9191622.1172469761</v>
      </c>
      <c r="U421" s="76">
        <f>U394+'Лист2_прогнозные цены'!X45</f>
        <v>10577797.222606318</v>
      </c>
      <c r="V421" s="76">
        <f>V394+'Лист2_прогнозные цены'!Y45</f>
        <v>12223212.45336685</v>
      </c>
      <c r="W421" s="76">
        <f>W394+'Лист2_прогнозные цены'!Z45</f>
        <v>15588788.346851606</v>
      </c>
      <c r="X421" s="76">
        <f>X394+'Лист2_прогнозные цены'!AA45</f>
        <v>16389664.689669833</v>
      </c>
      <c r="Y421" s="76">
        <f>Y394+'Лист2_прогнозные цены'!AB45</f>
        <v>17585948.596984074</v>
      </c>
      <c r="Z421" s="76">
        <f>Z394+'Лист2_прогнозные цены'!AC45</f>
        <v>19613767.490196258</v>
      </c>
      <c r="AA421" s="76">
        <f>AA394+'Лист2_прогнозные цены'!AD45</f>
        <v>21363192.663283624</v>
      </c>
      <c r="AB421" s="76">
        <f>AB394+'Лист2_прогнозные цены'!AE45</f>
        <v>20905165.831009641</v>
      </c>
    </row>
    <row r="422" spans="1:28" x14ac:dyDescent="0.2">
      <c r="A422" s="3">
        <v>6</v>
      </c>
      <c r="B422" t="s">
        <v>1</v>
      </c>
      <c r="C422" s="76">
        <f>C395+'Лист2_прогнозные цены'!F55</f>
        <v>880487.74519669008</v>
      </c>
      <c r="D422" s="76">
        <f>D395+'Лист2_прогнозные цены'!G55</f>
        <v>958683.96820074646</v>
      </c>
      <c r="E422" s="76">
        <f>E395+'Лист2_прогнозные цены'!H55</f>
        <v>822786.78041201213</v>
      </c>
      <c r="F422" s="76">
        <f>F395+'Лист2_прогнозные цены'!I55</f>
        <v>1205315.3835036871</v>
      </c>
      <c r="G422" s="76">
        <f>G395+'Лист2_прогнозные цены'!J55</f>
        <v>2138533.906269154</v>
      </c>
      <c r="H422" s="76">
        <f>H395+'Лист2_прогнозные цены'!K55</f>
        <v>2644118.0593053289</v>
      </c>
      <c r="I422" s="76">
        <f>I395+'Лист2_прогнозные цены'!L55</f>
        <v>4094518.8842976405</v>
      </c>
      <c r="J422" s="76">
        <f>J395+'Лист2_прогнозные цены'!M55</f>
        <v>3552181.154839376</v>
      </c>
      <c r="K422" s="251">
        <f>K395+'Лист2_прогнозные цены'!N55</f>
        <v>2920870.082070143</v>
      </c>
      <c r="L422" s="76">
        <f>L395+'Лист2_прогнозные цены'!O55</f>
        <v>5868372.334886685</v>
      </c>
      <c r="M422" s="76">
        <f>M395+'Лист2_прогнозные цены'!P55</f>
        <v>3446743.8440001966</v>
      </c>
      <c r="N422" s="76">
        <f>N395+'Лист2_прогнозные цены'!Q55</f>
        <v>7335781.5198523905</v>
      </c>
      <c r="O422" s="76">
        <f>O395+'Лист2_прогнозные цены'!R55</f>
        <v>7361227.6339074457</v>
      </c>
      <c r="P422" s="390">
        <f>P395+'Лист2_прогнозные цены'!S55</f>
        <v>21174541.145432256</v>
      </c>
      <c r="Q422" s="76">
        <f>Q395+'Лист2_прогнозные цены'!T55</f>
        <v>10665616.577831279</v>
      </c>
      <c r="R422" s="76">
        <f>R395+'Лист2_прогнозные цены'!U55</f>
        <v>23057032.344557345</v>
      </c>
      <c r="S422" s="76">
        <f>S395+'Лист2_прогнозные цены'!V55</f>
        <v>8849888.9575857818</v>
      </c>
      <c r="T422" s="76">
        <f>T395+'Лист2_прогнозные цены'!W55</f>
        <v>13974457.166904977</v>
      </c>
      <c r="U422" s="76">
        <f>U395+'Лист2_прогнозные цены'!X55</f>
        <v>15829095.117340855</v>
      </c>
      <c r="V422" s="76">
        <f>V395+'Лист2_прогнозные цены'!Y55</f>
        <v>32523997.195297673</v>
      </c>
      <c r="W422" s="76">
        <f>W395+'Лист2_прогнозные цены'!Z55</f>
        <v>17117263.677874334</v>
      </c>
      <c r="X422" s="76">
        <f>X395+'Лист2_прогнозные цены'!AA55</f>
        <v>35894092.1825504</v>
      </c>
      <c r="Y422" s="76">
        <f>Y395+'Лист2_прогнозные цены'!AB55</f>
        <v>30645609.022191986</v>
      </c>
      <c r="Z422" s="76">
        <f>Z395+'Лист2_прогнозные цены'!AC55</f>
        <v>34988577.910646141</v>
      </c>
      <c r="AA422" s="76">
        <f>AA395+'Лист2_прогнозные цены'!AD55</f>
        <v>37638113.858379543</v>
      </c>
      <c r="AB422" s="76">
        <f>AB395+'Лист2_прогнозные цены'!AE55</f>
        <v>30764878.134105999</v>
      </c>
    </row>
    <row r="423" spans="1:28" x14ac:dyDescent="0.2">
      <c r="A423" s="3">
        <v>7</v>
      </c>
      <c r="B423" t="s">
        <v>2</v>
      </c>
      <c r="C423" s="76">
        <f>C396+'Лист2_прогнозные цены'!F65</f>
        <v>758910.74359669024</v>
      </c>
      <c r="D423" s="76">
        <f>D396+'Лист2_прогнозные цены'!G65</f>
        <v>513318.55129845877</v>
      </c>
      <c r="E423" s="76">
        <f>E396+'Лист2_прогнозные цены'!H65</f>
        <v>690558.62089973374</v>
      </c>
      <c r="F423" s="76">
        <f>F396+'Лист2_прогнозные цены'!I65</f>
        <v>1665226.7061201779</v>
      </c>
      <c r="G423" s="76">
        <f>G396+'Лист2_прогнозные цены'!J65</f>
        <v>2019767.5894093912</v>
      </c>
      <c r="H423" s="76">
        <f>H396+'Лист2_прогнозные цены'!K65</f>
        <v>2235788.3766548266</v>
      </c>
      <c r="I423" s="76">
        <f>I396+'Лист2_прогнозные цены'!L65</f>
        <v>2646844.5217387695</v>
      </c>
      <c r="J423" s="76">
        <f>J396+'Лист2_прогнозные цены'!M65</f>
        <v>3051096.6625172729</v>
      </c>
      <c r="K423" s="251">
        <f>K396+'Лист2_прогнозные цены'!N65</f>
        <v>2144877.7071538703</v>
      </c>
      <c r="L423" s="76">
        <f>L396+'Лист2_прогнозные цены'!O65</f>
        <v>2590391.0593904965</v>
      </c>
      <c r="M423" s="76">
        <f>M396+'Лист2_прогнозные цены'!P65</f>
        <v>2970333.4353161389</v>
      </c>
      <c r="N423" s="76">
        <f>N396+'Лист2_прогнозные цены'!Q65</f>
        <v>3486459.9897534759</v>
      </c>
      <c r="O423" s="76">
        <f>O396+'Лист2_прогнозные цены'!R65</f>
        <v>12001723.785579454</v>
      </c>
      <c r="P423" s="390">
        <f>P396+'Лист2_прогнозные цены'!S65</f>
        <v>7626823.4781170189</v>
      </c>
      <c r="Q423" s="76">
        <f>Q396+'Лист2_прогнозные цены'!T65</f>
        <v>14216811.54610366</v>
      </c>
      <c r="R423" s="76">
        <f>R396+'Лист2_прогнозные цены'!U65</f>
        <v>8020778.8885989711</v>
      </c>
      <c r="S423" s="76">
        <f>S396+'Лист2_прогнозные цены'!V65</f>
        <v>9278405.0993980989</v>
      </c>
      <c r="T423" s="76">
        <f>T396+'Лист2_прогнозные цены'!W65</f>
        <v>17377155.753681559</v>
      </c>
      <c r="U423" s="76">
        <f>U396+'Лист2_прогнозные цены'!X65</f>
        <v>6340572.3827880593</v>
      </c>
      <c r="V423" s="76">
        <f>V396+'Лист2_прогнозные цены'!Y65</f>
        <v>11359463.894708009</v>
      </c>
      <c r="W423" s="76">
        <f>W396+'Лист2_прогнозные цены'!Z65</f>
        <v>19818993.250283327</v>
      </c>
      <c r="X423" s="76">
        <f>X396+'Лист2_прогнозные цены'!AA65</f>
        <v>20974866.258446489</v>
      </c>
      <c r="Y423" s="76">
        <f>Y396+'Лист2_прогнозные цены'!AB65</f>
        <v>18284233.236133389</v>
      </c>
      <c r="Z423" s="76">
        <f>Z396+'Лист2_прогнозные цены'!AC65</f>
        <v>21525136.787183672</v>
      </c>
      <c r="AA423" s="76">
        <f>AA396+'Лист2_прогнозные цены'!AD65</f>
        <v>22798489.263187617</v>
      </c>
      <c r="AB423" s="76">
        <f>AB396+'Лист2_прогнозные цены'!AE65</f>
        <v>14991849.056417227</v>
      </c>
    </row>
    <row r="424" spans="1:28" x14ac:dyDescent="0.2">
      <c r="L424" s="246"/>
    </row>
    <row r="425" spans="1:28" s="81" customFormat="1" x14ac:dyDescent="0.2">
      <c r="A425" s="80" t="s">
        <v>147</v>
      </c>
      <c r="C425" s="176"/>
      <c r="E425" s="176"/>
      <c r="K425" s="248"/>
      <c r="L425" s="246"/>
      <c r="P425" s="387"/>
    </row>
    <row r="426" spans="1:28" x14ac:dyDescent="0.2">
      <c r="A426" s="25"/>
      <c r="C426" s="38"/>
      <c r="E426" s="38"/>
      <c r="L426" s="246"/>
    </row>
    <row r="427" spans="1:28" x14ac:dyDescent="0.2">
      <c r="A427" s="25"/>
      <c r="C427" s="38"/>
      <c r="E427" s="38"/>
      <c r="L427" s="246"/>
    </row>
    <row r="428" spans="1:28" x14ac:dyDescent="0.2">
      <c r="A428" s="157">
        <v>1</v>
      </c>
      <c r="B428" s="158" t="s">
        <v>41</v>
      </c>
      <c r="C428" s="38"/>
      <c r="E428" s="38"/>
      <c r="L428" s="246"/>
    </row>
    <row r="429" spans="1:28" x14ac:dyDescent="0.2">
      <c r="A429" s="25"/>
      <c r="B429" s="25" t="s">
        <v>136</v>
      </c>
      <c r="C429" s="38">
        <f>C417</f>
        <v>6850763.2005293593</v>
      </c>
      <c r="D429" s="38">
        <f t="shared" ref="D429:Z429" si="497">D417</f>
        <v>9100211.2452470921</v>
      </c>
      <c r="E429" s="38">
        <f t="shared" si="497"/>
        <v>14854268.868782043</v>
      </c>
      <c r="F429" s="38">
        <f t="shared" si="497"/>
        <v>16336585.587833609</v>
      </c>
      <c r="G429" s="38">
        <f t="shared" si="497"/>
        <v>18710534.779834237</v>
      </c>
      <c r="H429" s="38">
        <f t="shared" si="497"/>
        <v>20258005.345961556</v>
      </c>
      <c r="I429" s="38">
        <f t="shared" si="497"/>
        <v>23461245.396985345</v>
      </c>
      <c r="J429" s="38">
        <f t="shared" si="497"/>
        <v>25092370.202466238</v>
      </c>
      <c r="K429" s="251">
        <f t="shared" si="497"/>
        <v>22661888.901406288</v>
      </c>
      <c r="L429" s="76">
        <f t="shared" si="497"/>
        <v>30150238.952556476</v>
      </c>
      <c r="M429" s="38">
        <f t="shared" si="497"/>
        <v>36608561.98640874</v>
      </c>
      <c r="N429" s="38">
        <f t="shared" si="497"/>
        <v>43962014.639611125</v>
      </c>
      <c r="O429" s="38">
        <f t="shared" si="497"/>
        <v>67199137.367990911</v>
      </c>
      <c r="P429" s="390">
        <f t="shared" si="497"/>
        <v>99207640.669680491</v>
      </c>
      <c r="Q429" s="38">
        <f t="shared" si="497"/>
        <v>121616436.18964964</v>
      </c>
      <c r="R429" s="38">
        <f t="shared" si="497"/>
        <v>117206378.30232516</v>
      </c>
      <c r="S429" s="38">
        <f t="shared" si="497"/>
        <v>109920212.92649715</v>
      </c>
      <c r="T429" s="38">
        <f t="shared" si="497"/>
        <v>106335778.01637316</v>
      </c>
      <c r="U429" s="38">
        <f t="shared" si="497"/>
        <v>113010258.43965089</v>
      </c>
      <c r="V429" s="38">
        <f t="shared" si="497"/>
        <v>124728366.28231463</v>
      </c>
      <c r="W429" s="38">
        <f t="shared" si="497"/>
        <v>163180853.51465321</v>
      </c>
      <c r="X429" s="38">
        <f t="shared" si="497"/>
        <v>207548965.96737242</v>
      </c>
      <c r="Y429" s="38">
        <f t="shared" si="497"/>
        <v>273071524.14600736</v>
      </c>
      <c r="Z429" s="38">
        <f t="shared" si="497"/>
        <v>316065212.53475028</v>
      </c>
      <c r="AA429" s="38">
        <f>AA417</f>
        <v>248346312.37246668</v>
      </c>
      <c r="AB429" s="38">
        <f>AB417</f>
        <v>212578460.93131182</v>
      </c>
    </row>
    <row r="430" spans="1:28" x14ac:dyDescent="0.2">
      <c r="A430" s="25"/>
      <c r="B430" s="137" t="s">
        <v>137</v>
      </c>
      <c r="C430" s="38">
        <f>C431+C432+C433</f>
        <v>6850763.2005293593</v>
      </c>
      <c r="D430" s="38">
        <f t="shared" ref="D430:AA430" si="498">D431+D432+D433</f>
        <v>9100211.2452470921</v>
      </c>
      <c r="E430" s="38">
        <f t="shared" si="498"/>
        <v>14854268.868782043</v>
      </c>
      <c r="F430" s="38">
        <f t="shared" si="498"/>
        <v>16336585.587833609</v>
      </c>
      <c r="G430" s="38">
        <f t="shared" si="498"/>
        <v>18710534.779834237</v>
      </c>
      <c r="H430" s="38">
        <f t="shared" si="498"/>
        <v>20258005.345961556</v>
      </c>
      <c r="I430" s="38">
        <f t="shared" si="498"/>
        <v>27911969.528005973</v>
      </c>
      <c r="J430" s="38">
        <f t="shared" si="498"/>
        <v>25600241.371624205</v>
      </c>
      <c r="K430" s="251">
        <f t="shared" si="498"/>
        <v>51166383.885327213</v>
      </c>
      <c r="L430" s="76">
        <f t="shared" si="498"/>
        <v>98312064.433030233</v>
      </c>
      <c r="M430" s="38">
        <f t="shared" si="498"/>
        <v>158307430.40177882</v>
      </c>
      <c r="N430" s="38">
        <f t="shared" si="498"/>
        <v>234696422.31565911</v>
      </c>
      <c r="O430" s="38">
        <f t="shared" si="498"/>
        <v>264413391.49425545</v>
      </c>
      <c r="P430" s="390">
        <f t="shared" si="498"/>
        <v>283985098.90436935</v>
      </c>
      <c r="Q430" s="38">
        <f t="shared" si="498"/>
        <v>284617823.30424297</v>
      </c>
      <c r="R430" s="38">
        <f t="shared" si="498"/>
        <v>277925260.20817578</v>
      </c>
      <c r="S430" s="38">
        <f t="shared" si="498"/>
        <v>265115568.96426055</v>
      </c>
      <c r="T430" s="38">
        <f t="shared" si="498"/>
        <v>262493131.79926008</v>
      </c>
      <c r="U430" s="38">
        <f t="shared" si="498"/>
        <v>259488812.65794352</v>
      </c>
      <c r="V430" s="38">
        <f t="shared" si="498"/>
        <v>256080562.37881243</v>
      </c>
      <c r="W430" s="38">
        <f t="shared" si="498"/>
        <v>307807620.50006747</v>
      </c>
      <c r="X430" s="38">
        <f t="shared" si="498"/>
        <v>333249803.87598956</v>
      </c>
      <c r="Y430" s="38">
        <f t="shared" si="498"/>
        <v>340182561.13818598</v>
      </c>
      <c r="Z430" s="38">
        <f t="shared" si="498"/>
        <v>333080610.46155959</v>
      </c>
      <c r="AA430" s="38">
        <f t="shared" si="498"/>
        <v>248346312.37246668</v>
      </c>
      <c r="AB430" s="38">
        <f t="shared" ref="AB430" si="499">AB431+AB432+AB433</f>
        <v>212578460.93131182</v>
      </c>
    </row>
    <row r="431" spans="1:28" x14ac:dyDescent="0.2">
      <c r="A431" s="25"/>
      <c r="B431" t="s">
        <v>138</v>
      </c>
      <c r="C431" s="38">
        <f>0</f>
        <v>0</v>
      </c>
      <c r="D431" s="38">
        <f>0</f>
        <v>0</v>
      </c>
      <c r="E431" s="38">
        <f>0</f>
        <v>0</v>
      </c>
      <c r="F431" s="38">
        <f>0</f>
        <v>0</v>
      </c>
      <c r="G431" s="38">
        <f>0</f>
        <v>0</v>
      </c>
      <c r="H431" s="38">
        <f>0</f>
        <v>0</v>
      </c>
      <c r="I431" s="38">
        <f>0</f>
        <v>0</v>
      </c>
      <c r="J431" s="38">
        <f>0</f>
        <v>0</v>
      </c>
      <c r="K431" s="251">
        <f>0</f>
        <v>0</v>
      </c>
      <c r="L431" s="76">
        <f>0</f>
        <v>0</v>
      </c>
      <c r="M431" s="38">
        <f>0</f>
        <v>0</v>
      </c>
      <c r="N431" s="38">
        <f>0</f>
        <v>0</v>
      </c>
      <c r="O431" s="38">
        <f>0</f>
        <v>0</v>
      </c>
      <c r="P431" s="390">
        <f>0</f>
        <v>0</v>
      </c>
      <c r="Q431" s="38">
        <f>0</f>
        <v>0</v>
      </c>
      <c r="R431" s="38">
        <f>0</f>
        <v>0</v>
      </c>
      <c r="S431" s="38">
        <f>0</f>
        <v>0</v>
      </c>
      <c r="T431" s="38">
        <f>0</f>
        <v>0</v>
      </c>
      <c r="U431" s="38">
        <f>0</f>
        <v>0</v>
      </c>
      <c r="V431" s="38">
        <f>0</f>
        <v>0</v>
      </c>
      <c r="W431" s="38">
        <f>0</f>
        <v>0</v>
      </c>
      <c r="X431" s="38">
        <f>0</f>
        <v>0</v>
      </c>
      <c r="Y431" s="38">
        <f>0</f>
        <v>0</v>
      </c>
      <c r="Z431" s="38">
        <f>0</f>
        <v>0</v>
      </c>
      <c r="AA431" s="38">
        <f>0</f>
        <v>0</v>
      </c>
      <c r="AB431" s="38">
        <f>0</f>
        <v>0</v>
      </c>
    </row>
    <row r="432" spans="1:28" x14ac:dyDescent="0.2">
      <c r="A432" s="25"/>
      <c r="B432" t="s">
        <v>139</v>
      </c>
      <c r="C432" s="38">
        <f>C10</f>
        <v>3997723.3119999999</v>
      </c>
      <c r="D432" s="38">
        <f t="shared" ref="D432:Z432" si="500">D10</f>
        <v>4889123.3570296699</v>
      </c>
      <c r="E432" s="38">
        <f t="shared" si="500"/>
        <v>5867955.582852996</v>
      </c>
      <c r="F432" s="38">
        <f t="shared" si="500"/>
        <v>7007234.1475985004</v>
      </c>
      <c r="G432" s="38">
        <f t="shared" si="500"/>
        <v>7707776.8012107676</v>
      </c>
      <c r="H432" s="38">
        <f t="shared" si="500"/>
        <v>9130882.7854666337</v>
      </c>
      <c r="I432" s="38">
        <f t="shared" si="500"/>
        <v>9824039.7629310917</v>
      </c>
      <c r="J432" s="38">
        <f t="shared" si="500"/>
        <v>10128182.9378621</v>
      </c>
      <c r="K432" s="251">
        <f t="shared" si="500"/>
        <v>12930988.05730585</v>
      </c>
      <c r="L432" s="76">
        <f t="shared" si="500"/>
        <v>14746336.656715842</v>
      </c>
      <c r="M432" s="38">
        <f t="shared" si="500"/>
        <v>17229583.386639513</v>
      </c>
      <c r="N432" s="38">
        <f t="shared" si="500"/>
        <v>20282538.020059045</v>
      </c>
      <c r="O432" s="38">
        <f t="shared" si="500"/>
        <v>23261147.44309843</v>
      </c>
      <c r="P432" s="390">
        <f t="shared" si="500"/>
        <v>26763670.300215431</v>
      </c>
      <c r="Q432" s="38">
        <f t="shared" si="500"/>
        <v>30220165.442651868</v>
      </c>
      <c r="R432" s="38">
        <f t="shared" si="500"/>
        <v>33784529.482887141</v>
      </c>
      <c r="S432" s="38">
        <f t="shared" si="500"/>
        <v>37492059.991663545</v>
      </c>
      <c r="T432" s="38">
        <f t="shared" si="500"/>
        <v>40781093.916084245</v>
      </c>
      <c r="U432" s="38">
        <f t="shared" si="500"/>
        <v>44594551.970814764</v>
      </c>
      <c r="V432" s="38">
        <f t="shared" si="500"/>
        <v>49174628.762843773</v>
      </c>
      <c r="W432" s="38">
        <f t="shared" si="500"/>
        <v>54705987.708984531</v>
      </c>
      <c r="X432" s="38">
        <f t="shared" si="500"/>
        <v>59387583.147415146</v>
      </c>
      <c r="Y432" s="38">
        <f t="shared" si="500"/>
        <v>64154274.478862472</v>
      </c>
      <c r="Z432" s="38">
        <f t="shared" si="500"/>
        <v>69503699.006806448</v>
      </c>
      <c r="AA432" s="38">
        <f>AA10</f>
        <v>75566834.900154933</v>
      </c>
      <c r="AB432" s="38">
        <f>AB10</f>
        <v>81761033.634278774</v>
      </c>
    </row>
    <row r="433" spans="1:28" x14ac:dyDescent="0.2">
      <c r="A433" s="25"/>
      <c r="B433" t="s">
        <v>140</v>
      </c>
      <c r="C433" s="38">
        <f>C99</f>
        <v>2853039.8885293594</v>
      </c>
      <c r="D433" s="38">
        <f t="shared" ref="D433:Z433" si="501">D99</f>
        <v>4211087.8882174231</v>
      </c>
      <c r="E433" s="38">
        <f t="shared" si="501"/>
        <v>8986313.2859290466</v>
      </c>
      <c r="F433" s="38">
        <f t="shared" si="501"/>
        <v>9329351.4402351081</v>
      </c>
      <c r="G433" s="38">
        <f t="shared" si="501"/>
        <v>11002757.978623468</v>
      </c>
      <c r="H433" s="38">
        <f t="shared" si="501"/>
        <v>11127122.560494922</v>
      </c>
      <c r="I433" s="38">
        <f t="shared" si="501"/>
        <v>18087929.765074879</v>
      </c>
      <c r="J433" s="38">
        <f t="shared" si="501"/>
        <v>15472058.433762105</v>
      </c>
      <c r="K433" s="251">
        <f t="shared" si="501"/>
        <v>38235395.828021362</v>
      </c>
      <c r="L433" s="76">
        <f t="shared" si="501"/>
        <v>83565727.776314393</v>
      </c>
      <c r="M433" s="38">
        <f t="shared" si="501"/>
        <v>141077847.01513931</v>
      </c>
      <c r="N433" s="38">
        <f t="shared" si="501"/>
        <v>214413884.29560006</v>
      </c>
      <c r="O433" s="38">
        <f t="shared" si="501"/>
        <v>241152244.05115703</v>
      </c>
      <c r="P433" s="390">
        <f t="shared" si="501"/>
        <v>257221428.6041539</v>
      </c>
      <c r="Q433" s="38">
        <f t="shared" si="501"/>
        <v>254397657.86159107</v>
      </c>
      <c r="R433" s="38">
        <f t="shared" si="501"/>
        <v>244140730.72528866</v>
      </c>
      <c r="S433" s="38">
        <f t="shared" si="501"/>
        <v>227623508.972597</v>
      </c>
      <c r="T433" s="38">
        <f t="shared" si="501"/>
        <v>221712037.88317585</v>
      </c>
      <c r="U433" s="38">
        <f t="shared" si="501"/>
        <v>214894260.68712875</v>
      </c>
      <c r="V433" s="38">
        <f t="shared" si="501"/>
        <v>206905933.61596864</v>
      </c>
      <c r="W433" s="38">
        <f t="shared" si="501"/>
        <v>253101632.79108292</v>
      </c>
      <c r="X433" s="38">
        <f t="shared" si="501"/>
        <v>273862220.7285744</v>
      </c>
      <c r="Y433" s="38">
        <f t="shared" si="501"/>
        <v>276028286.65932351</v>
      </c>
      <c r="Z433" s="38">
        <f t="shared" si="501"/>
        <v>263576911.45475316</v>
      </c>
      <c r="AA433" s="38">
        <f>AA99</f>
        <v>172779477.47231174</v>
      </c>
      <c r="AB433" s="38">
        <f>AB99</f>
        <v>130817427.29703304</v>
      </c>
    </row>
    <row r="434" spans="1:28" x14ac:dyDescent="0.2">
      <c r="A434" s="25"/>
      <c r="C434" s="38"/>
      <c r="E434" s="38"/>
      <c r="L434" s="246"/>
    </row>
    <row r="435" spans="1:28" x14ac:dyDescent="0.2">
      <c r="A435" s="25"/>
      <c r="B435" s="66" t="s">
        <v>141</v>
      </c>
      <c r="C435" s="206">
        <f t="shared" ref="C435:K435" si="502">INDEX(Doli_Prop_st,$A428,C$416)</f>
        <v>0.75</v>
      </c>
      <c r="D435" s="206">
        <f t="shared" si="502"/>
        <v>0.86499999999999999</v>
      </c>
      <c r="E435" s="206">
        <f t="shared" si="502"/>
        <v>0.4</v>
      </c>
      <c r="F435" s="206">
        <f t="shared" si="502"/>
        <v>0.5</v>
      </c>
      <c r="G435" s="206">
        <f t="shared" si="502"/>
        <v>0.5</v>
      </c>
      <c r="H435" s="206">
        <f t="shared" si="502"/>
        <v>0</v>
      </c>
      <c r="I435" s="206">
        <f t="shared" si="502"/>
        <v>1</v>
      </c>
      <c r="J435" s="206">
        <f t="shared" si="502"/>
        <v>0.95</v>
      </c>
      <c r="K435" s="268">
        <f t="shared" si="502"/>
        <v>0.7</v>
      </c>
      <c r="L435" s="247">
        <f t="shared" ref="L435:AA435" si="503">INDEX(Doli_Prop_st,$A428,L$416)</f>
        <v>0.7</v>
      </c>
      <c r="M435" s="247">
        <f t="shared" si="503"/>
        <v>0.7</v>
      </c>
      <c r="N435" s="247">
        <f t="shared" si="503"/>
        <v>0.7</v>
      </c>
      <c r="O435" s="247">
        <f t="shared" si="503"/>
        <v>0.7</v>
      </c>
      <c r="P435" s="412">
        <f t="shared" si="503"/>
        <v>0.7</v>
      </c>
      <c r="Q435" s="247">
        <f t="shared" si="503"/>
        <v>0.7</v>
      </c>
      <c r="R435" s="247">
        <f t="shared" si="503"/>
        <v>0.7</v>
      </c>
      <c r="S435" s="247">
        <f t="shared" si="503"/>
        <v>0.7</v>
      </c>
      <c r="T435" s="247">
        <f t="shared" si="503"/>
        <v>0.7</v>
      </c>
      <c r="U435" s="247">
        <f t="shared" si="503"/>
        <v>0.7</v>
      </c>
      <c r="V435" s="247">
        <f t="shared" si="503"/>
        <v>0.7</v>
      </c>
      <c r="W435" s="247">
        <f t="shared" si="503"/>
        <v>0.7</v>
      </c>
      <c r="X435" s="247">
        <f t="shared" si="503"/>
        <v>0.7</v>
      </c>
      <c r="Y435" s="247">
        <f t="shared" si="503"/>
        <v>0.7</v>
      </c>
      <c r="Z435" s="247">
        <f t="shared" si="503"/>
        <v>0.7</v>
      </c>
      <c r="AA435" s="247">
        <f t="shared" si="503"/>
        <v>0.7</v>
      </c>
      <c r="AB435" s="247">
        <f t="shared" ref="AB435" si="504">INDEX(Doli_Prop_st,$A428,AB$416)</f>
        <v>0.7</v>
      </c>
    </row>
    <row r="436" spans="1:28" x14ac:dyDescent="0.2">
      <c r="A436" s="25"/>
      <c r="B436" t="s">
        <v>142</v>
      </c>
      <c r="C436" s="38">
        <f>C429/C430</f>
        <v>1</v>
      </c>
      <c r="D436" s="38">
        <f t="shared" ref="D436:K436" si="505">D429/D430</f>
        <v>1</v>
      </c>
      <c r="E436" s="38">
        <f t="shared" si="505"/>
        <v>1</v>
      </c>
      <c r="F436" s="38">
        <f t="shared" si="505"/>
        <v>1</v>
      </c>
      <c r="G436" s="38">
        <f t="shared" si="505"/>
        <v>1</v>
      </c>
      <c r="H436" s="38">
        <f t="shared" si="505"/>
        <v>1</v>
      </c>
      <c r="I436" s="38">
        <f t="shared" si="505"/>
        <v>0.84054424656221716</v>
      </c>
      <c r="J436" s="38">
        <f t="shared" si="505"/>
        <v>0.98016146950392036</v>
      </c>
      <c r="K436" s="251">
        <f t="shared" si="505"/>
        <v>0.44290581394603795</v>
      </c>
      <c r="L436" s="76">
        <f t="shared" ref="L436:AA436" si="506">L429/L430</f>
        <v>0.30667893230026405</v>
      </c>
      <c r="M436" s="76">
        <f t="shared" si="506"/>
        <v>0.231249802321328</v>
      </c>
      <c r="N436" s="76">
        <f t="shared" si="506"/>
        <v>0.18731437917056798</v>
      </c>
      <c r="O436" s="76">
        <f t="shared" si="506"/>
        <v>0.25414422843046836</v>
      </c>
      <c r="P436" s="390">
        <f t="shared" si="506"/>
        <v>0.34934100786424782</v>
      </c>
      <c r="Q436" s="76">
        <f t="shared" si="506"/>
        <v>0.4272973307776563</v>
      </c>
      <c r="R436" s="76">
        <f t="shared" si="506"/>
        <v>0.42171905574374013</v>
      </c>
      <c r="S436" s="76">
        <f t="shared" si="506"/>
        <v>0.41461243998580549</v>
      </c>
      <c r="T436" s="76">
        <f t="shared" si="506"/>
        <v>0.40509927740773327</v>
      </c>
      <c r="U436" s="76">
        <f t="shared" si="506"/>
        <v>0.43551110077574051</v>
      </c>
      <c r="V436" s="76">
        <f t="shared" si="506"/>
        <v>0.48706690239850237</v>
      </c>
      <c r="W436" s="76">
        <f t="shared" si="506"/>
        <v>0.53013909548291194</v>
      </c>
      <c r="X436" s="76">
        <f t="shared" si="506"/>
        <v>0.62280296508323374</v>
      </c>
      <c r="Y436" s="76">
        <f t="shared" si="506"/>
        <v>0.80272052521552584</v>
      </c>
      <c r="Z436" s="76">
        <f t="shared" si="506"/>
        <v>0.94891507523289764</v>
      </c>
      <c r="AA436" s="76">
        <f t="shared" si="506"/>
        <v>1</v>
      </c>
      <c r="AB436" s="76">
        <f t="shared" ref="AB436" si="507">AB429/AB430</f>
        <v>1</v>
      </c>
    </row>
    <row r="437" spans="1:28" x14ac:dyDescent="0.2">
      <c r="A437" s="25"/>
      <c r="C437" s="38"/>
      <c r="E437" s="38"/>
      <c r="L437" s="246"/>
    </row>
    <row r="438" spans="1:28" x14ac:dyDescent="0.2">
      <c r="A438" s="151" t="s">
        <v>143</v>
      </c>
      <c r="B438" t="s">
        <v>138</v>
      </c>
      <c r="C438" s="38">
        <f>C$436*C$435*C431</f>
        <v>0</v>
      </c>
      <c r="D438" s="38">
        <f t="shared" ref="D438:K438" si="508">D$436*D$435*D431</f>
        <v>0</v>
      </c>
      <c r="E438" s="38">
        <f t="shared" si="508"/>
        <v>0</v>
      </c>
      <c r="F438" s="38">
        <f t="shared" si="508"/>
        <v>0</v>
      </c>
      <c r="G438" s="38">
        <f t="shared" si="508"/>
        <v>0</v>
      </c>
      <c r="H438" s="38">
        <f t="shared" si="508"/>
        <v>0</v>
      </c>
      <c r="I438" s="38">
        <f t="shared" si="508"/>
        <v>0</v>
      </c>
      <c r="J438" s="38">
        <f t="shared" si="508"/>
        <v>0</v>
      </c>
      <c r="K438" s="251">
        <f t="shared" si="508"/>
        <v>0</v>
      </c>
      <c r="L438" s="76">
        <f t="shared" ref="L438:AA438" si="509">L$436*L$435*L431</f>
        <v>0</v>
      </c>
      <c r="M438" s="76">
        <f t="shared" si="509"/>
        <v>0</v>
      </c>
      <c r="N438" s="76">
        <f t="shared" si="509"/>
        <v>0</v>
      </c>
      <c r="O438" s="76">
        <f t="shared" si="509"/>
        <v>0</v>
      </c>
      <c r="P438" s="390">
        <f t="shared" si="509"/>
        <v>0</v>
      </c>
      <c r="Q438" s="76">
        <f t="shared" si="509"/>
        <v>0</v>
      </c>
      <c r="R438" s="76">
        <f t="shared" si="509"/>
        <v>0</v>
      </c>
      <c r="S438" s="76">
        <f t="shared" si="509"/>
        <v>0</v>
      </c>
      <c r="T438" s="76">
        <f t="shared" si="509"/>
        <v>0</v>
      </c>
      <c r="U438" s="76">
        <f t="shared" si="509"/>
        <v>0</v>
      </c>
      <c r="V438" s="76">
        <f t="shared" si="509"/>
        <v>0</v>
      </c>
      <c r="W438" s="76">
        <f t="shared" si="509"/>
        <v>0</v>
      </c>
      <c r="X438" s="76">
        <f t="shared" si="509"/>
        <v>0</v>
      </c>
      <c r="Y438" s="76">
        <f t="shared" si="509"/>
        <v>0</v>
      </c>
      <c r="Z438" s="76">
        <f t="shared" si="509"/>
        <v>0</v>
      </c>
      <c r="AA438" s="76">
        <f t="shared" si="509"/>
        <v>0</v>
      </c>
      <c r="AB438" s="76">
        <f t="shared" ref="AB438" si="510">AB$436*AB$435*AB431</f>
        <v>0</v>
      </c>
    </row>
    <row r="439" spans="1:28" x14ac:dyDescent="0.2">
      <c r="A439" s="25"/>
      <c r="B439" t="s">
        <v>139</v>
      </c>
      <c r="C439" s="38">
        <f t="shared" ref="C439:K440" si="511">C$436*C$435*C432</f>
        <v>2998292.4840000002</v>
      </c>
      <c r="D439" s="38">
        <f t="shared" si="511"/>
        <v>4229091.703830664</v>
      </c>
      <c r="E439" s="38">
        <f t="shared" si="511"/>
        <v>2347182.2331411983</v>
      </c>
      <c r="F439" s="38">
        <f t="shared" si="511"/>
        <v>3503617.0737992502</v>
      </c>
      <c r="G439" s="38">
        <f t="shared" si="511"/>
        <v>3853888.4006053838</v>
      </c>
      <c r="H439" s="38">
        <f t="shared" si="511"/>
        <v>0</v>
      </c>
      <c r="I439" s="38">
        <f t="shared" si="511"/>
        <v>8257540.100730177</v>
      </c>
      <c r="J439" s="38">
        <f t="shared" si="511"/>
        <v>9430891.938190477</v>
      </c>
      <c r="K439" s="251">
        <f t="shared" si="511"/>
        <v>4009046.8534532799</v>
      </c>
      <c r="L439" s="76">
        <f t="shared" ref="L439:AA439" si="512">L$436*L$435*L432</f>
        <v>3165673.5468553016</v>
      </c>
      <c r="M439" s="76">
        <f t="shared" si="512"/>
        <v>2789036.4265674567</v>
      </c>
      <c r="N439" s="76">
        <f t="shared" si="512"/>
        <v>2659447.7120615607</v>
      </c>
      <c r="O439" s="76">
        <f t="shared" si="512"/>
        <v>4138180.4585335283</v>
      </c>
      <c r="P439" s="390">
        <f t="shared" si="512"/>
        <v>6544753.2897765851</v>
      </c>
      <c r="Q439" s="76">
        <f t="shared" si="512"/>
        <v>9039097.2205130178</v>
      </c>
      <c r="R439" s="76">
        <f t="shared" si="512"/>
        <v>9973305.910588799</v>
      </c>
      <c r="S439" s="76">
        <f t="shared" si="512"/>
        <v>10881272.131266475</v>
      </c>
      <c r="T439" s="76">
        <f t="shared" si="512"/>
        <v>11564274.174111843</v>
      </c>
      <c r="U439" s="76">
        <f t="shared" si="512"/>
        <v>13594995.692187354</v>
      </c>
      <c r="V439" s="76">
        <f t="shared" si="512"/>
        <v>16765933.875680229</v>
      </c>
      <c r="W439" s="76">
        <f t="shared" si="512"/>
        <v>20301247.98907825</v>
      </c>
      <c r="X439" s="76">
        <f t="shared" si="512"/>
        <v>25890734.011336066</v>
      </c>
      <c r="Y439" s="76">
        <f t="shared" si="512"/>
        <v>36048567.033145443</v>
      </c>
      <c r="Z439" s="76">
        <f t="shared" si="512"/>
        <v>46167175.440405883</v>
      </c>
      <c r="AA439" s="76">
        <f t="shared" si="512"/>
        <v>52896784.43010845</v>
      </c>
      <c r="AB439" s="76">
        <f t="shared" ref="AB439" si="513">AB$436*AB$435*AB432</f>
        <v>57232723.543995142</v>
      </c>
    </row>
    <row r="440" spans="1:28" x14ac:dyDescent="0.2">
      <c r="A440" s="25"/>
      <c r="B440" t="s">
        <v>140</v>
      </c>
      <c r="C440" s="38">
        <f t="shared" si="511"/>
        <v>2139779.9163970193</v>
      </c>
      <c r="D440" s="38">
        <f t="shared" si="511"/>
        <v>3642591.0233080708</v>
      </c>
      <c r="E440" s="38">
        <f t="shared" si="511"/>
        <v>3594525.3143716189</v>
      </c>
      <c r="F440" s="38">
        <f t="shared" si="511"/>
        <v>4664675.7201175541</v>
      </c>
      <c r="G440" s="38">
        <f t="shared" si="511"/>
        <v>5501378.9893117342</v>
      </c>
      <c r="H440" s="38">
        <f t="shared" si="511"/>
        <v>0</v>
      </c>
      <c r="I440" s="38">
        <f t="shared" si="511"/>
        <v>15203705.296255166</v>
      </c>
      <c r="J440" s="38">
        <f t="shared" si="511"/>
        <v>14406859.754152449</v>
      </c>
      <c r="K440" s="251">
        <f t="shared" si="511"/>
        <v>11854275.377531121</v>
      </c>
      <c r="L440" s="76">
        <f t="shared" ref="L440:AA440" si="514">L$436*L$435*L433</f>
        <v>17939493.719934233</v>
      </c>
      <c r="M440" s="76">
        <f t="shared" si="514"/>
        <v>22836956.963918664</v>
      </c>
      <c r="N440" s="76">
        <f t="shared" si="514"/>
        <v>28113962.535666224</v>
      </c>
      <c r="O440" s="76">
        <f t="shared" si="514"/>
        <v>42901215.699060112</v>
      </c>
      <c r="P440" s="390">
        <f t="shared" si="514"/>
        <v>62900595.178999744</v>
      </c>
      <c r="Q440" s="76">
        <f t="shared" si="514"/>
        <v>76092408.112241715</v>
      </c>
      <c r="R440" s="76">
        <f t="shared" si="514"/>
        <v>72071158.901038811</v>
      </c>
      <c r="S440" s="76">
        <f t="shared" si="514"/>
        <v>66062876.917281531</v>
      </c>
      <c r="T440" s="76">
        <f t="shared" si="514"/>
        <v>62870770.437349364</v>
      </c>
      <c r="U440" s="76">
        <f t="shared" si="514"/>
        <v>65512185.215568259</v>
      </c>
      <c r="V440" s="76">
        <f t="shared" si="514"/>
        <v>70543922.521939993</v>
      </c>
      <c r="W440" s="76">
        <f t="shared" si="514"/>
        <v>93925349.471178979</v>
      </c>
      <c r="X440" s="76">
        <f t="shared" si="514"/>
        <v>119393542.16582462</v>
      </c>
      <c r="Y440" s="76">
        <f t="shared" si="514"/>
        <v>155101499.86905971</v>
      </c>
      <c r="Z440" s="76">
        <f t="shared" si="514"/>
        <v>175078473.33391932</v>
      </c>
      <c r="AA440" s="76">
        <f t="shared" si="514"/>
        <v>120945634.23061821</v>
      </c>
      <c r="AB440" s="76">
        <f t="shared" ref="AB440" si="515">AB$436*AB$435*AB433</f>
        <v>91572199.10792312</v>
      </c>
    </row>
    <row r="441" spans="1:28" x14ac:dyDescent="0.2">
      <c r="A441" s="25"/>
      <c r="B441" s="159" t="s">
        <v>145</v>
      </c>
      <c r="C441" s="160">
        <f>SUM(C438:C440)</f>
        <v>5138072.4003970195</v>
      </c>
      <c r="D441" s="160">
        <f t="shared" ref="D441:K441" si="516">SUM(D438:D440)</f>
        <v>7871682.7271387354</v>
      </c>
      <c r="E441" s="160">
        <f t="shared" si="516"/>
        <v>5941707.5475128172</v>
      </c>
      <c r="F441" s="160">
        <f t="shared" si="516"/>
        <v>8168292.7939168047</v>
      </c>
      <c r="G441" s="160">
        <f t="shared" si="516"/>
        <v>9355267.3899171185</v>
      </c>
      <c r="H441" s="160">
        <f t="shared" si="516"/>
        <v>0</v>
      </c>
      <c r="I441" s="160">
        <f t="shared" si="516"/>
        <v>23461245.396985345</v>
      </c>
      <c r="J441" s="160">
        <f t="shared" si="516"/>
        <v>23837751.692342926</v>
      </c>
      <c r="K441" s="269">
        <f t="shared" si="516"/>
        <v>15863322.230984401</v>
      </c>
      <c r="L441" s="301">
        <f t="shared" ref="L441:AA441" si="517">SUM(L438:L440)</f>
        <v>21105167.266789533</v>
      </c>
      <c r="M441" s="301">
        <f t="shared" si="517"/>
        <v>25625993.390486121</v>
      </c>
      <c r="N441" s="301">
        <f t="shared" si="517"/>
        <v>30773410.247727785</v>
      </c>
      <c r="O441" s="301">
        <f t="shared" si="517"/>
        <v>47039396.157593638</v>
      </c>
      <c r="P441" s="413">
        <f t="shared" si="517"/>
        <v>69445348.46877633</v>
      </c>
      <c r="Q441" s="301">
        <f t="shared" si="517"/>
        <v>85131505.332754731</v>
      </c>
      <c r="R441" s="301">
        <f t="shared" si="517"/>
        <v>82044464.811627612</v>
      </c>
      <c r="S441" s="301">
        <f t="shared" si="517"/>
        <v>76944149.048548013</v>
      </c>
      <c r="T441" s="301">
        <f t="shared" si="517"/>
        <v>74435044.611461207</v>
      </c>
      <c r="U441" s="301">
        <f t="shared" si="517"/>
        <v>79107180.907755613</v>
      </c>
      <c r="V441" s="301">
        <f t="shared" si="517"/>
        <v>87309856.397620216</v>
      </c>
      <c r="W441" s="301">
        <f t="shared" si="517"/>
        <v>114226597.46025723</v>
      </c>
      <c r="X441" s="301">
        <f t="shared" si="517"/>
        <v>145284276.17716068</v>
      </c>
      <c r="Y441" s="301">
        <f t="shared" si="517"/>
        <v>191150066.90220517</v>
      </c>
      <c r="Z441" s="301">
        <f t="shared" si="517"/>
        <v>221245648.77432519</v>
      </c>
      <c r="AA441" s="301">
        <f t="shared" si="517"/>
        <v>173842418.66072667</v>
      </c>
      <c r="AB441" s="301">
        <f t="shared" ref="AB441" si="518">SUM(AB438:AB440)</f>
        <v>148804922.65191826</v>
      </c>
    </row>
    <row r="442" spans="1:28" x14ac:dyDescent="0.2">
      <c r="A442" s="25"/>
      <c r="C442" s="38"/>
      <c r="D442" s="38"/>
      <c r="E442" s="38"/>
      <c r="F442" s="38"/>
      <c r="G442" s="38"/>
      <c r="H442" s="38"/>
      <c r="I442" s="38"/>
      <c r="J442" s="38"/>
      <c r="K442" s="251"/>
      <c r="L442" s="246"/>
    </row>
    <row r="443" spans="1:28" x14ac:dyDescent="0.2">
      <c r="A443" s="25"/>
      <c r="C443" s="38"/>
      <c r="E443" s="38"/>
      <c r="L443" s="246"/>
    </row>
    <row r="444" spans="1:28" s="137" customFormat="1" x14ac:dyDescent="0.2">
      <c r="A444" s="66"/>
      <c r="B444" s="137" t="s">
        <v>97</v>
      </c>
      <c r="C444" s="160">
        <f>C445+C446+C447</f>
        <v>1712690.8001323398</v>
      </c>
      <c r="D444" s="160">
        <f t="shared" ref="D444:K444" si="519">D445+D446+D447</f>
        <v>1228528.5181083581</v>
      </c>
      <c r="E444" s="160">
        <f t="shared" si="519"/>
        <v>8912561.3212692253</v>
      </c>
      <c r="F444" s="160">
        <f t="shared" si="519"/>
        <v>8168292.7939168047</v>
      </c>
      <c r="G444" s="160">
        <f t="shared" si="519"/>
        <v>9355267.3899171185</v>
      </c>
      <c r="H444" s="160">
        <f t="shared" si="519"/>
        <v>20258005.345961556</v>
      </c>
      <c r="I444" s="160">
        <f t="shared" si="519"/>
        <v>4450724.1310206279</v>
      </c>
      <c r="J444" s="160">
        <f t="shared" si="519"/>
        <v>1762489.6792812794</v>
      </c>
      <c r="K444" s="269">
        <f t="shared" si="519"/>
        <v>35303061.654342815</v>
      </c>
      <c r="L444" s="301">
        <f t="shared" ref="L444:AA444" si="520">L445+L446+L447</f>
        <v>77206897.166240692</v>
      </c>
      <c r="M444" s="301">
        <f t="shared" si="520"/>
        <v>132681437.01129271</v>
      </c>
      <c r="N444" s="301">
        <f t="shared" si="520"/>
        <v>203923012.06793132</v>
      </c>
      <c r="O444" s="301">
        <f t="shared" si="520"/>
        <v>217373995.33666182</v>
      </c>
      <c r="P444" s="413">
        <f t="shared" si="520"/>
        <v>214539750.43559301</v>
      </c>
      <c r="Q444" s="301">
        <f t="shared" si="520"/>
        <v>199486317.97148821</v>
      </c>
      <c r="R444" s="301">
        <f t="shared" si="520"/>
        <v>195880795.39654821</v>
      </c>
      <c r="S444" s="301">
        <f t="shared" si="520"/>
        <v>188171419.91571254</v>
      </c>
      <c r="T444" s="301">
        <f t="shared" si="520"/>
        <v>188058087.18779886</v>
      </c>
      <c r="U444" s="301">
        <f t="shared" si="520"/>
        <v>180381631.75018787</v>
      </c>
      <c r="V444" s="301">
        <f t="shared" si="520"/>
        <v>168770705.9811922</v>
      </c>
      <c r="W444" s="301">
        <f t="shared" si="520"/>
        <v>193581023.03981024</v>
      </c>
      <c r="X444" s="301">
        <f t="shared" si="520"/>
        <v>187965527.69882885</v>
      </c>
      <c r="Y444" s="301">
        <f t="shared" si="520"/>
        <v>149032494.23598084</v>
      </c>
      <c r="Z444" s="301">
        <f t="shared" si="520"/>
        <v>111834961.6872344</v>
      </c>
      <c r="AA444" s="301">
        <f t="shared" si="520"/>
        <v>74503893.711740017</v>
      </c>
      <c r="AB444" s="301">
        <f t="shared" ref="AB444" si="521">AB445+AB446+AB447</f>
        <v>63773538.279393554</v>
      </c>
    </row>
    <row r="445" spans="1:28" x14ac:dyDescent="0.2">
      <c r="A445" s="25"/>
      <c r="B445" t="s">
        <v>138</v>
      </c>
      <c r="C445" s="38">
        <f>C431-C438</f>
        <v>0</v>
      </c>
      <c r="D445" s="38">
        <f t="shared" ref="D445:K445" si="522">D431-D438</f>
        <v>0</v>
      </c>
      <c r="E445" s="38">
        <f t="shared" si="522"/>
        <v>0</v>
      </c>
      <c r="F445" s="38">
        <f t="shared" si="522"/>
        <v>0</v>
      </c>
      <c r="G445" s="38">
        <f t="shared" si="522"/>
        <v>0</v>
      </c>
      <c r="H445" s="38">
        <f t="shared" si="522"/>
        <v>0</v>
      </c>
      <c r="I445" s="38">
        <f t="shared" si="522"/>
        <v>0</v>
      </c>
      <c r="J445" s="38">
        <f t="shared" si="522"/>
        <v>0</v>
      </c>
      <c r="K445" s="251">
        <f t="shared" si="522"/>
        <v>0</v>
      </c>
      <c r="L445" s="76">
        <f t="shared" ref="L445:AA445" si="523">L431-L438</f>
        <v>0</v>
      </c>
      <c r="M445" s="76">
        <f t="shared" si="523"/>
        <v>0</v>
      </c>
      <c r="N445" s="76">
        <f t="shared" si="523"/>
        <v>0</v>
      </c>
      <c r="O445" s="76">
        <f t="shared" si="523"/>
        <v>0</v>
      </c>
      <c r="P445" s="390">
        <f t="shared" si="523"/>
        <v>0</v>
      </c>
      <c r="Q445" s="76">
        <f t="shared" si="523"/>
        <v>0</v>
      </c>
      <c r="R445" s="76">
        <f t="shared" si="523"/>
        <v>0</v>
      </c>
      <c r="S445" s="76">
        <f t="shared" si="523"/>
        <v>0</v>
      </c>
      <c r="T445" s="76">
        <f t="shared" si="523"/>
        <v>0</v>
      </c>
      <c r="U445" s="76">
        <f t="shared" si="523"/>
        <v>0</v>
      </c>
      <c r="V445" s="76">
        <f t="shared" si="523"/>
        <v>0</v>
      </c>
      <c r="W445" s="76">
        <f t="shared" si="523"/>
        <v>0</v>
      </c>
      <c r="X445" s="76">
        <f t="shared" si="523"/>
        <v>0</v>
      </c>
      <c r="Y445" s="76">
        <f t="shared" si="523"/>
        <v>0</v>
      </c>
      <c r="Z445" s="76">
        <f t="shared" si="523"/>
        <v>0</v>
      </c>
      <c r="AA445" s="76">
        <f t="shared" si="523"/>
        <v>0</v>
      </c>
      <c r="AB445" s="76">
        <f t="shared" ref="AB445" si="524">AB431-AB438</f>
        <v>0</v>
      </c>
    </row>
    <row r="446" spans="1:28" x14ac:dyDescent="0.2">
      <c r="A446" s="25"/>
      <c r="B446" t="s">
        <v>139</v>
      </c>
      <c r="C446" s="38">
        <f>C432-C439</f>
        <v>999430.82799999975</v>
      </c>
      <c r="D446" s="38">
        <f t="shared" ref="D446:K446" si="525">D432-D439</f>
        <v>660031.65319900587</v>
      </c>
      <c r="E446" s="38">
        <f t="shared" si="525"/>
        <v>3520773.3497117977</v>
      </c>
      <c r="F446" s="38">
        <f t="shared" si="525"/>
        <v>3503617.0737992502</v>
      </c>
      <c r="G446" s="38">
        <f t="shared" si="525"/>
        <v>3853888.4006053838</v>
      </c>
      <c r="H446" s="38">
        <f t="shared" si="525"/>
        <v>9130882.7854666337</v>
      </c>
      <c r="I446" s="38">
        <f t="shared" si="525"/>
        <v>1566499.6622009147</v>
      </c>
      <c r="J446" s="38">
        <f t="shared" si="525"/>
        <v>697290.99967162311</v>
      </c>
      <c r="K446" s="251">
        <f t="shared" si="525"/>
        <v>8921941.2038525697</v>
      </c>
      <c r="L446" s="76">
        <f t="shared" ref="L446:AA446" si="526">L432-L439</f>
        <v>11580663.109860539</v>
      </c>
      <c r="M446" s="76">
        <f t="shared" si="526"/>
        <v>14440546.960072055</v>
      </c>
      <c r="N446" s="76">
        <f t="shared" si="526"/>
        <v>17623090.307997484</v>
      </c>
      <c r="O446" s="76">
        <f t="shared" si="526"/>
        <v>19122966.9845649</v>
      </c>
      <c r="P446" s="390">
        <f t="shared" si="526"/>
        <v>20218917.010438845</v>
      </c>
      <c r="Q446" s="76">
        <f t="shared" si="526"/>
        <v>21181068.222138852</v>
      </c>
      <c r="R446" s="76">
        <f t="shared" si="526"/>
        <v>23811223.57229834</v>
      </c>
      <c r="S446" s="76">
        <f t="shared" si="526"/>
        <v>26610787.860397071</v>
      </c>
      <c r="T446" s="76">
        <f t="shared" si="526"/>
        <v>29216819.741972402</v>
      </c>
      <c r="U446" s="76">
        <f t="shared" si="526"/>
        <v>30999556.278627411</v>
      </c>
      <c r="V446" s="76">
        <f t="shared" si="526"/>
        <v>32408694.887163542</v>
      </c>
      <c r="W446" s="76">
        <f t="shared" si="526"/>
        <v>34404739.719906285</v>
      </c>
      <c r="X446" s="76">
        <f t="shared" si="526"/>
        <v>33496849.13607908</v>
      </c>
      <c r="Y446" s="76">
        <f t="shared" si="526"/>
        <v>28105707.445717029</v>
      </c>
      <c r="Z446" s="76">
        <f t="shared" si="526"/>
        <v>23336523.566400565</v>
      </c>
      <c r="AA446" s="76">
        <f t="shared" si="526"/>
        <v>22670050.470046483</v>
      </c>
      <c r="AB446" s="76">
        <f t="shared" ref="AB446" si="527">AB432-AB439</f>
        <v>24528310.090283632</v>
      </c>
    </row>
    <row r="447" spans="1:28" x14ac:dyDescent="0.2">
      <c r="A447" s="25"/>
      <c r="B447" t="s">
        <v>140</v>
      </c>
      <c r="C447" s="38">
        <f>C433-C440</f>
        <v>713259.97213234007</v>
      </c>
      <c r="D447" s="38">
        <f t="shared" ref="D447:K447" si="528">D433-D440</f>
        <v>568496.86490935227</v>
      </c>
      <c r="E447" s="38">
        <f t="shared" si="528"/>
        <v>5391787.9715574272</v>
      </c>
      <c r="F447" s="38">
        <f t="shared" si="528"/>
        <v>4664675.7201175541</v>
      </c>
      <c r="G447" s="38">
        <f t="shared" si="528"/>
        <v>5501378.9893117342</v>
      </c>
      <c r="H447" s="38">
        <f t="shared" si="528"/>
        <v>11127122.560494922</v>
      </c>
      <c r="I447" s="38">
        <f t="shared" si="528"/>
        <v>2884224.4688197132</v>
      </c>
      <c r="J447" s="38">
        <f t="shared" si="528"/>
        <v>1065198.6796096563</v>
      </c>
      <c r="K447" s="251">
        <f t="shared" si="528"/>
        <v>26381120.450490244</v>
      </c>
      <c r="L447" s="76">
        <f t="shared" ref="L447:AA447" si="529">L433-L440</f>
        <v>65626234.05638016</v>
      </c>
      <c r="M447" s="76">
        <f t="shared" si="529"/>
        <v>118240890.05122066</v>
      </c>
      <c r="N447" s="76">
        <f t="shared" si="529"/>
        <v>186299921.75993383</v>
      </c>
      <c r="O447" s="76">
        <f t="shared" si="529"/>
        <v>198251028.35209692</v>
      </c>
      <c r="P447" s="390">
        <f t="shared" si="529"/>
        <v>194320833.42515415</v>
      </c>
      <c r="Q447" s="76">
        <f t="shared" si="529"/>
        <v>178305249.74934936</v>
      </c>
      <c r="R447" s="76">
        <f t="shared" si="529"/>
        <v>172069571.82424986</v>
      </c>
      <c r="S447" s="76">
        <f t="shared" si="529"/>
        <v>161560632.05531546</v>
      </c>
      <c r="T447" s="76">
        <f t="shared" si="529"/>
        <v>158841267.44582647</v>
      </c>
      <c r="U447" s="76">
        <f t="shared" si="529"/>
        <v>149382075.47156048</v>
      </c>
      <c r="V447" s="76">
        <f t="shared" si="529"/>
        <v>136362011.09402865</v>
      </c>
      <c r="W447" s="76">
        <f t="shared" si="529"/>
        <v>159176283.31990394</v>
      </c>
      <c r="X447" s="76">
        <f t="shared" si="529"/>
        <v>154468678.56274977</v>
      </c>
      <c r="Y447" s="76">
        <f t="shared" si="529"/>
        <v>120926786.7902638</v>
      </c>
      <c r="Z447" s="76">
        <f t="shared" si="529"/>
        <v>88498438.120833844</v>
      </c>
      <c r="AA447" s="76">
        <f t="shared" si="529"/>
        <v>51833843.241693527</v>
      </c>
      <c r="AB447" s="76">
        <f t="shared" ref="AB447" si="530">AB433-AB440</f>
        <v>39245228.189109921</v>
      </c>
    </row>
    <row r="448" spans="1:28" x14ac:dyDescent="0.2">
      <c r="A448" s="25"/>
      <c r="C448" s="38"/>
      <c r="E448" s="38"/>
      <c r="L448" s="246"/>
    </row>
    <row r="449" spans="1:28" x14ac:dyDescent="0.2">
      <c r="A449" s="151" t="s">
        <v>98</v>
      </c>
      <c r="B449" s="137" t="s">
        <v>144</v>
      </c>
      <c r="C449" s="38">
        <f>C429-C441</f>
        <v>1712690.8001323398</v>
      </c>
      <c r="D449" s="38">
        <f t="shared" ref="D449:K449" si="531">D429-D441</f>
        <v>1228528.5181083567</v>
      </c>
      <c r="E449" s="38">
        <f t="shared" si="531"/>
        <v>8912561.3212692253</v>
      </c>
      <c r="F449" s="38">
        <f t="shared" si="531"/>
        <v>8168292.7939168047</v>
      </c>
      <c r="G449" s="38">
        <f t="shared" si="531"/>
        <v>9355267.3899171185</v>
      </c>
      <c r="H449" s="38">
        <f t="shared" si="531"/>
        <v>20258005.345961556</v>
      </c>
      <c r="I449" s="38">
        <f t="shared" si="531"/>
        <v>0</v>
      </c>
      <c r="J449" s="38">
        <f t="shared" si="531"/>
        <v>1254618.5101233125</v>
      </c>
      <c r="K449" s="251">
        <f t="shared" si="531"/>
        <v>6798566.6704218872</v>
      </c>
      <c r="L449" s="76">
        <f t="shared" ref="L449:AA449" si="532">L429-L441</f>
        <v>9045071.6857669428</v>
      </c>
      <c r="M449" s="76">
        <f t="shared" si="532"/>
        <v>10982568.595922619</v>
      </c>
      <c r="N449" s="76">
        <f t="shared" si="532"/>
        <v>13188604.39188334</v>
      </c>
      <c r="O449" s="76">
        <f t="shared" si="532"/>
        <v>20159741.210397273</v>
      </c>
      <c r="P449" s="390">
        <f t="shared" si="532"/>
        <v>29762292.200904161</v>
      </c>
      <c r="Q449" s="76">
        <f t="shared" si="532"/>
        <v>36484930.85689491</v>
      </c>
      <c r="R449" s="76">
        <f t="shared" si="532"/>
        <v>35161913.490697548</v>
      </c>
      <c r="S449" s="76">
        <f t="shared" si="532"/>
        <v>32976063.877949134</v>
      </c>
      <c r="T449" s="76">
        <f t="shared" si="532"/>
        <v>31900733.40491195</v>
      </c>
      <c r="U449" s="76">
        <f t="shared" si="532"/>
        <v>33903077.53189528</v>
      </c>
      <c r="V449" s="76">
        <f t="shared" si="532"/>
        <v>37418509.884694412</v>
      </c>
      <c r="W449" s="76">
        <f t="shared" si="532"/>
        <v>48954256.054395974</v>
      </c>
      <c r="X449" s="76">
        <f t="shared" si="532"/>
        <v>62264689.790211737</v>
      </c>
      <c r="Y449" s="76">
        <f t="shared" si="532"/>
        <v>81921457.24380219</v>
      </c>
      <c r="Z449" s="76">
        <f t="shared" si="532"/>
        <v>94819563.760425091</v>
      </c>
      <c r="AA449" s="76">
        <f t="shared" si="532"/>
        <v>74503893.711740017</v>
      </c>
      <c r="AB449" s="76">
        <f t="shared" ref="AB449" si="533">AB429-AB441</f>
        <v>63773538.279393554</v>
      </c>
    </row>
    <row r="450" spans="1:28" x14ac:dyDescent="0.2">
      <c r="A450" s="25"/>
      <c r="B450" t="s">
        <v>138</v>
      </c>
      <c r="C450" s="38">
        <f>MIN(C445,C449)</f>
        <v>0</v>
      </c>
      <c r="D450" s="38">
        <f t="shared" ref="D450:K450" si="534">MIN(D445,D449)</f>
        <v>0</v>
      </c>
      <c r="E450" s="38">
        <f t="shared" si="534"/>
        <v>0</v>
      </c>
      <c r="F450" s="38">
        <f t="shared" si="534"/>
        <v>0</v>
      </c>
      <c r="G450" s="38">
        <f t="shared" si="534"/>
        <v>0</v>
      </c>
      <c r="H450" s="38">
        <f t="shared" si="534"/>
        <v>0</v>
      </c>
      <c r="I450" s="38">
        <f t="shared" si="534"/>
        <v>0</v>
      </c>
      <c r="J450" s="38">
        <f t="shared" si="534"/>
        <v>0</v>
      </c>
      <c r="K450" s="251">
        <f t="shared" si="534"/>
        <v>0</v>
      </c>
      <c r="L450" s="76">
        <f t="shared" ref="L450:AA450" si="535">MIN(L445,L449)</f>
        <v>0</v>
      </c>
      <c r="M450" s="76">
        <f t="shared" si="535"/>
        <v>0</v>
      </c>
      <c r="N450" s="76">
        <f t="shared" si="535"/>
        <v>0</v>
      </c>
      <c r="O450" s="76">
        <f t="shared" si="535"/>
        <v>0</v>
      </c>
      <c r="P450" s="390">
        <f t="shared" si="535"/>
        <v>0</v>
      </c>
      <c r="Q450" s="76">
        <f t="shared" si="535"/>
        <v>0</v>
      </c>
      <c r="R450" s="76">
        <f t="shared" si="535"/>
        <v>0</v>
      </c>
      <c r="S450" s="76">
        <f t="shared" si="535"/>
        <v>0</v>
      </c>
      <c r="T450" s="76">
        <f t="shared" si="535"/>
        <v>0</v>
      </c>
      <c r="U450" s="76">
        <f t="shared" si="535"/>
        <v>0</v>
      </c>
      <c r="V450" s="76">
        <f t="shared" si="535"/>
        <v>0</v>
      </c>
      <c r="W450" s="76">
        <f t="shared" si="535"/>
        <v>0</v>
      </c>
      <c r="X450" s="76">
        <f t="shared" si="535"/>
        <v>0</v>
      </c>
      <c r="Y450" s="76">
        <f t="shared" si="535"/>
        <v>0</v>
      </c>
      <c r="Z450" s="76">
        <f t="shared" si="535"/>
        <v>0</v>
      </c>
      <c r="AA450" s="76">
        <f t="shared" si="535"/>
        <v>0</v>
      </c>
      <c r="AB450" s="76">
        <f t="shared" ref="AB450" si="536">MIN(AB445,AB449)</f>
        <v>0</v>
      </c>
    </row>
    <row r="451" spans="1:28" x14ac:dyDescent="0.2">
      <c r="A451" s="25"/>
      <c r="B451" t="s">
        <v>139</v>
      </c>
      <c r="C451" s="38">
        <f>MIN(C449-C450,C446)</f>
        <v>999430.82799999975</v>
      </c>
      <c r="D451" s="38">
        <f t="shared" ref="D451:K451" si="537">MIN(D449-D450,D446)</f>
        <v>660031.65319900587</v>
      </c>
      <c r="E451" s="38">
        <f t="shared" si="537"/>
        <v>3520773.3497117977</v>
      </c>
      <c r="F451" s="38">
        <f t="shared" si="537"/>
        <v>3503617.0737992502</v>
      </c>
      <c r="G451" s="38">
        <f t="shared" si="537"/>
        <v>3853888.4006053838</v>
      </c>
      <c r="H451" s="38">
        <f t="shared" si="537"/>
        <v>9130882.7854666337</v>
      </c>
      <c r="I451" s="38">
        <f t="shared" si="537"/>
        <v>0</v>
      </c>
      <c r="J451" s="38">
        <f t="shared" si="537"/>
        <v>697290.99967162311</v>
      </c>
      <c r="K451" s="251">
        <f t="shared" si="537"/>
        <v>6798566.6704218872</v>
      </c>
      <c r="L451" s="76">
        <f t="shared" ref="L451:AA451" si="538">MIN(L449-L450,L446)</f>
        <v>9045071.6857669428</v>
      </c>
      <c r="M451" s="76">
        <f t="shared" si="538"/>
        <v>10982568.595922619</v>
      </c>
      <c r="N451" s="76">
        <f t="shared" si="538"/>
        <v>13188604.39188334</v>
      </c>
      <c r="O451" s="76">
        <f t="shared" si="538"/>
        <v>19122966.9845649</v>
      </c>
      <c r="P451" s="390">
        <f t="shared" si="538"/>
        <v>20218917.010438845</v>
      </c>
      <c r="Q451" s="76">
        <f t="shared" si="538"/>
        <v>21181068.222138852</v>
      </c>
      <c r="R451" s="76">
        <f t="shared" si="538"/>
        <v>23811223.57229834</v>
      </c>
      <c r="S451" s="76">
        <f t="shared" si="538"/>
        <v>26610787.860397071</v>
      </c>
      <c r="T451" s="76">
        <f t="shared" si="538"/>
        <v>29216819.741972402</v>
      </c>
      <c r="U451" s="76">
        <f t="shared" si="538"/>
        <v>30999556.278627411</v>
      </c>
      <c r="V451" s="76">
        <f t="shared" si="538"/>
        <v>32408694.887163542</v>
      </c>
      <c r="W451" s="76">
        <f t="shared" si="538"/>
        <v>34404739.719906285</v>
      </c>
      <c r="X451" s="76">
        <f t="shared" si="538"/>
        <v>33496849.13607908</v>
      </c>
      <c r="Y451" s="76">
        <f t="shared" si="538"/>
        <v>28105707.445717029</v>
      </c>
      <c r="Z451" s="76">
        <f t="shared" si="538"/>
        <v>23336523.566400565</v>
      </c>
      <c r="AA451" s="76">
        <f t="shared" si="538"/>
        <v>22670050.470046483</v>
      </c>
      <c r="AB451" s="76">
        <f t="shared" ref="AB451" si="539">MIN(AB449-AB450,AB446)</f>
        <v>24528310.090283632</v>
      </c>
    </row>
    <row r="452" spans="1:28" x14ac:dyDescent="0.2">
      <c r="A452" s="25"/>
      <c r="B452" t="s">
        <v>140</v>
      </c>
      <c r="C452" s="38">
        <f>MIN(C449-C450-C451,C447)</f>
        <v>713259.97213234007</v>
      </c>
      <c r="D452" s="38">
        <f t="shared" ref="D452:K452" si="540">MIN(D449-D450-D451,D447)</f>
        <v>568496.86490935087</v>
      </c>
      <c r="E452" s="38">
        <f t="shared" si="540"/>
        <v>5391787.9715574272</v>
      </c>
      <c r="F452" s="38">
        <f t="shared" si="540"/>
        <v>4664675.7201175541</v>
      </c>
      <c r="G452" s="38">
        <f t="shared" si="540"/>
        <v>5501378.9893117342</v>
      </c>
      <c r="H452" s="38">
        <f t="shared" si="540"/>
        <v>11127122.560494922</v>
      </c>
      <c r="I452" s="38">
        <f t="shared" si="540"/>
        <v>0</v>
      </c>
      <c r="J452" s="38">
        <f t="shared" si="540"/>
        <v>557327.51045168936</v>
      </c>
      <c r="K452" s="251">
        <f t="shared" si="540"/>
        <v>0</v>
      </c>
      <c r="L452" s="76">
        <f t="shared" ref="L452:AA452" si="541">MIN(L449-L450-L451,L447)</f>
        <v>0</v>
      </c>
      <c r="M452" s="76">
        <f t="shared" si="541"/>
        <v>0</v>
      </c>
      <c r="N452" s="76">
        <f t="shared" si="541"/>
        <v>0</v>
      </c>
      <c r="O452" s="76">
        <f t="shared" si="541"/>
        <v>1036774.2258323729</v>
      </c>
      <c r="P452" s="390">
        <f t="shared" si="541"/>
        <v>9543375.1904653162</v>
      </c>
      <c r="Q452" s="76">
        <f t="shared" si="541"/>
        <v>15303862.634756058</v>
      </c>
      <c r="R452" s="76">
        <f t="shared" si="541"/>
        <v>11350689.918399207</v>
      </c>
      <c r="S452" s="76">
        <f t="shared" si="541"/>
        <v>6365276.0175520629</v>
      </c>
      <c r="T452" s="76">
        <f t="shared" si="541"/>
        <v>2683913.6629395485</v>
      </c>
      <c r="U452" s="76">
        <f t="shared" si="541"/>
        <v>2903521.2532678694</v>
      </c>
      <c r="V452" s="76">
        <f t="shared" si="541"/>
        <v>5009814.9975308701</v>
      </c>
      <c r="W452" s="76">
        <f t="shared" si="541"/>
        <v>14549516.334489688</v>
      </c>
      <c r="X452" s="76">
        <f t="shared" si="541"/>
        <v>28767840.654132657</v>
      </c>
      <c r="Y452" s="76">
        <f t="shared" si="541"/>
        <v>53815749.798085161</v>
      </c>
      <c r="Z452" s="76">
        <f t="shared" si="541"/>
        <v>71483040.194024533</v>
      </c>
      <c r="AA452" s="76">
        <f t="shared" si="541"/>
        <v>51833843.241693527</v>
      </c>
      <c r="AB452" s="76">
        <f t="shared" ref="AB452" si="542">MIN(AB449-AB450-AB451,AB447)</f>
        <v>39245228.189109921</v>
      </c>
    </row>
    <row r="453" spans="1:28" x14ac:dyDescent="0.2">
      <c r="A453" s="25"/>
      <c r="C453" s="38"/>
      <c r="E453" s="38"/>
      <c r="L453" s="246"/>
    </row>
    <row r="454" spans="1:28" x14ac:dyDescent="0.2">
      <c r="A454" s="25"/>
      <c r="B454" s="159" t="s">
        <v>146</v>
      </c>
      <c r="C454" s="38"/>
      <c r="E454" s="38"/>
      <c r="L454" s="246"/>
    </row>
    <row r="455" spans="1:28" x14ac:dyDescent="0.2">
      <c r="A455" s="25"/>
      <c r="B455" t="s">
        <v>138</v>
      </c>
      <c r="C455" s="38">
        <f>C438+C450</f>
        <v>0</v>
      </c>
      <c r="D455" s="38">
        <f t="shared" ref="D455:K455" si="543">D438+D450</f>
        <v>0</v>
      </c>
      <c r="E455" s="38">
        <f t="shared" si="543"/>
        <v>0</v>
      </c>
      <c r="F455" s="38">
        <f t="shared" si="543"/>
        <v>0</v>
      </c>
      <c r="G455" s="38">
        <f t="shared" si="543"/>
        <v>0</v>
      </c>
      <c r="H455" s="38">
        <f t="shared" si="543"/>
        <v>0</v>
      </c>
      <c r="I455" s="38">
        <f t="shared" si="543"/>
        <v>0</v>
      </c>
      <c r="J455" s="38">
        <f t="shared" si="543"/>
        <v>0</v>
      </c>
      <c r="K455" s="251">
        <f t="shared" si="543"/>
        <v>0</v>
      </c>
      <c r="L455" s="76">
        <f t="shared" ref="L455:AA455" si="544">L438+L450</f>
        <v>0</v>
      </c>
      <c r="M455" s="76">
        <f t="shared" si="544"/>
        <v>0</v>
      </c>
      <c r="N455" s="76">
        <f t="shared" si="544"/>
        <v>0</v>
      </c>
      <c r="O455" s="76">
        <f t="shared" si="544"/>
        <v>0</v>
      </c>
      <c r="P455" s="390">
        <f t="shared" si="544"/>
        <v>0</v>
      </c>
      <c r="Q455" s="76">
        <f t="shared" si="544"/>
        <v>0</v>
      </c>
      <c r="R455" s="76">
        <f t="shared" si="544"/>
        <v>0</v>
      </c>
      <c r="S455" s="76">
        <f t="shared" si="544"/>
        <v>0</v>
      </c>
      <c r="T455" s="76">
        <f t="shared" si="544"/>
        <v>0</v>
      </c>
      <c r="U455" s="76">
        <f t="shared" si="544"/>
        <v>0</v>
      </c>
      <c r="V455" s="76">
        <f t="shared" si="544"/>
        <v>0</v>
      </c>
      <c r="W455" s="76">
        <f t="shared" si="544"/>
        <v>0</v>
      </c>
      <c r="X455" s="76">
        <f t="shared" si="544"/>
        <v>0</v>
      </c>
      <c r="Y455" s="76">
        <f t="shared" si="544"/>
        <v>0</v>
      </c>
      <c r="Z455" s="76">
        <f t="shared" si="544"/>
        <v>0</v>
      </c>
      <c r="AA455" s="76">
        <f t="shared" si="544"/>
        <v>0</v>
      </c>
      <c r="AB455" s="76">
        <f t="shared" ref="AB455" si="545">AB438+AB450</f>
        <v>0</v>
      </c>
    </row>
    <row r="456" spans="1:28" x14ac:dyDescent="0.2">
      <c r="A456" s="25"/>
      <c r="B456" t="s">
        <v>139</v>
      </c>
      <c r="C456" s="38">
        <f>C439+C451</f>
        <v>3997723.3119999999</v>
      </c>
      <c r="D456" s="38">
        <f t="shared" ref="D456:K456" si="546">D439+D451</f>
        <v>4889123.3570296699</v>
      </c>
      <c r="E456" s="38">
        <f t="shared" si="546"/>
        <v>5867955.582852996</v>
      </c>
      <c r="F456" s="38">
        <f t="shared" si="546"/>
        <v>7007234.1475985004</v>
      </c>
      <c r="G456" s="38">
        <f t="shared" si="546"/>
        <v>7707776.8012107676</v>
      </c>
      <c r="H456" s="38">
        <f t="shared" si="546"/>
        <v>9130882.7854666337</v>
      </c>
      <c r="I456" s="38">
        <f t="shared" si="546"/>
        <v>8257540.100730177</v>
      </c>
      <c r="J456" s="38">
        <f t="shared" si="546"/>
        <v>10128182.9378621</v>
      </c>
      <c r="K456" s="251">
        <f t="shared" si="546"/>
        <v>10807613.523875168</v>
      </c>
      <c r="L456" s="76">
        <f t="shared" ref="L456:AA456" si="547">L439+L451</f>
        <v>12210745.232622243</v>
      </c>
      <c r="M456" s="76">
        <f t="shared" si="547"/>
        <v>13771605.022490077</v>
      </c>
      <c r="N456" s="76">
        <f t="shared" si="547"/>
        <v>15848052.103944901</v>
      </c>
      <c r="O456" s="76">
        <f t="shared" si="547"/>
        <v>23261147.44309843</v>
      </c>
      <c r="P456" s="390">
        <f t="shared" si="547"/>
        <v>26763670.300215431</v>
      </c>
      <c r="Q456" s="76">
        <f t="shared" si="547"/>
        <v>30220165.442651868</v>
      </c>
      <c r="R456" s="76">
        <f t="shared" si="547"/>
        <v>33784529.482887141</v>
      </c>
      <c r="S456" s="76">
        <f t="shared" si="547"/>
        <v>37492059.991663545</v>
      </c>
      <c r="T456" s="76">
        <f t="shared" si="547"/>
        <v>40781093.916084245</v>
      </c>
      <c r="U456" s="76">
        <f t="shared" si="547"/>
        <v>44594551.970814764</v>
      </c>
      <c r="V456" s="76">
        <f t="shared" si="547"/>
        <v>49174628.762843773</v>
      </c>
      <c r="W456" s="76">
        <f t="shared" si="547"/>
        <v>54705987.708984539</v>
      </c>
      <c r="X456" s="76">
        <f t="shared" si="547"/>
        <v>59387583.147415146</v>
      </c>
      <c r="Y456" s="76">
        <f t="shared" si="547"/>
        <v>64154274.478862472</v>
      </c>
      <c r="Z456" s="76">
        <f t="shared" si="547"/>
        <v>69503699.006806448</v>
      </c>
      <c r="AA456" s="76">
        <f t="shared" si="547"/>
        <v>75566834.900154933</v>
      </c>
      <c r="AB456" s="76">
        <f t="shared" ref="AB456" si="548">AB439+AB451</f>
        <v>81761033.634278774</v>
      </c>
    </row>
    <row r="457" spans="1:28" x14ac:dyDescent="0.2">
      <c r="A457" s="25"/>
      <c r="B457" t="s">
        <v>140</v>
      </c>
      <c r="C457" s="38">
        <f>C440+C452</f>
        <v>2853039.8885293594</v>
      </c>
      <c r="D457" s="38">
        <f t="shared" ref="D457:K457" si="549">D440+D452</f>
        <v>4211087.8882174212</v>
      </c>
      <c r="E457" s="38">
        <f t="shared" si="549"/>
        <v>8986313.2859290466</v>
      </c>
      <c r="F457" s="38">
        <f t="shared" si="549"/>
        <v>9329351.4402351081</v>
      </c>
      <c r="G457" s="38">
        <f t="shared" si="549"/>
        <v>11002757.978623468</v>
      </c>
      <c r="H457" s="38">
        <f t="shared" si="549"/>
        <v>11127122.560494922</v>
      </c>
      <c r="I457" s="38">
        <f t="shared" si="549"/>
        <v>15203705.296255166</v>
      </c>
      <c r="J457" s="38">
        <f t="shared" si="549"/>
        <v>14964187.264604138</v>
      </c>
      <c r="K457" s="251">
        <f t="shared" si="549"/>
        <v>11854275.377531121</v>
      </c>
      <c r="L457" s="76">
        <f t="shared" ref="L457:AA457" si="550">L440+L452</f>
        <v>17939493.719934233</v>
      </c>
      <c r="M457" s="76">
        <f t="shared" si="550"/>
        <v>22836956.963918664</v>
      </c>
      <c r="N457" s="76">
        <f t="shared" si="550"/>
        <v>28113962.535666224</v>
      </c>
      <c r="O457" s="76">
        <f t="shared" si="550"/>
        <v>43937989.924892485</v>
      </c>
      <c r="P457" s="390">
        <f t="shared" si="550"/>
        <v>72443970.369465053</v>
      </c>
      <c r="Q457" s="76">
        <f t="shared" si="550"/>
        <v>91396270.746997774</v>
      </c>
      <c r="R457" s="76">
        <f t="shared" si="550"/>
        <v>83421848.81943801</v>
      </c>
      <c r="S457" s="76">
        <f t="shared" si="550"/>
        <v>72428152.934833586</v>
      </c>
      <c r="T457" s="76">
        <f t="shared" si="550"/>
        <v>65554684.100288913</v>
      </c>
      <c r="U457" s="76">
        <f t="shared" si="550"/>
        <v>68415706.468836129</v>
      </c>
      <c r="V457" s="76">
        <f t="shared" si="550"/>
        <v>75553737.51947087</v>
      </c>
      <c r="W457" s="76">
        <f t="shared" si="550"/>
        <v>108474865.80566867</v>
      </c>
      <c r="X457" s="76">
        <f t="shared" si="550"/>
        <v>148161382.81995729</v>
      </c>
      <c r="Y457" s="76">
        <f t="shared" si="550"/>
        <v>208917249.66714486</v>
      </c>
      <c r="Z457" s="76">
        <f t="shared" si="550"/>
        <v>246561513.52794385</v>
      </c>
      <c r="AA457" s="76">
        <f t="shared" si="550"/>
        <v>172779477.47231174</v>
      </c>
      <c r="AB457" s="76">
        <f t="shared" ref="AB457" si="551">AB440+AB452</f>
        <v>130817427.29703304</v>
      </c>
    </row>
    <row r="458" spans="1:28" x14ac:dyDescent="0.2">
      <c r="A458" s="25"/>
      <c r="C458" s="38"/>
      <c r="D458" s="38"/>
      <c r="E458" s="38"/>
      <c r="F458" s="38"/>
      <c r="G458" s="38"/>
      <c r="H458" s="38"/>
      <c r="I458" s="38"/>
      <c r="J458" s="38"/>
      <c r="K458" s="251"/>
      <c r="L458" s="246"/>
    </row>
    <row r="459" spans="1:28" x14ac:dyDescent="0.2">
      <c r="A459" s="25"/>
      <c r="C459" s="38"/>
      <c r="D459" s="38"/>
      <c r="E459" s="38"/>
      <c r="F459" s="38"/>
      <c r="G459" s="38"/>
      <c r="H459" s="38"/>
      <c r="I459" s="38"/>
      <c r="J459" s="38"/>
      <c r="K459" s="251"/>
      <c r="L459" s="246"/>
    </row>
    <row r="460" spans="1:28" x14ac:dyDescent="0.2">
      <c r="A460" s="157">
        <v>2</v>
      </c>
      <c r="B460" s="158" t="s">
        <v>3</v>
      </c>
      <c r="C460" s="38"/>
      <c r="D460" s="38"/>
      <c r="E460" s="38"/>
      <c r="F460" s="38"/>
      <c r="G460" s="38"/>
      <c r="H460" s="38"/>
      <c r="I460" s="38"/>
      <c r="J460" s="38"/>
      <c r="K460" s="251"/>
      <c r="L460" s="246"/>
    </row>
    <row r="461" spans="1:28" x14ac:dyDescent="0.2">
      <c r="A461" s="25"/>
      <c r="B461" s="25" t="s">
        <v>136</v>
      </c>
      <c r="C461" s="38">
        <f>C418</f>
        <v>1494081.5889561356</v>
      </c>
      <c r="D461" s="38">
        <f t="shared" ref="D461:K461" si="552">D418</f>
        <v>1459606.7037166068</v>
      </c>
      <c r="E461" s="38">
        <f t="shared" si="552"/>
        <v>1711925.0111385246</v>
      </c>
      <c r="F461" s="38">
        <f t="shared" si="552"/>
        <v>1827171.8889598032</v>
      </c>
      <c r="G461" s="38">
        <f t="shared" si="552"/>
        <v>1629796.5295422231</v>
      </c>
      <c r="H461" s="38">
        <f t="shared" si="552"/>
        <v>2199016.999447397</v>
      </c>
      <c r="I461" s="38">
        <f t="shared" si="552"/>
        <v>3224110.6807134831</v>
      </c>
      <c r="J461" s="38">
        <f t="shared" si="552"/>
        <v>4419916.7873869827</v>
      </c>
      <c r="K461" s="251">
        <f t="shared" si="552"/>
        <v>2590649.2511561061</v>
      </c>
      <c r="L461" s="76">
        <f t="shared" ref="L461:AA461" si="553">L418</f>
        <v>2880524.6048277831</v>
      </c>
      <c r="M461" s="76">
        <f t="shared" si="553"/>
        <v>3042656.3705212078</v>
      </c>
      <c r="N461" s="76">
        <f t="shared" si="553"/>
        <v>3300804.5418827776</v>
      </c>
      <c r="O461" s="76">
        <f t="shared" si="553"/>
        <v>2548881.621572678</v>
      </c>
      <c r="P461" s="390">
        <f t="shared" si="553"/>
        <v>5089946.5297730677</v>
      </c>
      <c r="Q461" s="76">
        <f t="shared" si="553"/>
        <v>7535425.922641742</v>
      </c>
      <c r="R461" s="76">
        <f t="shared" si="553"/>
        <v>7741083.9561881879</v>
      </c>
      <c r="S461" s="76">
        <f t="shared" si="553"/>
        <v>7310097.6043402012</v>
      </c>
      <c r="T461" s="76">
        <f t="shared" si="553"/>
        <v>7187461.4865504019</v>
      </c>
      <c r="U461" s="76">
        <f t="shared" si="553"/>
        <v>8194160.7689364478</v>
      </c>
      <c r="V461" s="76">
        <f t="shared" si="553"/>
        <v>10532736.6209302</v>
      </c>
      <c r="W461" s="76">
        <f t="shared" si="553"/>
        <v>11028214.484461144</v>
      </c>
      <c r="X461" s="76">
        <f t="shared" si="553"/>
        <v>10613750.743462648</v>
      </c>
      <c r="Y461" s="76">
        <f t="shared" si="553"/>
        <v>10067877.874191031</v>
      </c>
      <c r="Z461" s="76">
        <f t="shared" si="553"/>
        <v>11796455.563074416</v>
      </c>
      <c r="AA461" s="76">
        <f t="shared" si="553"/>
        <v>15005732.130121654</v>
      </c>
      <c r="AB461" s="76">
        <f t="shared" ref="AB461" si="554">AB418</f>
        <v>16918604.626858868</v>
      </c>
    </row>
    <row r="462" spans="1:28" x14ac:dyDescent="0.2">
      <c r="A462" s="25"/>
      <c r="B462" s="137" t="s">
        <v>137</v>
      </c>
      <c r="C462" s="38">
        <f>SUM(C463:C465)</f>
        <v>1494081.5889561358</v>
      </c>
      <c r="D462" s="38">
        <f t="shared" ref="D462:K462" si="555">SUM(D463:D465)</f>
        <v>1459606.7037166068</v>
      </c>
      <c r="E462" s="38">
        <f t="shared" si="555"/>
        <v>1711925.0111385246</v>
      </c>
      <c r="F462" s="38">
        <f t="shared" si="555"/>
        <v>1827171.8889598029</v>
      </c>
      <c r="G462" s="38">
        <f t="shared" si="555"/>
        <v>1629796.5295422231</v>
      </c>
      <c r="H462" s="38">
        <f t="shared" si="555"/>
        <v>2199016.9994473974</v>
      </c>
      <c r="I462" s="38">
        <f t="shared" si="555"/>
        <v>3224110.6807134836</v>
      </c>
      <c r="J462" s="38">
        <f t="shared" si="555"/>
        <v>4419916.7873869836</v>
      </c>
      <c r="K462" s="251">
        <f t="shared" si="555"/>
        <v>6145120.5743934326</v>
      </c>
      <c r="L462" s="76">
        <f t="shared" ref="L462:AA462" si="556">SUM(L463:L465)</f>
        <v>8248021.2802325897</v>
      </c>
      <c r="M462" s="76">
        <f t="shared" si="556"/>
        <v>10600295.868963894</v>
      </c>
      <c r="N462" s="76">
        <f t="shared" si="556"/>
        <v>13290237.723010153</v>
      </c>
      <c r="O462" s="76">
        <f t="shared" si="556"/>
        <v>7912962.7759464942</v>
      </c>
      <c r="P462" s="390">
        <f t="shared" si="556"/>
        <v>10730748.884710243</v>
      </c>
      <c r="Q462" s="76">
        <f t="shared" si="556"/>
        <v>12534258.479581565</v>
      </c>
      <c r="R462" s="76">
        <f t="shared" si="556"/>
        <v>11947172.998416763</v>
      </c>
      <c r="S462" s="76">
        <f t="shared" si="556"/>
        <v>12755440.972723844</v>
      </c>
      <c r="T462" s="76">
        <f t="shared" si="556"/>
        <v>12695947.115193065</v>
      </c>
      <c r="U462" s="76">
        <f t="shared" si="556"/>
        <v>14773868.480300384</v>
      </c>
      <c r="V462" s="76">
        <f t="shared" si="556"/>
        <v>17051377.01747451</v>
      </c>
      <c r="W462" s="76">
        <f t="shared" si="556"/>
        <v>13053163.306990311</v>
      </c>
      <c r="X462" s="76">
        <f t="shared" si="556"/>
        <v>13896727.854317293</v>
      </c>
      <c r="Y462" s="76">
        <f t="shared" si="556"/>
        <v>14565739.328089779</v>
      </c>
      <c r="Z462" s="76">
        <f t="shared" si="556"/>
        <v>15245812.157752492</v>
      </c>
      <c r="AA462" s="76">
        <f t="shared" si="556"/>
        <v>16025079.122011319</v>
      </c>
      <c r="AB462" s="76">
        <f t="shared" ref="AB462" si="557">SUM(AB463:AB465)</f>
        <v>16918604.626858868</v>
      </c>
    </row>
    <row r="463" spans="1:28" x14ac:dyDescent="0.2">
      <c r="A463" s="25"/>
      <c r="B463" t="s">
        <v>138</v>
      </c>
      <c r="C463" s="38">
        <f>C25</f>
        <v>332573.28000000003</v>
      </c>
      <c r="D463" s="38">
        <f t="shared" ref="D463:K463" si="558">D25</f>
        <v>408479.33510024438</v>
      </c>
      <c r="E463" s="38">
        <f t="shared" si="558"/>
        <v>526186.66606224701</v>
      </c>
      <c r="F463" s="38">
        <f t="shared" si="558"/>
        <v>585002.48398389819</v>
      </c>
      <c r="G463" s="38">
        <f t="shared" si="558"/>
        <v>625045.08736597991</v>
      </c>
      <c r="H463" s="38">
        <f t="shared" si="558"/>
        <v>642590.41175480746</v>
      </c>
      <c r="I463" s="38">
        <f t="shared" si="558"/>
        <v>906293.26735403202</v>
      </c>
      <c r="J463" s="38">
        <f t="shared" si="558"/>
        <v>1465083.2502922143</v>
      </c>
      <c r="K463" s="251">
        <f t="shared" si="558"/>
        <v>1709068.2096749849</v>
      </c>
      <c r="L463" s="76">
        <f t="shared" ref="L463:AA463" si="559">L25</f>
        <v>1964891.7266209119</v>
      </c>
      <c r="M463" s="76">
        <f t="shared" si="559"/>
        <v>2294588.0938092633</v>
      </c>
      <c r="N463" s="76">
        <f t="shared" si="559"/>
        <v>2688141.5648547388</v>
      </c>
      <c r="O463" s="76">
        <f t="shared" si="559"/>
        <v>3064753.9509344539</v>
      </c>
      <c r="P463" s="390">
        <f t="shared" si="559"/>
        <v>3347150.6649903115</v>
      </c>
      <c r="Q463" s="76">
        <f t="shared" si="559"/>
        <v>3636115.0535113239</v>
      </c>
      <c r="R463" s="76">
        <f t="shared" si="559"/>
        <v>3916868.7724053059</v>
      </c>
      <c r="S463" s="76">
        <f t="shared" si="559"/>
        <v>4159201.200332778</v>
      </c>
      <c r="T463" s="76">
        <f t="shared" si="559"/>
        <v>4517516.9763271613</v>
      </c>
      <c r="U463" s="76">
        <f t="shared" si="559"/>
        <v>4935553.8270917358</v>
      </c>
      <c r="V463" s="76">
        <f t="shared" si="559"/>
        <v>5352536.527681632</v>
      </c>
      <c r="W463" s="76">
        <f t="shared" si="559"/>
        <v>5808683.177594725</v>
      </c>
      <c r="X463" s="76">
        <f t="shared" si="559"/>
        <v>6152160.4231925989</v>
      </c>
      <c r="Y463" s="76">
        <f t="shared" si="559"/>
        <v>6414610.8309286078</v>
      </c>
      <c r="Z463" s="76">
        <f t="shared" si="559"/>
        <v>6678848.4445332754</v>
      </c>
      <c r="AA463" s="76">
        <f t="shared" si="559"/>
        <v>7005456.6339427857</v>
      </c>
      <c r="AB463" s="76">
        <f t="shared" ref="AB463" si="560">AB25</f>
        <v>7380479.0444676979</v>
      </c>
    </row>
    <row r="464" spans="1:28" x14ac:dyDescent="0.2">
      <c r="A464" s="25"/>
      <c r="B464" t="s">
        <v>139</v>
      </c>
      <c r="C464" s="38">
        <f>C11</f>
        <v>517851.25999999995</v>
      </c>
      <c r="D464" s="38">
        <f t="shared" ref="D464:K464" si="561">D11</f>
        <v>574921.54836200003</v>
      </c>
      <c r="E464" s="38">
        <f t="shared" si="561"/>
        <v>833107.02980692452</v>
      </c>
      <c r="F464" s="38">
        <f t="shared" si="561"/>
        <v>961204.41795173066</v>
      </c>
      <c r="G464" s="38">
        <f t="shared" si="561"/>
        <v>707559.91504491819</v>
      </c>
      <c r="H464" s="38">
        <f t="shared" si="561"/>
        <v>1045387.6478586521</v>
      </c>
      <c r="I464" s="38">
        <f t="shared" si="561"/>
        <v>1262301.0564856397</v>
      </c>
      <c r="J464" s="38">
        <f t="shared" si="561"/>
        <v>1408768.1236271264</v>
      </c>
      <c r="K464" s="251">
        <f t="shared" si="561"/>
        <v>1874017.284698131</v>
      </c>
      <c r="L464" s="76">
        <f t="shared" ref="L464:AA464" si="562">L11</f>
        <v>2135796.3070877576</v>
      </c>
      <c r="M464" s="76">
        <f t="shared" si="562"/>
        <v>2504873.9683319274</v>
      </c>
      <c r="N464" s="76">
        <f t="shared" si="562"/>
        <v>2959575.5124150477</v>
      </c>
      <c r="O464" s="76">
        <f t="shared" si="562"/>
        <v>3403814.5609764922</v>
      </c>
      <c r="P464" s="390">
        <f t="shared" si="562"/>
        <v>3784434.6008744244</v>
      </c>
      <c r="Q464" s="76">
        <f t="shared" si="562"/>
        <v>4186584.2993653906</v>
      </c>
      <c r="R464" s="76">
        <f t="shared" si="562"/>
        <v>4636285.2974366238</v>
      </c>
      <c r="S464" s="76">
        <f t="shared" si="562"/>
        <v>5108905.6331047518</v>
      </c>
      <c r="T464" s="76">
        <f t="shared" si="562"/>
        <v>5498129.97045484</v>
      </c>
      <c r="U464" s="76">
        <f t="shared" si="562"/>
        <v>5952301.4020357113</v>
      </c>
      <c r="V464" s="76">
        <f t="shared" si="562"/>
        <v>6514406.3995808233</v>
      </c>
      <c r="W464" s="76">
        <f t="shared" si="562"/>
        <v>7244480.1293955855</v>
      </c>
      <c r="X464" s="76">
        <f t="shared" si="562"/>
        <v>7744567.4311246937</v>
      </c>
      <c r="Y464" s="76">
        <f t="shared" si="562"/>
        <v>8151128.4971611714</v>
      </c>
      <c r="Z464" s="76">
        <f t="shared" si="562"/>
        <v>8566963.7132192161</v>
      </c>
      <c r="AA464" s="76">
        <f t="shared" si="562"/>
        <v>9019622.4880685322</v>
      </c>
      <c r="AB464" s="76">
        <f t="shared" ref="AB464" si="563">AB11</f>
        <v>9538125.5823911689</v>
      </c>
    </row>
    <row r="465" spans="1:28" x14ac:dyDescent="0.2">
      <c r="A465" s="25"/>
      <c r="B465" t="s">
        <v>140</v>
      </c>
      <c r="C465" s="38">
        <f>C100</f>
        <v>643657.04895613564</v>
      </c>
      <c r="D465" s="38">
        <f t="shared" ref="D465:K465" si="564">D100</f>
        <v>476205.82025436242</v>
      </c>
      <c r="E465" s="38">
        <f t="shared" si="564"/>
        <v>352631.31526935304</v>
      </c>
      <c r="F465" s="38">
        <f t="shared" si="564"/>
        <v>280964.98702417413</v>
      </c>
      <c r="G465" s="38">
        <f t="shared" si="564"/>
        <v>297191.5271313251</v>
      </c>
      <c r="H465" s="38">
        <f t="shared" si="564"/>
        <v>511038.93983393774</v>
      </c>
      <c r="I465" s="38">
        <f t="shared" si="564"/>
        <v>1055516.3568738117</v>
      </c>
      <c r="J465" s="38">
        <f t="shared" si="564"/>
        <v>1546065.4134676424</v>
      </c>
      <c r="K465" s="251">
        <f t="shared" si="564"/>
        <v>2562035.0800203169</v>
      </c>
      <c r="L465" s="76">
        <f t="shared" ref="L465:AA465" si="565">L100</f>
        <v>4147333.2465239209</v>
      </c>
      <c r="M465" s="76">
        <f t="shared" si="565"/>
        <v>5800833.8068227014</v>
      </c>
      <c r="N465" s="76">
        <f t="shared" si="565"/>
        <v>7642520.6457403656</v>
      </c>
      <c r="O465" s="76">
        <f t="shared" si="565"/>
        <v>1444394.2640355476</v>
      </c>
      <c r="P465" s="390">
        <f t="shared" si="565"/>
        <v>3599163.618845507</v>
      </c>
      <c r="Q465" s="76">
        <f t="shared" si="565"/>
        <v>4711559.1267048512</v>
      </c>
      <c r="R465" s="76">
        <f t="shared" si="565"/>
        <v>3394018.9285748336</v>
      </c>
      <c r="S465" s="76">
        <f t="shared" si="565"/>
        <v>3487334.1392863137</v>
      </c>
      <c r="T465" s="76">
        <f t="shared" si="565"/>
        <v>2680300.1684110658</v>
      </c>
      <c r="U465" s="76">
        <f t="shared" si="565"/>
        <v>3886013.2511729361</v>
      </c>
      <c r="V465" s="76">
        <f t="shared" si="565"/>
        <v>5184434.0902120527</v>
      </c>
      <c r="W465" s="76">
        <f t="shared" si="565"/>
        <v>0</v>
      </c>
      <c r="X465" s="76">
        <f t="shared" si="565"/>
        <v>0</v>
      </c>
      <c r="Y465" s="76">
        <f t="shared" si="565"/>
        <v>0</v>
      </c>
      <c r="Z465" s="76">
        <f t="shared" si="565"/>
        <v>0</v>
      </c>
      <c r="AA465" s="76">
        <f t="shared" si="565"/>
        <v>0</v>
      </c>
      <c r="AB465" s="76">
        <f t="shared" ref="AB465" si="566">AB100</f>
        <v>0</v>
      </c>
    </row>
    <row r="466" spans="1:28" x14ac:dyDescent="0.2">
      <c r="A466" s="25"/>
      <c r="C466" s="38"/>
      <c r="D466" s="38"/>
      <c r="E466" s="38"/>
      <c r="F466" s="38"/>
      <c r="G466" s="38"/>
      <c r="H466" s="38"/>
      <c r="I466" s="38"/>
      <c r="J466" s="38"/>
      <c r="K466" s="251"/>
      <c r="L466" s="246"/>
    </row>
    <row r="467" spans="1:28" x14ac:dyDescent="0.2">
      <c r="A467" s="25"/>
      <c r="B467" s="66" t="s">
        <v>141</v>
      </c>
      <c r="C467" s="206">
        <f t="shared" ref="C467:K467" si="567">INDEX(Doli_Prop_st,$A460,C$416)</f>
        <v>0.33</v>
      </c>
      <c r="D467" s="206">
        <f t="shared" si="567"/>
        <v>0.5</v>
      </c>
      <c r="E467" s="206">
        <f t="shared" si="567"/>
        <v>1</v>
      </c>
      <c r="F467" s="206">
        <f t="shared" si="567"/>
        <v>0.5</v>
      </c>
      <c r="G467" s="206">
        <f t="shared" si="567"/>
        <v>1</v>
      </c>
      <c r="H467" s="206">
        <f t="shared" si="567"/>
        <v>1</v>
      </c>
      <c r="I467" s="206">
        <f t="shared" si="567"/>
        <v>0.5</v>
      </c>
      <c r="J467" s="206">
        <f t="shared" si="567"/>
        <v>0.5</v>
      </c>
      <c r="K467" s="268">
        <f t="shared" si="567"/>
        <v>0.7</v>
      </c>
      <c r="L467" s="247">
        <f t="shared" ref="L467:AA467" si="568">INDEX(Doli_Prop_st,$A460,L$416)</f>
        <v>0.7</v>
      </c>
      <c r="M467" s="247">
        <f t="shared" si="568"/>
        <v>0.7</v>
      </c>
      <c r="N467" s="247">
        <f t="shared" si="568"/>
        <v>0.7</v>
      </c>
      <c r="O467" s="247">
        <f t="shared" si="568"/>
        <v>0.7</v>
      </c>
      <c r="P467" s="412">
        <f t="shared" si="568"/>
        <v>0.7</v>
      </c>
      <c r="Q467" s="247">
        <f t="shared" si="568"/>
        <v>0.7</v>
      </c>
      <c r="R467" s="247">
        <f t="shared" si="568"/>
        <v>0.7</v>
      </c>
      <c r="S467" s="247">
        <f t="shared" si="568"/>
        <v>0.7</v>
      </c>
      <c r="T467" s="247">
        <f t="shared" si="568"/>
        <v>0.7</v>
      </c>
      <c r="U467" s="247">
        <f t="shared" si="568"/>
        <v>0.7</v>
      </c>
      <c r="V467" s="247">
        <f t="shared" si="568"/>
        <v>0.7</v>
      </c>
      <c r="W467" s="247">
        <f t="shared" si="568"/>
        <v>0.7</v>
      </c>
      <c r="X467" s="247">
        <f t="shared" si="568"/>
        <v>0.7</v>
      </c>
      <c r="Y467" s="247">
        <f t="shared" si="568"/>
        <v>0.7</v>
      </c>
      <c r="Z467" s="247">
        <f t="shared" si="568"/>
        <v>0.7</v>
      </c>
      <c r="AA467" s="247">
        <f t="shared" si="568"/>
        <v>0.7</v>
      </c>
      <c r="AB467" s="247">
        <f t="shared" ref="AB467" si="569">INDEX(Doli_Prop_st,$A460,AB$416)</f>
        <v>0.7</v>
      </c>
    </row>
    <row r="468" spans="1:28" x14ac:dyDescent="0.2">
      <c r="A468" s="25"/>
      <c r="B468" t="s">
        <v>142</v>
      </c>
      <c r="C468" s="38">
        <f>C461/C462</f>
        <v>0.99999999999999989</v>
      </c>
      <c r="D468" s="38">
        <f t="shared" ref="D468:K468" si="570">D461/D462</f>
        <v>1</v>
      </c>
      <c r="E468" s="38">
        <f t="shared" si="570"/>
        <v>1</v>
      </c>
      <c r="F468" s="38">
        <f t="shared" si="570"/>
        <v>1.0000000000000002</v>
      </c>
      <c r="G468" s="38">
        <f t="shared" si="570"/>
        <v>1</v>
      </c>
      <c r="H468" s="38">
        <f t="shared" si="570"/>
        <v>0.99999999999999978</v>
      </c>
      <c r="I468" s="38">
        <f t="shared" si="570"/>
        <v>0.99999999999999989</v>
      </c>
      <c r="J468" s="38">
        <f t="shared" si="570"/>
        <v>0.99999999999999978</v>
      </c>
      <c r="K468" s="251">
        <f t="shared" si="570"/>
        <v>0.42157826193863118</v>
      </c>
      <c r="L468" s="76">
        <f t="shared" ref="L468:AA468" si="571">L461/L462</f>
        <v>0.34923826054272183</v>
      </c>
      <c r="M468" s="76">
        <f t="shared" si="571"/>
        <v>0.28703504205289759</v>
      </c>
      <c r="N468" s="76">
        <f t="shared" si="571"/>
        <v>0.24836309257041392</v>
      </c>
      <c r="O468" s="76">
        <f t="shared" si="571"/>
        <v>0.32211469884840932</v>
      </c>
      <c r="P468" s="390">
        <f t="shared" si="571"/>
        <v>0.47433283403225485</v>
      </c>
      <c r="Q468" s="76">
        <f t="shared" si="571"/>
        <v>0.60118641520892746</v>
      </c>
      <c r="R468" s="76">
        <f t="shared" si="571"/>
        <v>0.64794273567596572</v>
      </c>
      <c r="S468" s="76">
        <f t="shared" si="571"/>
        <v>0.57309642371220793</v>
      </c>
      <c r="T468" s="76">
        <f t="shared" si="571"/>
        <v>0.56612251306161043</v>
      </c>
      <c r="U468" s="76">
        <f t="shared" si="571"/>
        <v>0.55463880566302726</v>
      </c>
      <c r="V468" s="76">
        <f t="shared" si="571"/>
        <v>0.61770592545904601</v>
      </c>
      <c r="W468" s="76">
        <f t="shared" si="571"/>
        <v>0.84486911142491006</v>
      </c>
      <c r="X468" s="76">
        <f t="shared" si="571"/>
        <v>0.76375898374992479</v>
      </c>
      <c r="Y468" s="76">
        <f t="shared" si="571"/>
        <v>0.6912026672601026</v>
      </c>
      <c r="Z468" s="76">
        <f t="shared" si="571"/>
        <v>0.77375055136540694</v>
      </c>
      <c r="AA468" s="76">
        <f t="shared" si="571"/>
        <v>0.93639051738037682</v>
      </c>
      <c r="AB468" s="76">
        <f t="shared" ref="AB468" si="572">AB461/AB462</f>
        <v>1</v>
      </c>
    </row>
    <row r="469" spans="1:28" x14ac:dyDescent="0.2">
      <c r="A469" s="25"/>
      <c r="C469" s="38"/>
      <c r="D469" s="38"/>
      <c r="E469" s="38"/>
      <c r="F469" s="38"/>
      <c r="G469" s="38"/>
      <c r="H469" s="38"/>
      <c r="I469" s="38"/>
      <c r="J469" s="38"/>
      <c r="K469" s="251"/>
      <c r="L469" s="246"/>
    </row>
    <row r="470" spans="1:28" x14ac:dyDescent="0.2">
      <c r="A470" s="151" t="s">
        <v>143</v>
      </c>
      <c r="B470" t="s">
        <v>138</v>
      </c>
      <c r="C470" s="38">
        <f>C463*C$467*C$468</f>
        <v>109749.18240000001</v>
      </c>
      <c r="D470" s="38">
        <f t="shared" ref="D470:K470" si="573">D463*D$467*D$468</f>
        <v>204239.66755012219</v>
      </c>
      <c r="E470" s="38">
        <f t="shared" si="573"/>
        <v>526186.66606224701</v>
      </c>
      <c r="F470" s="38">
        <f t="shared" si="573"/>
        <v>292501.24199194915</v>
      </c>
      <c r="G470" s="38">
        <f t="shared" si="573"/>
        <v>625045.08736597991</v>
      </c>
      <c r="H470" s="38">
        <f t="shared" si="573"/>
        <v>642590.41175480734</v>
      </c>
      <c r="I470" s="38">
        <f t="shared" si="573"/>
        <v>453146.63367701595</v>
      </c>
      <c r="J470" s="38">
        <f t="shared" si="573"/>
        <v>732541.62514610705</v>
      </c>
      <c r="K470" s="251">
        <f t="shared" si="573"/>
        <v>504354.20375854371</v>
      </c>
      <c r="L470" s="76">
        <f t="shared" ref="L470:AA470" si="574">L463*L$467*L$468</f>
        <v>480350.75813191076</v>
      </c>
      <c r="M470" s="76">
        <f t="shared" si="574"/>
        <v>461039.03300043399</v>
      </c>
      <c r="N470" s="76">
        <f t="shared" si="574"/>
        <v>467344.60662007635</v>
      </c>
      <c r="O470" s="76">
        <f t="shared" si="574"/>
        <v>691041.60716480704</v>
      </c>
      <c r="P470" s="390">
        <f t="shared" si="574"/>
        <v>1111364.4226004607</v>
      </c>
      <c r="Q470" s="76">
        <f t="shared" si="574"/>
        <v>1530188.0820153831</v>
      </c>
      <c r="R470" s="76">
        <f t="shared" si="574"/>
        <v>1776534.6673732386</v>
      </c>
      <c r="S470" s="76">
        <f t="shared" si="574"/>
        <v>1668536.3333871663</v>
      </c>
      <c r="T470" s="76">
        <f t="shared" si="574"/>
        <v>1790227.6444057741</v>
      </c>
      <c r="U470" s="76">
        <f t="shared" si="574"/>
        <v>1916214.7759606205</v>
      </c>
      <c r="V470" s="76">
        <f t="shared" si="574"/>
        <v>2314405.4705694513</v>
      </c>
      <c r="W470" s="76">
        <f t="shared" si="574"/>
        <v>3435303.8963622949</v>
      </c>
      <c r="X470" s="76">
        <f t="shared" si="574"/>
        <v>3289137.4548788606</v>
      </c>
      <c r="Y470" s="76">
        <f t="shared" si="574"/>
        <v>3103657.2810413777</v>
      </c>
      <c r="Z470" s="76">
        <f t="shared" si="574"/>
        <v>3617433.8665105281</v>
      </c>
      <c r="AA470" s="76">
        <f t="shared" si="574"/>
        <v>4591890.2133604344</v>
      </c>
      <c r="AB470" s="76">
        <f t="shared" ref="AB470" si="575">AB463*AB$467*AB$468</f>
        <v>5166335.3311273884</v>
      </c>
    </row>
    <row r="471" spans="1:28" x14ac:dyDescent="0.2">
      <c r="A471" s="25"/>
      <c r="B471" t="s">
        <v>139</v>
      </c>
      <c r="C471" s="38">
        <f t="shared" ref="C471:K472" si="576">C464*C$467*C$468</f>
        <v>170890.91579999996</v>
      </c>
      <c r="D471" s="38">
        <f t="shared" si="576"/>
        <v>287460.77418100002</v>
      </c>
      <c r="E471" s="38">
        <f t="shared" si="576"/>
        <v>833107.02980692452</v>
      </c>
      <c r="F471" s="38">
        <f t="shared" si="576"/>
        <v>480602.20897586545</v>
      </c>
      <c r="G471" s="38">
        <f t="shared" si="576"/>
        <v>707559.91504491819</v>
      </c>
      <c r="H471" s="38">
        <f t="shared" si="576"/>
        <v>1045387.6478586518</v>
      </c>
      <c r="I471" s="38">
        <f t="shared" si="576"/>
        <v>631150.52824281971</v>
      </c>
      <c r="J471" s="38">
        <f t="shared" si="576"/>
        <v>704384.06181356311</v>
      </c>
      <c r="K471" s="251">
        <f t="shared" si="576"/>
        <v>553031.46480819362</v>
      </c>
      <c r="L471" s="76">
        <f t="shared" ref="L471:AA471" si="577">L464*L$467*L$468</f>
        <v>522131.25101262814</v>
      </c>
      <c r="M471" s="76">
        <f t="shared" si="577"/>
        <v>503290.62338615424</v>
      </c>
      <c r="N471" s="76">
        <f t="shared" si="577"/>
        <v>514534.52887134807</v>
      </c>
      <c r="O471" s="76">
        <f t="shared" si="577"/>
        <v>767493.09157134139</v>
      </c>
      <c r="P471" s="390">
        <f t="shared" si="577"/>
        <v>1256557.1126097436</v>
      </c>
      <c r="Q471" s="76">
        <f t="shared" si="577"/>
        <v>1761842.3248338208</v>
      </c>
      <c r="R471" s="76">
        <f t="shared" si="577"/>
        <v>2102833.1652967413</v>
      </c>
      <c r="S471" s="76">
        <f t="shared" si="577"/>
        <v>2049526.8831908407</v>
      </c>
      <c r="T471" s="76">
        <f t="shared" si="577"/>
        <v>2178830.6092092763</v>
      </c>
      <c r="U471" s="76">
        <f t="shared" si="577"/>
        <v>2310964.1384000145</v>
      </c>
      <c r="V471" s="76">
        <f t="shared" si="577"/>
        <v>2816791.203708583</v>
      </c>
      <c r="W471" s="76">
        <f t="shared" si="577"/>
        <v>4284446.2427605055</v>
      </c>
      <c r="X471" s="76">
        <f t="shared" si="577"/>
        <v>4140488.0655449932</v>
      </c>
      <c r="Y471" s="76">
        <f t="shared" si="577"/>
        <v>3943857.230892343</v>
      </c>
      <c r="Z471" s="76">
        <f t="shared" si="577"/>
        <v>4640085.0276415609</v>
      </c>
      <c r="AA471" s="76">
        <f t="shared" si="577"/>
        <v>5912122.2777247215</v>
      </c>
      <c r="AB471" s="76">
        <f t="shared" ref="AB471" si="578">AB464*AB$467*AB$468</f>
        <v>6676687.9076738181</v>
      </c>
    </row>
    <row r="472" spans="1:28" x14ac:dyDescent="0.2">
      <c r="A472" s="25"/>
      <c r="B472" t="s">
        <v>140</v>
      </c>
      <c r="C472" s="38">
        <f t="shared" si="576"/>
        <v>212406.82615552473</v>
      </c>
      <c r="D472" s="38">
        <f t="shared" si="576"/>
        <v>238102.91012718121</v>
      </c>
      <c r="E472" s="38">
        <f t="shared" si="576"/>
        <v>352631.31526935304</v>
      </c>
      <c r="F472" s="38">
        <f t="shared" si="576"/>
        <v>140482.49351208709</v>
      </c>
      <c r="G472" s="38">
        <f t="shared" si="576"/>
        <v>297191.5271313251</v>
      </c>
      <c r="H472" s="38">
        <f t="shared" si="576"/>
        <v>511038.93983393762</v>
      </c>
      <c r="I472" s="38">
        <f t="shared" si="576"/>
        <v>527758.17843690573</v>
      </c>
      <c r="J472" s="38">
        <f t="shared" si="576"/>
        <v>773032.70673382108</v>
      </c>
      <c r="K472" s="251">
        <f t="shared" si="576"/>
        <v>756068.8072425368</v>
      </c>
      <c r="L472" s="76">
        <f t="shared" ref="L472:AA472" si="579">L465*L$467*L$468</f>
        <v>1013885.2142349094</v>
      </c>
      <c r="M472" s="76">
        <f t="shared" si="579"/>
        <v>1165529.8029782567</v>
      </c>
      <c r="N472" s="76">
        <f t="shared" si="579"/>
        <v>1328684.0438265197</v>
      </c>
      <c r="O472" s="76">
        <f t="shared" si="579"/>
        <v>325682.43636472616</v>
      </c>
      <c r="P472" s="390">
        <f t="shared" si="579"/>
        <v>1195041.0356309428</v>
      </c>
      <c r="Q472" s="76">
        <f t="shared" si="579"/>
        <v>1982767.7390000159</v>
      </c>
      <c r="R472" s="76">
        <f t="shared" si="579"/>
        <v>1539390.9366617512</v>
      </c>
      <c r="S472" s="76">
        <f t="shared" si="579"/>
        <v>1399005.106460134</v>
      </c>
      <c r="T472" s="76">
        <f t="shared" si="579"/>
        <v>1062164.786970231</v>
      </c>
      <c r="U472" s="76">
        <f t="shared" si="579"/>
        <v>1508733.6238948784</v>
      </c>
      <c r="V472" s="76">
        <f t="shared" si="579"/>
        <v>2241718.9603731041</v>
      </c>
      <c r="W472" s="76">
        <f t="shared" si="579"/>
        <v>0</v>
      </c>
      <c r="X472" s="76">
        <f t="shared" si="579"/>
        <v>0</v>
      </c>
      <c r="Y472" s="76">
        <f t="shared" si="579"/>
        <v>0</v>
      </c>
      <c r="Z472" s="76">
        <f t="shared" si="579"/>
        <v>0</v>
      </c>
      <c r="AA472" s="76">
        <f t="shared" si="579"/>
        <v>0</v>
      </c>
      <c r="AB472" s="76">
        <f t="shared" ref="AB472" si="580">AB465*AB$467*AB$468</f>
        <v>0</v>
      </c>
    </row>
    <row r="473" spans="1:28" x14ac:dyDescent="0.2">
      <c r="A473" s="25"/>
      <c r="B473" s="159" t="s">
        <v>145</v>
      </c>
      <c r="C473" s="38">
        <f>SUM(C470:C472)</f>
        <v>493046.92435552471</v>
      </c>
      <c r="D473" s="38">
        <f t="shared" ref="D473:K473" si="581">SUM(D470:D472)</f>
        <v>729803.35185830342</v>
      </c>
      <c r="E473" s="38">
        <f t="shared" si="581"/>
        <v>1711925.0111385246</v>
      </c>
      <c r="F473" s="38">
        <f t="shared" si="581"/>
        <v>913585.94447990158</v>
      </c>
      <c r="G473" s="38">
        <f t="shared" si="581"/>
        <v>1629796.5295422231</v>
      </c>
      <c r="H473" s="38">
        <f t="shared" si="581"/>
        <v>2199016.999447397</v>
      </c>
      <c r="I473" s="38">
        <f t="shared" si="581"/>
        <v>1612055.3403567416</v>
      </c>
      <c r="J473" s="38">
        <f t="shared" si="581"/>
        <v>2209958.3936934914</v>
      </c>
      <c r="K473" s="251">
        <f t="shared" si="581"/>
        <v>1813454.4758092742</v>
      </c>
      <c r="L473" s="76">
        <f t="shared" ref="L473:AA473" si="582">SUM(L470:L472)</f>
        <v>2016367.2233794483</v>
      </c>
      <c r="M473" s="76">
        <f t="shared" si="582"/>
        <v>2129859.459364845</v>
      </c>
      <c r="N473" s="76">
        <f t="shared" si="582"/>
        <v>2310563.1793179442</v>
      </c>
      <c r="O473" s="76">
        <f t="shared" si="582"/>
        <v>1784217.1351008746</v>
      </c>
      <c r="P473" s="390">
        <f t="shared" si="582"/>
        <v>3562962.5708411471</v>
      </c>
      <c r="Q473" s="76">
        <f t="shared" si="582"/>
        <v>5274798.1458492195</v>
      </c>
      <c r="R473" s="76">
        <f t="shared" si="582"/>
        <v>5418758.7693317309</v>
      </c>
      <c r="S473" s="76">
        <f t="shared" si="582"/>
        <v>5117068.3230381403</v>
      </c>
      <c r="T473" s="76">
        <f t="shared" si="582"/>
        <v>5031223.0405852813</v>
      </c>
      <c r="U473" s="76">
        <f t="shared" si="582"/>
        <v>5735912.5382555136</v>
      </c>
      <c r="V473" s="76">
        <f t="shared" si="582"/>
        <v>7372915.6346511375</v>
      </c>
      <c r="W473" s="76">
        <f t="shared" si="582"/>
        <v>7719750.1391228009</v>
      </c>
      <c r="X473" s="76">
        <f t="shared" si="582"/>
        <v>7429625.5204238538</v>
      </c>
      <c r="Y473" s="76">
        <f t="shared" si="582"/>
        <v>7047514.5119337207</v>
      </c>
      <c r="Z473" s="76">
        <f t="shared" si="582"/>
        <v>8257518.894152089</v>
      </c>
      <c r="AA473" s="76">
        <f t="shared" si="582"/>
        <v>10504012.491085157</v>
      </c>
      <c r="AB473" s="76">
        <f t="shared" ref="AB473" si="583">SUM(AB470:AB472)</f>
        <v>11843023.238801207</v>
      </c>
    </row>
    <row r="474" spans="1:28" x14ac:dyDescent="0.2">
      <c r="A474" s="25"/>
      <c r="C474" s="38"/>
      <c r="D474" s="38"/>
      <c r="E474" s="38"/>
      <c r="F474" s="38"/>
      <c r="G474" s="38"/>
      <c r="H474" s="38"/>
      <c r="I474" s="38"/>
      <c r="J474" s="38"/>
      <c r="K474" s="251"/>
      <c r="L474" s="246"/>
    </row>
    <row r="475" spans="1:28" x14ac:dyDescent="0.2">
      <c r="A475" s="25"/>
      <c r="B475" s="137" t="s">
        <v>97</v>
      </c>
      <c r="C475" s="38">
        <f>SUM(C476:C478)</f>
        <v>1001034.664600611</v>
      </c>
      <c r="D475" s="38">
        <f t="shared" ref="D475:K475" si="584">SUM(D476:D478)</f>
        <v>729803.35185830342</v>
      </c>
      <c r="E475" s="38">
        <f t="shared" si="584"/>
        <v>0</v>
      </c>
      <c r="F475" s="38">
        <f t="shared" si="584"/>
        <v>913585.94447990134</v>
      </c>
      <c r="G475" s="38">
        <f t="shared" si="584"/>
        <v>0</v>
      </c>
      <c r="H475" s="38">
        <f t="shared" si="584"/>
        <v>0</v>
      </c>
      <c r="I475" s="38">
        <f t="shared" si="584"/>
        <v>1612055.340356742</v>
      </c>
      <c r="J475" s="38">
        <f t="shared" si="584"/>
        <v>2209958.3936934918</v>
      </c>
      <c r="K475" s="251">
        <f t="shared" si="584"/>
        <v>4331666.0985841583</v>
      </c>
      <c r="L475" s="76">
        <f t="shared" ref="L475:AA475" si="585">SUM(L476:L478)</f>
        <v>6231654.0568531416</v>
      </c>
      <c r="M475" s="76">
        <f t="shared" si="585"/>
        <v>8470436.4095990472</v>
      </c>
      <c r="N475" s="76">
        <f t="shared" si="585"/>
        <v>10979674.543692209</v>
      </c>
      <c r="O475" s="76">
        <f t="shared" si="585"/>
        <v>6128745.6408456191</v>
      </c>
      <c r="P475" s="390">
        <f t="shared" si="585"/>
        <v>7167786.3138690963</v>
      </c>
      <c r="Q475" s="76">
        <f t="shared" si="585"/>
        <v>7259460.3337323451</v>
      </c>
      <c r="R475" s="76">
        <f t="shared" si="585"/>
        <v>6528414.2290850319</v>
      </c>
      <c r="S475" s="76">
        <f t="shared" si="585"/>
        <v>7638372.6496857032</v>
      </c>
      <c r="T475" s="76">
        <f t="shared" si="585"/>
        <v>7664724.0746077858</v>
      </c>
      <c r="U475" s="76">
        <f t="shared" si="585"/>
        <v>9037955.9420448691</v>
      </c>
      <c r="V475" s="76">
        <f t="shared" si="585"/>
        <v>9678461.3828233704</v>
      </c>
      <c r="W475" s="76">
        <f t="shared" si="585"/>
        <v>5333413.1678675096</v>
      </c>
      <c r="X475" s="76">
        <f t="shared" si="585"/>
        <v>6467102.3338934388</v>
      </c>
      <c r="Y475" s="76">
        <f t="shared" si="585"/>
        <v>7518224.8161560595</v>
      </c>
      <c r="Z475" s="76">
        <f t="shared" si="585"/>
        <v>6988293.2636004025</v>
      </c>
      <c r="AA475" s="76">
        <f t="shared" si="585"/>
        <v>5521066.630926162</v>
      </c>
      <c r="AB475" s="76">
        <f t="shared" ref="AB475" si="586">SUM(AB476:AB478)</f>
        <v>5075581.3880576603</v>
      </c>
    </row>
    <row r="476" spans="1:28" x14ac:dyDescent="0.2">
      <c r="A476" s="25"/>
      <c r="B476" t="s">
        <v>138</v>
      </c>
      <c r="C476" s="38">
        <f>C463-C470</f>
        <v>222824.09760000004</v>
      </c>
      <c r="D476" s="38">
        <f t="shared" ref="D476:K476" si="587">D463-D470</f>
        <v>204239.66755012219</v>
      </c>
      <c r="E476" s="38">
        <f t="shared" si="587"/>
        <v>0</v>
      </c>
      <c r="F476" s="38">
        <f t="shared" si="587"/>
        <v>292501.24199194903</v>
      </c>
      <c r="G476" s="38">
        <f t="shared" si="587"/>
        <v>0</v>
      </c>
      <c r="H476" s="38">
        <f t="shared" si="587"/>
        <v>0</v>
      </c>
      <c r="I476" s="38">
        <f t="shared" si="587"/>
        <v>453146.63367701607</v>
      </c>
      <c r="J476" s="38">
        <f t="shared" si="587"/>
        <v>732541.62514610728</v>
      </c>
      <c r="K476" s="251">
        <f t="shared" si="587"/>
        <v>1204714.0059164413</v>
      </c>
      <c r="L476" s="76">
        <f t="shared" ref="L476:AA476" si="588">L463-L470</f>
        <v>1484540.968489001</v>
      </c>
      <c r="M476" s="76">
        <f t="shared" si="588"/>
        <v>1833549.0608088293</v>
      </c>
      <c r="N476" s="76">
        <f t="shared" si="588"/>
        <v>2220796.9582346622</v>
      </c>
      <c r="O476" s="76">
        <f t="shared" si="588"/>
        <v>2373712.3437696467</v>
      </c>
      <c r="P476" s="390">
        <f t="shared" si="588"/>
        <v>2235786.2423898508</v>
      </c>
      <c r="Q476" s="76">
        <f t="shared" si="588"/>
        <v>2105926.9714959408</v>
      </c>
      <c r="R476" s="76">
        <f t="shared" si="588"/>
        <v>2140334.1050320673</v>
      </c>
      <c r="S476" s="76">
        <f t="shared" si="588"/>
        <v>2490664.8669456118</v>
      </c>
      <c r="T476" s="76">
        <f t="shared" si="588"/>
        <v>2727289.3319213875</v>
      </c>
      <c r="U476" s="76">
        <f t="shared" si="588"/>
        <v>3019339.0511311153</v>
      </c>
      <c r="V476" s="76">
        <f t="shared" si="588"/>
        <v>3038131.0571121806</v>
      </c>
      <c r="W476" s="76">
        <f t="shared" si="588"/>
        <v>2373379.2812324301</v>
      </c>
      <c r="X476" s="76">
        <f t="shared" si="588"/>
        <v>2863022.9683137382</v>
      </c>
      <c r="Y476" s="76">
        <f t="shared" si="588"/>
        <v>3310953.5498872302</v>
      </c>
      <c r="Z476" s="76">
        <f t="shared" si="588"/>
        <v>3061414.5780227473</v>
      </c>
      <c r="AA476" s="76">
        <f t="shared" si="588"/>
        <v>2413566.4205823513</v>
      </c>
      <c r="AB476" s="76">
        <f t="shared" ref="AB476" si="589">AB463-AB470</f>
        <v>2214143.7133403094</v>
      </c>
    </row>
    <row r="477" spans="1:28" x14ac:dyDescent="0.2">
      <c r="A477" s="25"/>
      <c r="B477" t="s">
        <v>139</v>
      </c>
      <c r="C477" s="38">
        <f>C464-C471</f>
        <v>346960.34419999999</v>
      </c>
      <c r="D477" s="38">
        <f t="shared" ref="D477:K477" si="590">D464-D471</f>
        <v>287460.77418100002</v>
      </c>
      <c r="E477" s="38">
        <f t="shared" si="590"/>
        <v>0</v>
      </c>
      <c r="F477" s="38">
        <f t="shared" si="590"/>
        <v>480602.20897586521</v>
      </c>
      <c r="G477" s="38">
        <f t="shared" si="590"/>
        <v>0</v>
      </c>
      <c r="H477" s="38">
        <f t="shared" si="590"/>
        <v>0</v>
      </c>
      <c r="I477" s="38">
        <f t="shared" si="590"/>
        <v>631150.52824281994</v>
      </c>
      <c r="J477" s="38">
        <f t="shared" si="590"/>
        <v>704384.06181356334</v>
      </c>
      <c r="K477" s="251">
        <f t="shared" si="590"/>
        <v>1320985.8198899375</v>
      </c>
      <c r="L477" s="76">
        <f t="shared" ref="L477:AA477" si="591">L464-L471</f>
        <v>1613665.0560751294</v>
      </c>
      <c r="M477" s="76">
        <f t="shared" si="591"/>
        <v>2001583.3449457732</v>
      </c>
      <c r="N477" s="76">
        <f t="shared" si="591"/>
        <v>2445040.9835436996</v>
      </c>
      <c r="O477" s="76">
        <f t="shared" si="591"/>
        <v>2636321.469405151</v>
      </c>
      <c r="P477" s="390">
        <f t="shared" si="591"/>
        <v>2527877.4882646808</v>
      </c>
      <c r="Q477" s="76">
        <f t="shared" si="591"/>
        <v>2424741.9745315695</v>
      </c>
      <c r="R477" s="76">
        <f t="shared" si="591"/>
        <v>2533452.1321398825</v>
      </c>
      <c r="S477" s="76">
        <f t="shared" si="591"/>
        <v>3059378.7499139113</v>
      </c>
      <c r="T477" s="76">
        <f t="shared" si="591"/>
        <v>3319299.3612455637</v>
      </c>
      <c r="U477" s="76">
        <f t="shared" si="591"/>
        <v>3641337.2636356968</v>
      </c>
      <c r="V477" s="76">
        <f t="shared" si="591"/>
        <v>3697615.1958722402</v>
      </c>
      <c r="W477" s="76">
        <f t="shared" si="591"/>
        <v>2960033.88663508</v>
      </c>
      <c r="X477" s="76">
        <f t="shared" si="591"/>
        <v>3604079.3655797006</v>
      </c>
      <c r="Y477" s="76">
        <f t="shared" si="591"/>
        <v>4207271.2662688289</v>
      </c>
      <c r="Z477" s="76">
        <f t="shared" si="591"/>
        <v>3926878.6855776552</v>
      </c>
      <c r="AA477" s="76">
        <f t="shared" si="591"/>
        <v>3107500.2103438107</v>
      </c>
      <c r="AB477" s="76">
        <f t="shared" ref="AB477" si="592">AB464-AB471</f>
        <v>2861437.6747173509</v>
      </c>
    </row>
    <row r="478" spans="1:28" x14ac:dyDescent="0.2">
      <c r="A478" s="25"/>
      <c r="B478" t="s">
        <v>140</v>
      </c>
      <c r="C478" s="38">
        <f>C465-C472</f>
        <v>431250.22280061094</v>
      </c>
      <c r="D478" s="38">
        <f t="shared" ref="D478:K478" si="593">D465-D472</f>
        <v>238102.91012718121</v>
      </c>
      <c r="E478" s="38">
        <f t="shared" si="593"/>
        <v>0</v>
      </c>
      <c r="F478" s="38">
        <f t="shared" si="593"/>
        <v>140482.49351208704</v>
      </c>
      <c r="G478" s="38">
        <f t="shared" si="593"/>
        <v>0</v>
      </c>
      <c r="H478" s="38">
        <f t="shared" si="593"/>
        <v>0</v>
      </c>
      <c r="I478" s="38">
        <f t="shared" si="593"/>
        <v>527758.17843690596</v>
      </c>
      <c r="J478" s="38">
        <f t="shared" si="593"/>
        <v>773032.70673382131</v>
      </c>
      <c r="K478" s="251">
        <f t="shared" si="593"/>
        <v>1805966.27277778</v>
      </c>
      <c r="L478" s="76">
        <f t="shared" ref="L478:AA478" si="594">L465-L472</f>
        <v>3133448.0322890114</v>
      </c>
      <c r="M478" s="76">
        <f t="shared" si="594"/>
        <v>4635304.0038444446</v>
      </c>
      <c r="N478" s="76">
        <f t="shared" si="594"/>
        <v>6313836.6019138461</v>
      </c>
      <c r="O478" s="76">
        <f t="shared" si="594"/>
        <v>1118711.8276708215</v>
      </c>
      <c r="P478" s="390">
        <f t="shared" si="594"/>
        <v>2404122.5832145642</v>
      </c>
      <c r="Q478" s="76">
        <f t="shared" si="594"/>
        <v>2728791.3877048353</v>
      </c>
      <c r="R478" s="76">
        <f t="shared" si="594"/>
        <v>1854627.9919130823</v>
      </c>
      <c r="S478" s="76">
        <f t="shared" si="594"/>
        <v>2088329.0328261796</v>
      </c>
      <c r="T478" s="76">
        <f t="shared" si="594"/>
        <v>1618135.3814408348</v>
      </c>
      <c r="U478" s="76">
        <f t="shared" si="594"/>
        <v>2377279.6272780579</v>
      </c>
      <c r="V478" s="76">
        <f t="shared" si="594"/>
        <v>2942715.1298389486</v>
      </c>
      <c r="W478" s="76">
        <f t="shared" si="594"/>
        <v>0</v>
      </c>
      <c r="X478" s="76">
        <f t="shared" si="594"/>
        <v>0</v>
      </c>
      <c r="Y478" s="76">
        <f t="shared" si="594"/>
        <v>0</v>
      </c>
      <c r="Z478" s="76">
        <f t="shared" si="594"/>
        <v>0</v>
      </c>
      <c r="AA478" s="76">
        <f t="shared" si="594"/>
        <v>0</v>
      </c>
      <c r="AB478" s="76">
        <f t="shared" ref="AB478" si="595">AB465-AB472</f>
        <v>0</v>
      </c>
    </row>
    <row r="479" spans="1:28" x14ac:dyDescent="0.2">
      <c r="A479" s="25"/>
      <c r="C479" s="38"/>
      <c r="D479" s="38"/>
      <c r="E479" s="38"/>
      <c r="F479" s="38"/>
      <c r="G479" s="38"/>
      <c r="H479" s="38"/>
      <c r="I479" s="38"/>
      <c r="J479" s="38"/>
      <c r="K479" s="251"/>
      <c r="L479" s="246"/>
    </row>
    <row r="480" spans="1:28" x14ac:dyDescent="0.2">
      <c r="A480" s="151" t="s">
        <v>98</v>
      </c>
      <c r="B480" t="s">
        <v>144</v>
      </c>
      <c r="C480" s="38">
        <f>C461-C473</f>
        <v>1001034.6646006108</v>
      </c>
      <c r="D480" s="38">
        <f t="shared" ref="D480:K480" si="596">D461-D473</f>
        <v>729803.35185830342</v>
      </c>
      <c r="E480" s="38">
        <f t="shared" si="596"/>
        <v>0</v>
      </c>
      <c r="F480" s="38">
        <f t="shared" si="596"/>
        <v>913585.94447990158</v>
      </c>
      <c r="G480" s="38">
        <f t="shared" si="596"/>
        <v>0</v>
      </c>
      <c r="H480" s="38">
        <f t="shared" si="596"/>
        <v>0</v>
      </c>
      <c r="I480" s="38">
        <f t="shared" si="596"/>
        <v>1612055.3403567416</v>
      </c>
      <c r="J480" s="38">
        <f t="shared" si="596"/>
        <v>2209958.3936934914</v>
      </c>
      <c r="K480" s="251">
        <f t="shared" si="596"/>
        <v>777194.77534683188</v>
      </c>
      <c r="L480" s="76">
        <f t="shared" ref="L480:AA480" si="597">L461-L473</f>
        <v>864157.38144833478</v>
      </c>
      <c r="M480" s="76">
        <f t="shared" si="597"/>
        <v>912796.91115636285</v>
      </c>
      <c r="N480" s="76">
        <f t="shared" si="597"/>
        <v>990241.36256483337</v>
      </c>
      <c r="O480" s="76">
        <f t="shared" si="597"/>
        <v>764664.48647180339</v>
      </c>
      <c r="P480" s="390">
        <f t="shared" si="597"/>
        <v>1526983.9589319206</v>
      </c>
      <c r="Q480" s="76">
        <f t="shared" si="597"/>
        <v>2260627.7767925225</v>
      </c>
      <c r="R480" s="76">
        <f t="shared" si="597"/>
        <v>2322325.186856457</v>
      </c>
      <c r="S480" s="76">
        <f t="shared" si="597"/>
        <v>2193029.2813020609</v>
      </c>
      <c r="T480" s="76">
        <f t="shared" si="597"/>
        <v>2156238.4459651206</v>
      </c>
      <c r="U480" s="76">
        <f t="shared" si="597"/>
        <v>2458248.2306809342</v>
      </c>
      <c r="V480" s="76">
        <f t="shared" si="597"/>
        <v>3159820.9862790629</v>
      </c>
      <c r="W480" s="76">
        <f t="shared" si="597"/>
        <v>3308464.3453383427</v>
      </c>
      <c r="X480" s="76">
        <f t="shared" si="597"/>
        <v>3184125.2230387945</v>
      </c>
      <c r="Y480" s="76">
        <f t="shared" si="597"/>
        <v>3020363.3622573102</v>
      </c>
      <c r="Z480" s="76">
        <f t="shared" si="597"/>
        <v>3538936.6689223265</v>
      </c>
      <c r="AA480" s="76">
        <f t="shared" si="597"/>
        <v>4501719.6390364971</v>
      </c>
      <c r="AB480" s="76">
        <f t="shared" ref="AB480" si="598">AB461-AB473</f>
        <v>5075581.3880576603</v>
      </c>
    </row>
    <row r="481" spans="1:28" x14ac:dyDescent="0.2">
      <c r="A481" s="25"/>
      <c r="B481" t="s">
        <v>138</v>
      </c>
      <c r="C481" s="38">
        <f>MIN(C480,C476)</f>
        <v>222824.09760000004</v>
      </c>
      <c r="D481" s="38">
        <f t="shared" ref="D481:K481" si="599">MIN(D480,D476)</f>
        <v>204239.66755012219</v>
      </c>
      <c r="E481" s="38">
        <f t="shared" si="599"/>
        <v>0</v>
      </c>
      <c r="F481" s="38">
        <f t="shared" si="599"/>
        <v>292501.24199194903</v>
      </c>
      <c r="G481" s="38">
        <f t="shared" si="599"/>
        <v>0</v>
      </c>
      <c r="H481" s="38">
        <f t="shared" si="599"/>
        <v>0</v>
      </c>
      <c r="I481" s="38">
        <f t="shared" si="599"/>
        <v>453146.63367701607</v>
      </c>
      <c r="J481" s="38">
        <f t="shared" si="599"/>
        <v>732541.62514610728</v>
      </c>
      <c r="K481" s="251">
        <f t="shared" si="599"/>
        <v>777194.77534683188</v>
      </c>
      <c r="L481" s="76">
        <f t="shared" ref="L481:AA481" si="600">MIN(L480,L476)</f>
        <v>864157.38144833478</v>
      </c>
      <c r="M481" s="76">
        <f t="shared" si="600"/>
        <v>912796.91115636285</v>
      </c>
      <c r="N481" s="76">
        <f t="shared" si="600"/>
        <v>990241.36256483337</v>
      </c>
      <c r="O481" s="76">
        <f t="shared" si="600"/>
        <v>764664.48647180339</v>
      </c>
      <c r="P481" s="390">
        <f t="shared" si="600"/>
        <v>1526983.9589319206</v>
      </c>
      <c r="Q481" s="76">
        <f t="shared" si="600"/>
        <v>2105926.9714959408</v>
      </c>
      <c r="R481" s="76">
        <f t="shared" si="600"/>
        <v>2140334.1050320673</v>
      </c>
      <c r="S481" s="76">
        <f t="shared" si="600"/>
        <v>2193029.2813020609</v>
      </c>
      <c r="T481" s="76">
        <f t="shared" si="600"/>
        <v>2156238.4459651206</v>
      </c>
      <c r="U481" s="76">
        <f t="shared" si="600"/>
        <v>2458248.2306809342</v>
      </c>
      <c r="V481" s="76">
        <f t="shared" si="600"/>
        <v>3038131.0571121806</v>
      </c>
      <c r="W481" s="76">
        <f t="shared" si="600"/>
        <v>2373379.2812324301</v>
      </c>
      <c r="X481" s="76">
        <f t="shared" si="600"/>
        <v>2863022.9683137382</v>
      </c>
      <c r="Y481" s="76">
        <f t="shared" si="600"/>
        <v>3020363.3622573102</v>
      </c>
      <c r="Z481" s="76">
        <f t="shared" si="600"/>
        <v>3061414.5780227473</v>
      </c>
      <c r="AA481" s="76">
        <f t="shared" si="600"/>
        <v>2413566.4205823513</v>
      </c>
      <c r="AB481" s="76">
        <f t="shared" ref="AB481" si="601">MIN(AB480,AB476)</f>
        <v>2214143.7133403094</v>
      </c>
    </row>
    <row r="482" spans="1:28" x14ac:dyDescent="0.2">
      <c r="A482" s="25"/>
      <c r="B482" t="s">
        <v>139</v>
      </c>
      <c r="C482" s="38">
        <f>MIN(C480-C481,C477)</f>
        <v>346960.34419999999</v>
      </c>
      <c r="D482" s="38">
        <f t="shared" ref="D482:K482" si="602">MIN(D480-D481,D477)</f>
        <v>287460.77418100002</v>
      </c>
      <c r="E482" s="38">
        <f t="shared" si="602"/>
        <v>0</v>
      </c>
      <c r="F482" s="38">
        <f t="shared" si="602"/>
        <v>480602.20897586521</v>
      </c>
      <c r="G482" s="38">
        <f t="shared" si="602"/>
        <v>0</v>
      </c>
      <c r="H482" s="38">
        <f t="shared" si="602"/>
        <v>0</v>
      </c>
      <c r="I482" s="38">
        <f t="shared" si="602"/>
        <v>631150.52824281994</v>
      </c>
      <c r="J482" s="38">
        <f t="shared" si="602"/>
        <v>704384.06181356334</v>
      </c>
      <c r="K482" s="251">
        <f t="shared" si="602"/>
        <v>0</v>
      </c>
      <c r="L482" s="76">
        <f t="shared" ref="L482:AA482" si="603">MIN(L480-L481,L477)</f>
        <v>0</v>
      </c>
      <c r="M482" s="76">
        <f t="shared" si="603"/>
        <v>0</v>
      </c>
      <c r="N482" s="76">
        <f t="shared" si="603"/>
        <v>0</v>
      </c>
      <c r="O482" s="76">
        <f t="shared" si="603"/>
        <v>0</v>
      </c>
      <c r="P482" s="390">
        <f t="shared" si="603"/>
        <v>0</v>
      </c>
      <c r="Q482" s="76">
        <f t="shared" si="603"/>
        <v>154700.8052965817</v>
      </c>
      <c r="R482" s="76">
        <f t="shared" si="603"/>
        <v>181991.08182438975</v>
      </c>
      <c r="S482" s="76">
        <f t="shared" si="603"/>
        <v>0</v>
      </c>
      <c r="T482" s="76">
        <f t="shared" si="603"/>
        <v>0</v>
      </c>
      <c r="U482" s="76">
        <f t="shared" si="603"/>
        <v>0</v>
      </c>
      <c r="V482" s="76">
        <f t="shared" si="603"/>
        <v>121689.9291668823</v>
      </c>
      <c r="W482" s="76">
        <f t="shared" si="603"/>
        <v>935085.06410591258</v>
      </c>
      <c r="X482" s="76">
        <f t="shared" si="603"/>
        <v>321102.25472505623</v>
      </c>
      <c r="Y482" s="76">
        <f t="shared" si="603"/>
        <v>0</v>
      </c>
      <c r="Z482" s="76">
        <f t="shared" si="603"/>
        <v>477522.09089957923</v>
      </c>
      <c r="AA482" s="76">
        <f t="shared" si="603"/>
        <v>2088153.2184541458</v>
      </c>
      <c r="AB482" s="76">
        <f t="shared" ref="AB482" si="604">MIN(AB480-AB481,AB477)</f>
        <v>2861437.6747173509</v>
      </c>
    </row>
    <row r="483" spans="1:28" x14ac:dyDescent="0.2">
      <c r="A483" s="25"/>
      <c r="B483" t="s">
        <v>140</v>
      </c>
      <c r="C483" s="38">
        <f>MIN(C480-C481-C482,C478)</f>
        <v>431250.22280061076</v>
      </c>
      <c r="D483" s="38">
        <f t="shared" ref="D483:K483" si="605">MIN(D480-D481-D482,D478)</f>
        <v>238102.91012718121</v>
      </c>
      <c r="E483" s="38">
        <f t="shared" si="605"/>
        <v>0</v>
      </c>
      <c r="F483" s="38">
        <f t="shared" si="605"/>
        <v>140482.49351208704</v>
      </c>
      <c r="G483" s="38">
        <f t="shared" si="605"/>
        <v>0</v>
      </c>
      <c r="H483" s="38">
        <f t="shared" si="605"/>
        <v>0</v>
      </c>
      <c r="I483" s="38">
        <f t="shared" si="605"/>
        <v>527758.17843690561</v>
      </c>
      <c r="J483" s="38">
        <f t="shared" si="605"/>
        <v>773032.70673382073</v>
      </c>
      <c r="K483" s="251">
        <f t="shared" si="605"/>
        <v>0</v>
      </c>
      <c r="L483" s="76">
        <f t="shared" ref="L483:AA483" si="606">MIN(L480-L481-L482,L478)</f>
        <v>0</v>
      </c>
      <c r="M483" s="76">
        <f t="shared" si="606"/>
        <v>0</v>
      </c>
      <c r="N483" s="76">
        <f t="shared" si="606"/>
        <v>0</v>
      </c>
      <c r="O483" s="76">
        <f t="shared" si="606"/>
        <v>0</v>
      </c>
      <c r="P483" s="390">
        <f t="shared" si="606"/>
        <v>0</v>
      </c>
      <c r="Q483" s="76">
        <f t="shared" si="606"/>
        <v>0</v>
      </c>
      <c r="R483" s="76">
        <f t="shared" si="606"/>
        <v>0</v>
      </c>
      <c r="S483" s="76">
        <f t="shared" si="606"/>
        <v>0</v>
      </c>
      <c r="T483" s="76">
        <f t="shared" si="606"/>
        <v>0</v>
      </c>
      <c r="U483" s="76">
        <f t="shared" si="606"/>
        <v>0</v>
      </c>
      <c r="V483" s="76">
        <f t="shared" si="606"/>
        <v>0</v>
      </c>
      <c r="W483" s="76">
        <f t="shared" si="606"/>
        <v>0</v>
      </c>
      <c r="X483" s="76">
        <f t="shared" si="606"/>
        <v>0</v>
      </c>
      <c r="Y483" s="76">
        <f t="shared" si="606"/>
        <v>0</v>
      </c>
      <c r="Z483" s="76">
        <f t="shared" si="606"/>
        <v>0</v>
      </c>
      <c r="AA483" s="76">
        <f t="shared" si="606"/>
        <v>0</v>
      </c>
      <c r="AB483" s="76">
        <f t="shared" ref="AB483" si="607">MIN(AB480-AB481-AB482,AB478)</f>
        <v>0</v>
      </c>
    </row>
    <row r="484" spans="1:28" x14ac:dyDescent="0.2">
      <c r="A484" s="25"/>
      <c r="C484" s="38"/>
      <c r="D484" s="38"/>
      <c r="E484" s="38"/>
      <c r="F484" s="38"/>
      <c r="G484" s="38"/>
      <c r="H484" s="38"/>
      <c r="I484" s="38"/>
      <c r="J484" s="38"/>
      <c r="K484" s="251"/>
      <c r="L484" s="246"/>
    </row>
    <row r="485" spans="1:28" x14ac:dyDescent="0.2">
      <c r="A485" s="25"/>
      <c r="B485" s="159" t="s">
        <v>146</v>
      </c>
      <c r="C485" s="38"/>
      <c r="D485" s="38"/>
      <c r="E485" s="38"/>
      <c r="F485" s="38"/>
      <c r="G485" s="38"/>
      <c r="H485" s="38"/>
      <c r="I485" s="38"/>
      <c r="J485" s="38"/>
      <c r="K485" s="251"/>
      <c r="L485" s="246"/>
    </row>
    <row r="486" spans="1:28" x14ac:dyDescent="0.2">
      <c r="A486" s="25"/>
      <c r="B486" t="s">
        <v>138</v>
      </c>
      <c r="C486" s="38">
        <f>C470+C481</f>
        <v>332573.28000000003</v>
      </c>
      <c r="D486" s="38">
        <f t="shared" ref="D486:K486" si="608">D470+D481</f>
        <v>408479.33510024438</v>
      </c>
      <c r="E486" s="38">
        <f t="shared" si="608"/>
        <v>526186.66606224701</v>
      </c>
      <c r="F486" s="38">
        <f t="shared" si="608"/>
        <v>585002.48398389819</v>
      </c>
      <c r="G486" s="38">
        <f t="shared" si="608"/>
        <v>625045.08736597991</v>
      </c>
      <c r="H486" s="38">
        <f t="shared" si="608"/>
        <v>642590.41175480734</v>
      </c>
      <c r="I486" s="38">
        <f t="shared" si="608"/>
        <v>906293.26735403202</v>
      </c>
      <c r="J486" s="38">
        <f t="shared" si="608"/>
        <v>1465083.2502922143</v>
      </c>
      <c r="K486" s="251">
        <f t="shared" si="608"/>
        <v>1281548.9791053757</v>
      </c>
      <c r="L486" s="76">
        <f t="shared" ref="L486:AA486" si="609">L470+L481</f>
        <v>1344508.1395802456</v>
      </c>
      <c r="M486" s="76">
        <f t="shared" si="609"/>
        <v>1373835.9441567969</v>
      </c>
      <c r="N486" s="76">
        <f t="shared" si="609"/>
        <v>1457585.9691849097</v>
      </c>
      <c r="O486" s="76">
        <f t="shared" si="609"/>
        <v>1455706.0936366105</v>
      </c>
      <c r="P486" s="390">
        <f t="shared" si="609"/>
        <v>2638348.3815323813</v>
      </c>
      <c r="Q486" s="76">
        <f t="shared" si="609"/>
        <v>3636115.0535113239</v>
      </c>
      <c r="R486" s="76">
        <f t="shared" si="609"/>
        <v>3916868.7724053059</v>
      </c>
      <c r="S486" s="76">
        <f t="shared" si="609"/>
        <v>3861565.6146892272</v>
      </c>
      <c r="T486" s="76">
        <f t="shared" si="609"/>
        <v>3946466.0903708944</v>
      </c>
      <c r="U486" s="76">
        <f t="shared" si="609"/>
        <v>4374463.0066415546</v>
      </c>
      <c r="V486" s="76">
        <f t="shared" si="609"/>
        <v>5352536.527681632</v>
      </c>
      <c r="W486" s="76">
        <f t="shared" si="609"/>
        <v>5808683.177594725</v>
      </c>
      <c r="X486" s="76">
        <f t="shared" si="609"/>
        <v>6152160.4231925989</v>
      </c>
      <c r="Y486" s="76">
        <f t="shared" si="609"/>
        <v>6124020.6432986874</v>
      </c>
      <c r="Z486" s="76">
        <f t="shared" si="609"/>
        <v>6678848.4445332754</v>
      </c>
      <c r="AA486" s="76">
        <f t="shared" si="609"/>
        <v>7005456.6339427857</v>
      </c>
      <c r="AB486" s="76">
        <f t="shared" ref="AB486" si="610">AB470+AB481</f>
        <v>7380479.0444676979</v>
      </c>
    </row>
    <row r="487" spans="1:28" x14ac:dyDescent="0.2">
      <c r="A487" s="25"/>
      <c r="B487" t="s">
        <v>139</v>
      </c>
      <c r="C487" s="38">
        <f t="shared" ref="C487:K488" si="611">C471+C482</f>
        <v>517851.25999999995</v>
      </c>
      <c r="D487" s="38">
        <f t="shared" si="611"/>
        <v>574921.54836200003</v>
      </c>
      <c r="E487" s="38">
        <f t="shared" si="611"/>
        <v>833107.02980692452</v>
      </c>
      <c r="F487" s="38">
        <f t="shared" si="611"/>
        <v>961204.41795173066</v>
      </c>
      <c r="G487" s="38">
        <f t="shared" si="611"/>
        <v>707559.91504491819</v>
      </c>
      <c r="H487" s="38">
        <f t="shared" si="611"/>
        <v>1045387.6478586518</v>
      </c>
      <c r="I487" s="38">
        <f t="shared" si="611"/>
        <v>1262301.0564856397</v>
      </c>
      <c r="J487" s="38">
        <f t="shared" si="611"/>
        <v>1408768.1236271264</v>
      </c>
      <c r="K487" s="251">
        <f t="shared" si="611"/>
        <v>553031.46480819362</v>
      </c>
      <c r="L487" s="76">
        <f t="shared" ref="L487:AA487" si="612">L471+L482</f>
        <v>522131.25101262814</v>
      </c>
      <c r="M487" s="76">
        <f t="shared" si="612"/>
        <v>503290.62338615424</v>
      </c>
      <c r="N487" s="76">
        <f t="shared" si="612"/>
        <v>514534.52887134807</v>
      </c>
      <c r="O487" s="76">
        <f t="shared" si="612"/>
        <v>767493.09157134139</v>
      </c>
      <c r="P487" s="390">
        <f t="shared" si="612"/>
        <v>1256557.1126097436</v>
      </c>
      <c r="Q487" s="76">
        <f t="shared" si="612"/>
        <v>1916543.1301304025</v>
      </c>
      <c r="R487" s="76">
        <f t="shared" si="612"/>
        <v>2284824.247121131</v>
      </c>
      <c r="S487" s="76">
        <f t="shared" si="612"/>
        <v>2049526.8831908407</v>
      </c>
      <c r="T487" s="76">
        <f t="shared" si="612"/>
        <v>2178830.6092092763</v>
      </c>
      <c r="U487" s="76">
        <f t="shared" si="612"/>
        <v>2310964.1384000145</v>
      </c>
      <c r="V487" s="76">
        <f t="shared" si="612"/>
        <v>2938481.1328754653</v>
      </c>
      <c r="W487" s="76">
        <f t="shared" si="612"/>
        <v>5219531.3068664186</v>
      </c>
      <c r="X487" s="76">
        <f t="shared" si="612"/>
        <v>4461590.3202700494</v>
      </c>
      <c r="Y487" s="76">
        <f t="shared" si="612"/>
        <v>3943857.230892343</v>
      </c>
      <c r="Z487" s="76">
        <f t="shared" si="612"/>
        <v>5117607.1185411401</v>
      </c>
      <c r="AA487" s="76">
        <f t="shared" si="612"/>
        <v>8000275.4961788673</v>
      </c>
      <c r="AB487" s="76">
        <f t="shared" ref="AB487" si="613">AB471+AB482</f>
        <v>9538125.5823911689</v>
      </c>
    </row>
    <row r="488" spans="1:28" x14ac:dyDescent="0.2">
      <c r="A488" s="25"/>
      <c r="B488" t="s">
        <v>140</v>
      </c>
      <c r="C488" s="38">
        <f t="shared" si="611"/>
        <v>643657.04895613552</v>
      </c>
      <c r="D488" s="38">
        <f t="shared" si="611"/>
        <v>476205.82025436242</v>
      </c>
      <c r="E488" s="38">
        <f t="shared" si="611"/>
        <v>352631.31526935304</v>
      </c>
      <c r="F488" s="38">
        <f t="shared" si="611"/>
        <v>280964.98702417413</v>
      </c>
      <c r="G488" s="38">
        <f t="shared" si="611"/>
        <v>297191.5271313251</v>
      </c>
      <c r="H488" s="38">
        <f t="shared" si="611"/>
        <v>511038.93983393762</v>
      </c>
      <c r="I488" s="38">
        <f t="shared" si="611"/>
        <v>1055516.3568738112</v>
      </c>
      <c r="J488" s="38">
        <f t="shared" si="611"/>
        <v>1546065.4134676419</v>
      </c>
      <c r="K488" s="251">
        <f t="shared" si="611"/>
        <v>756068.8072425368</v>
      </c>
      <c r="L488" s="76">
        <f t="shared" ref="L488:AA488" si="614">L472+L483</f>
        <v>1013885.2142349094</v>
      </c>
      <c r="M488" s="76">
        <f t="shared" si="614"/>
        <v>1165529.8029782567</v>
      </c>
      <c r="N488" s="76">
        <f t="shared" si="614"/>
        <v>1328684.0438265197</v>
      </c>
      <c r="O488" s="76">
        <f t="shared" si="614"/>
        <v>325682.43636472616</v>
      </c>
      <c r="P488" s="390">
        <f t="shared" si="614"/>
        <v>1195041.0356309428</v>
      </c>
      <c r="Q488" s="76">
        <f t="shared" si="614"/>
        <v>1982767.7390000159</v>
      </c>
      <c r="R488" s="76">
        <f t="shared" si="614"/>
        <v>1539390.9366617512</v>
      </c>
      <c r="S488" s="76">
        <f t="shared" si="614"/>
        <v>1399005.106460134</v>
      </c>
      <c r="T488" s="76">
        <f t="shared" si="614"/>
        <v>1062164.786970231</v>
      </c>
      <c r="U488" s="76">
        <f t="shared" si="614"/>
        <v>1508733.6238948784</v>
      </c>
      <c r="V488" s="76">
        <f t="shared" si="614"/>
        <v>2241718.9603731041</v>
      </c>
      <c r="W488" s="76">
        <f t="shared" si="614"/>
        <v>0</v>
      </c>
      <c r="X488" s="76">
        <f t="shared" si="614"/>
        <v>0</v>
      </c>
      <c r="Y488" s="76">
        <f t="shared" si="614"/>
        <v>0</v>
      </c>
      <c r="Z488" s="76">
        <f t="shared" si="614"/>
        <v>0</v>
      </c>
      <c r="AA488" s="76">
        <f t="shared" si="614"/>
        <v>0</v>
      </c>
      <c r="AB488" s="76">
        <f t="shared" ref="AB488" si="615">AB472+AB483</f>
        <v>0</v>
      </c>
    </row>
    <row r="489" spans="1:28" x14ac:dyDescent="0.2">
      <c r="A489" s="25"/>
      <c r="C489" s="38"/>
      <c r="D489" s="38"/>
      <c r="E489" s="38"/>
      <c r="F489" s="38"/>
      <c r="G489" s="38"/>
      <c r="H489" s="38"/>
      <c r="I489" s="38"/>
      <c r="J489" s="38"/>
      <c r="K489" s="251"/>
      <c r="L489" s="246"/>
    </row>
    <row r="490" spans="1:28" x14ac:dyDescent="0.2">
      <c r="A490" s="25"/>
      <c r="C490" s="38"/>
      <c r="D490" s="38"/>
      <c r="E490" s="38"/>
      <c r="F490" s="38"/>
      <c r="G490" s="38"/>
      <c r="H490" s="38"/>
      <c r="I490" s="38"/>
      <c r="J490" s="38"/>
      <c r="K490" s="251"/>
      <c r="L490" s="246"/>
    </row>
    <row r="491" spans="1:28" x14ac:dyDescent="0.2">
      <c r="A491" s="157">
        <v>3</v>
      </c>
      <c r="B491" s="158" t="s">
        <v>29</v>
      </c>
      <c r="C491" s="38"/>
      <c r="D491" s="38"/>
      <c r="E491" s="38"/>
      <c r="F491" s="38"/>
      <c r="G491" s="38"/>
      <c r="H491" s="38"/>
      <c r="I491" s="38"/>
      <c r="J491" s="38"/>
      <c r="K491" s="251"/>
      <c r="L491" s="246"/>
    </row>
    <row r="492" spans="1:28" x14ac:dyDescent="0.2">
      <c r="A492" s="25"/>
      <c r="B492" s="25" t="s">
        <v>136</v>
      </c>
      <c r="C492" s="38">
        <f>C419</f>
        <v>5393040.5402615666</v>
      </c>
      <c r="D492" s="38">
        <f t="shared" ref="D492:K492" si="616">D419</f>
        <v>5874618.9304038892</v>
      </c>
      <c r="E492" s="38">
        <f t="shared" si="616"/>
        <v>5565096.4206579858</v>
      </c>
      <c r="F492" s="38">
        <f t="shared" si="616"/>
        <v>6162255.8514766935</v>
      </c>
      <c r="G492" s="38">
        <f t="shared" si="616"/>
        <v>7245994.6522143874</v>
      </c>
      <c r="H492" s="38">
        <f t="shared" si="616"/>
        <v>5114681.3370161168</v>
      </c>
      <c r="I492" s="38">
        <f t="shared" si="616"/>
        <v>8968952.7903534286</v>
      </c>
      <c r="J492" s="38">
        <f t="shared" si="616"/>
        <v>10812779.380921563</v>
      </c>
      <c r="K492" s="251">
        <f t="shared" si="616"/>
        <v>8498950.1444290597</v>
      </c>
      <c r="L492" s="76">
        <f t="shared" ref="L492:AA492" si="617">L419</f>
        <v>7353360.3053745888</v>
      </c>
      <c r="M492" s="76">
        <f t="shared" si="617"/>
        <v>7167764.2343045063</v>
      </c>
      <c r="N492" s="76">
        <f t="shared" si="617"/>
        <v>7519676.1052854192</v>
      </c>
      <c r="O492" s="76">
        <f t="shared" si="617"/>
        <v>11799110.136948291</v>
      </c>
      <c r="P492" s="390">
        <f t="shared" si="617"/>
        <v>18733218.432876177</v>
      </c>
      <c r="Q492" s="76">
        <f t="shared" si="617"/>
        <v>25248653.419191532</v>
      </c>
      <c r="R492" s="76">
        <f t="shared" si="617"/>
        <v>27806271.394357666</v>
      </c>
      <c r="S492" s="76">
        <f t="shared" si="617"/>
        <v>27022014.458785795</v>
      </c>
      <c r="T492" s="76">
        <f t="shared" si="617"/>
        <v>27305675.489992313</v>
      </c>
      <c r="U492" s="76">
        <f t="shared" si="617"/>
        <v>30739320.370408513</v>
      </c>
      <c r="V492" s="76">
        <f t="shared" si="617"/>
        <v>35547707.867866516</v>
      </c>
      <c r="W492" s="76">
        <f t="shared" si="617"/>
        <v>41609321.140945673</v>
      </c>
      <c r="X492" s="76">
        <f t="shared" si="617"/>
        <v>52011876.241695717</v>
      </c>
      <c r="Y492" s="76">
        <f t="shared" si="617"/>
        <v>67269890.404445559</v>
      </c>
      <c r="Z492" s="76">
        <f t="shared" si="617"/>
        <v>78977713.911818177</v>
      </c>
      <c r="AA492" s="76">
        <f t="shared" si="617"/>
        <v>99901486.961355597</v>
      </c>
      <c r="AB492" s="76">
        <f t="shared" ref="AB492" si="618">AB419</f>
        <v>104681380.76189716</v>
      </c>
    </row>
    <row r="493" spans="1:28" x14ac:dyDescent="0.2">
      <c r="A493" s="25"/>
      <c r="B493" s="137" t="s">
        <v>137</v>
      </c>
      <c r="C493" s="38">
        <f>SUM(C494:C496)</f>
        <v>5393040.5402615676</v>
      </c>
      <c r="D493" s="38">
        <f t="shared" ref="D493:K493" si="619">SUM(D494:D496)</f>
        <v>5874618.9304038892</v>
      </c>
      <c r="E493" s="38">
        <f t="shared" si="619"/>
        <v>5565096.4206579858</v>
      </c>
      <c r="F493" s="38">
        <f t="shared" si="619"/>
        <v>6162255.8514766945</v>
      </c>
      <c r="G493" s="38">
        <f t="shared" si="619"/>
        <v>7245994.6522143874</v>
      </c>
      <c r="H493" s="38">
        <f t="shared" si="619"/>
        <v>7117929.7499390598</v>
      </c>
      <c r="I493" s="38">
        <f t="shared" si="619"/>
        <v>18608534.959704895</v>
      </c>
      <c r="J493" s="38">
        <f t="shared" si="619"/>
        <v>19273189.906732306</v>
      </c>
      <c r="K493" s="251">
        <f t="shared" si="619"/>
        <v>21276008.439993653</v>
      </c>
      <c r="L493" s="76">
        <f t="shared" ref="L493:AA493" si="620">SUM(L494:L496)</f>
        <v>24638150.274887484</v>
      </c>
      <c r="M493" s="76">
        <f t="shared" si="620"/>
        <v>29474986.31214802</v>
      </c>
      <c r="N493" s="76">
        <f t="shared" si="620"/>
        <v>35641711.900344297</v>
      </c>
      <c r="O493" s="76">
        <f t="shared" si="620"/>
        <v>40835563.985367589</v>
      </c>
      <c r="P493" s="390">
        <f t="shared" si="620"/>
        <v>47328652.473324493</v>
      </c>
      <c r="Q493" s="76">
        <f t="shared" si="620"/>
        <v>52411428.803253457</v>
      </c>
      <c r="R493" s="76">
        <f t="shared" si="620"/>
        <v>56359263.000206344</v>
      </c>
      <c r="S493" s="76">
        <f t="shared" si="620"/>
        <v>60516789.13321238</v>
      </c>
      <c r="T493" s="76">
        <f t="shared" si="620"/>
        <v>64627694.620069183</v>
      </c>
      <c r="U493" s="76">
        <f t="shared" si="620"/>
        <v>68891599.305906549</v>
      </c>
      <c r="V493" s="76">
        <f t="shared" si="620"/>
        <v>72427643.216027275</v>
      </c>
      <c r="W493" s="76">
        <f t="shared" si="620"/>
        <v>76317404.815386206</v>
      </c>
      <c r="X493" s="76">
        <f t="shared" si="620"/>
        <v>83303935.650733322</v>
      </c>
      <c r="Y493" s="76">
        <f t="shared" si="620"/>
        <v>89022133.492236927</v>
      </c>
      <c r="Z493" s="76">
        <f t="shared" si="620"/>
        <v>94289709.436940029</v>
      </c>
      <c r="AA493" s="76">
        <f t="shared" si="620"/>
        <v>99901486.961355612</v>
      </c>
      <c r="AB493" s="76">
        <f t="shared" ref="AB493" si="621">SUM(AB494:AB496)</f>
        <v>104681380.76189716</v>
      </c>
    </row>
    <row r="494" spans="1:28" x14ac:dyDescent="0.2">
      <c r="A494" s="25"/>
      <c r="B494" t="s">
        <v>138</v>
      </c>
      <c r="C494" s="38">
        <f>C26</f>
        <v>2890680.0120000001</v>
      </c>
      <c r="D494" s="38">
        <f t="shared" ref="D494:K494" si="622">D26</f>
        <v>2841236.9321875609</v>
      </c>
      <c r="E494" s="38">
        <f t="shared" si="622"/>
        <v>3364512.5219734255</v>
      </c>
      <c r="F494" s="38">
        <f t="shared" si="622"/>
        <v>3449402.3802874475</v>
      </c>
      <c r="G494" s="38">
        <f t="shared" si="622"/>
        <v>3403998.8557136594</v>
      </c>
      <c r="H494" s="38">
        <f t="shared" si="622"/>
        <v>3783232.4805551497</v>
      </c>
      <c r="I494" s="38">
        <f t="shared" si="622"/>
        <v>3978430.9734983295</v>
      </c>
      <c r="J494" s="38">
        <f t="shared" si="622"/>
        <v>4085960.0071892161</v>
      </c>
      <c r="K494" s="251">
        <f t="shared" si="622"/>
        <v>4206781.6122447932</v>
      </c>
      <c r="L494" s="76">
        <f t="shared" ref="L494:AA494" si="623">L26</f>
        <v>4839046.3328370862</v>
      </c>
      <c r="M494" s="76">
        <f t="shared" si="623"/>
        <v>5611028.5864500105</v>
      </c>
      <c r="N494" s="76">
        <f t="shared" si="623"/>
        <v>6524763.8535928018</v>
      </c>
      <c r="O494" s="76">
        <f t="shared" si="623"/>
        <v>7391991.5219440749</v>
      </c>
      <c r="P494" s="390">
        <f t="shared" si="623"/>
        <v>8213462.5468952749</v>
      </c>
      <c r="Q494" s="76">
        <f t="shared" si="623"/>
        <v>9081688.7266433965</v>
      </c>
      <c r="R494" s="76">
        <f t="shared" si="623"/>
        <v>9918646.9169510994</v>
      </c>
      <c r="S494" s="76">
        <f t="shared" si="623"/>
        <v>10675003.26317797</v>
      </c>
      <c r="T494" s="76">
        <f t="shared" si="623"/>
        <v>11709293.726049967</v>
      </c>
      <c r="U494" s="76">
        <f t="shared" si="623"/>
        <v>12906837.766807303</v>
      </c>
      <c r="V494" s="76">
        <f t="shared" si="623"/>
        <v>14065778.591640189</v>
      </c>
      <c r="W494" s="76">
        <f t="shared" si="623"/>
        <v>15171656.57141502</v>
      </c>
      <c r="X494" s="76">
        <f t="shared" si="623"/>
        <v>16094944.712603997</v>
      </c>
      <c r="Y494" s="76">
        <f t="shared" si="623"/>
        <v>17029783.263087254</v>
      </c>
      <c r="Z494" s="76">
        <f t="shared" si="623"/>
        <v>18135246.176588949</v>
      </c>
      <c r="AA494" s="76">
        <f t="shared" si="623"/>
        <v>19453257.156975418</v>
      </c>
      <c r="AB494" s="76">
        <f t="shared" ref="AB494" si="624">AB26</f>
        <v>21020454.89298987</v>
      </c>
    </row>
    <row r="495" spans="1:28" x14ac:dyDescent="0.2">
      <c r="A495" s="25"/>
      <c r="B495" t="s">
        <v>139</v>
      </c>
      <c r="C495" s="38">
        <f>C12</f>
        <v>2304677.8152000001</v>
      </c>
      <c r="D495" s="38">
        <f t="shared" ref="D495:K495" si="625">D12</f>
        <v>2703980.1055842899</v>
      </c>
      <c r="E495" s="38">
        <f t="shared" si="625"/>
        <v>2072488.8384396045</v>
      </c>
      <c r="F495" s="38">
        <f t="shared" si="625"/>
        <v>2527821.9119477458</v>
      </c>
      <c r="G495" s="38">
        <f t="shared" si="625"/>
        <v>3467046.7951236344</v>
      </c>
      <c r="H495" s="38">
        <f t="shared" si="625"/>
        <v>3334697.2693839096</v>
      </c>
      <c r="I495" s="38">
        <f t="shared" si="625"/>
        <v>14549681.201817384</v>
      </c>
      <c r="J495" s="38">
        <f t="shared" si="625"/>
        <v>14936288.688019773</v>
      </c>
      <c r="K495" s="251">
        <f t="shared" si="625"/>
        <v>13743180.417998951</v>
      </c>
      <c r="L495" s="76">
        <f t="shared" ref="L495:AA495" si="626">L12</f>
        <v>15671265.640101366</v>
      </c>
      <c r="M495" s="76">
        <f t="shared" si="626"/>
        <v>18249320.967567526</v>
      </c>
      <c r="N495" s="76">
        <f t="shared" si="626"/>
        <v>21402532.835208081</v>
      </c>
      <c r="O495" s="76">
        <f t="shared" si="626"/>
        <v>24459908.211608902</v>
      </c>
      <c r="P495" s="390">
        <f t="shared" si="626"/>
        <v>27667830.643323682</v>
      </c>
      <c r="Q495" s="76">
        <f t="shared" si="626"/>
        <v>31153864.083325144</v>
      </c>
      <c r="R495" s="76">
        <f t="shared" si="626"/>
        <v>34978940.155660242</v>
      </c>
      <c r="S495" s="76">
        <f t="shared" si="626"/>
        <v>39066909.117605746</v>
      </c>
      <c r="T495" s="76">
        <f t="shared" si="626"/>
        <v>42458924.943598807</v>
      </c>
      <c r="U495" s="76">
        <f t="shared" si="626"/>
        <v>46375857.969607837</v>
      </c>
      <c r="V495" s="76">
        <f t="shared" si="626"/>
        <v>51003745.526263796</v>
      </c>
      <c r="W495" s="76">
        <f t="shared" si="626"/>
        <v>56374879.17986457</v>
      </c>
      <c r="X495" s="76">
        <f t="shared" si="626"/>
        <v>60364566.722023353</v>
      </c>
      <c r="Y495" s="76">
        <f t="shared" si="626"/>
        <v>64473260.22036919</v>
      </c>
      <c r="Z495" s="76">
        <f t="shared" si="626"/>
        <v>69306166.675556302</v>
      </c>
      <c r="AA495" s="76">
        <f t="shared" si="626"/>
        <v>74538167.644120485</v>
      </c>
      <c r="AB495" s="76">
        <f t="shared" ref="AB495" si="627">AB12</f>
        <v>80754448.543603703</v>
      </c>
    </row>
    <row r="496" spans="1:28" x14ac:dyDescent="0.2">
      <c r="A496" s="25"/>
      <c r="B496" t="s">
        <v>140</v>
      </c>
      <c r="C496" s="38">
        <f>C101</f>
        <v>197682.71306156705</v>
      </c>
      <c r="D496" s="38">
        <f t="shared" ref="D496:K496" si="628">D101</f>
        <v>329401.89263203839</v>
      </c>
      <c r="E496" s="38">
        <f t="shared" si="628"/>
        <v>128095.06024495597</v>
      </c>
      <c r="F496" s="38">
        <f t="shared" si="628"/>
        <v>185031.55924150065</v>
      </c>
      <c r="G496" s="38">
        <f t="shared" si="628"/>
        <v>374949.00137709395</v>
      </c>
      <c r="H496" s="38">
        <f t="shared" si="628"/>
        <v>0</v>
      </c>
      <c r="I496" s="38">
        <f t="shared" si="628"/>
        <v>80422.784389179142</v>
      </c>
      <c r="J496" s="38">
        <f t="shared" si="628"/>
        <v>250941.21152331782</v>
      </c>
      <c r="K496" s="251">
        <f t="shared" si="628"/>
        <v>3326046.4097499093</v>
      </c>
      <c r="L496" s="76">
        <f t="shared" ref="L496:AA496" si="629">L101</f>
        <v>4127838.301949033</v>
      </c>
      <c r="M496" s="76">
        <f t="shared" si="629"/>
        <v>5614636.7581304815</v>
      </c>
      <c r="N496" s="76">
        <f t="shared" si="629"/>
        <v>7714415.2115434175</v>
      </c>
      <c r="O496" s="76">
        <f t="shared" si="629"/>
        <v>8983664.2518146113</v>
      </c>
      <c r="P496" s="390">
        <f t="shared" si="629"/>
        <v>11447359.283105535</v>
      </c>
      <c r="Q496" s="76">
        <f t="shared" si="629"/>
        <v>12175875.99328492</v>
      </c>
      <c r="R496" s="76">
        <f t="shared" si="629"/>
        <v>11461675.927595006</v>
      </c>
      <c r="S496" s="76">
        <f t="shared" si="629"/>
        <v>10774876.752428668</v>
      </c>
      <c r="T496" s="76">
        <f t="shared" si="629"/>
        <v>10459475.950420408</v>
      </c>
      <c r="U496" s="76">
        <f t="shared" si="629"/>
        <v>9608903.569491405</v>
      </c>
      <c r="V496" s="76">
        <f t="shared" si="629"/>
        <v>7358119.0981232952</v>
      </c>
      <c r="W496" s="76">
        <f t="shared" si="629"/>
        <v>4770869.0641066115</v>
      </c>
      <c r="X496" s="76">
        <f t="shared" si="629"/>
        <v>6844424.216105965</v>
      </c>
      <c r="Y496" s="76">
        <f t="shared" si="629"/>
        <v>7519090.0087804757</v>
      </c>
      <c r="Z496" s="76">
        <f t="shared" si="629"/>
        <v>6848296.5847947709</v>
      </c>
      <c r="AA496" s="76">
        <f t="shared" si="629"/>
        <v>5910062.1602597032</v>
      </c>
      <c r="AB496" s="76">
        <f t="shared" ref="AB496" si="630">AB101</f>
        <v>2906477.3253035843</v>
      </c>
    </row>
    <row r="497" spans="1:28" x14ac:dyDescent="0.2">
      <c r="A497" s="25"/>
      <c r="C497" s="38"/>
      <c r="D497" s="38"/>
      <c r="E497" s="38"/>
      <c r="F497" s="38"/>
      <c r="G497" s="38"/>
      <c r="H497" s="38"/>
      <c r="I497" s="38"/>
      <c r="J497" s="38"/>
      <c r="K497" s="251"/>
      <c r="L497" s="246"/>
    </row>
    <row r="498" spans="1:28" x14ac:dyDescent="0.2">
      <c r="A498" s="25"/>
      <c r="B498" s="66" t="s">
        <v>141</v>
      </c>
      <c r="C498" s="206">
        <f t="shared" ref="C498:K498" si="631">INDEX(Doli_Prop_st,$A491,C$416)</f>
        <v>0.5</v>
      </c>
      <c r="D498" s="206">
        <f t="shared" si="631"/>
        <v>0.5</v>
      </c>
      <c r="E498" s="206">
        <f t="shared" si="631"/>
        <v>1</v>
      </c>
      <c r="F498" s="206">
        <f t="shared" si="631"/>
        <v>0.5</v>
      </c>
      <c r="G498" s="206">
        <f t="shared" si="631"/>
        <v>1</v>
      </c>
      <c r="H498" s="206">
        <f t="shared" si="631"/>
        <v>1</v>
      </c>
      <c r="I498" s="206">
        <f t="shared" si="631"/>
        <v>1</v>
      </c>
      <c r="J498" s="206">
        <f t="shared" si="631"/>
        <v>0.77</v>
      </c>
      <c r="K498" s="268">
        <f t="shared" si="631"/>
        <v>0.75</v>
      </c>
      <c r="L498" s="247">
        <f t="shared" ref="L498:AA498" si="632">INDEX(Doli_Prop_st,$A491,L$416)</f>
        <v>0.75</v>
      </c>
      <c r="M498" s="247">
        <f t="shared" si="632"/>
        <v>0.75</v>
      </c>
      <c r="N498" s="247">
        <f t="shared" si="632"/>
        <v>0.75</v>
      </c>
      <c r="O498" s="247">
        <f t="shared" si="632"/>
        <v>0.75</v>
      </c>
      <c r="P498" s="412">
        <f t="shared" si="632"/>
        <v>0.75</v>
      </c>
      <c r="Q498" s="247">
        <f t="shared" si="632"/>
        <v>0.75</v>
      </c>
      <c r="R498" s="247">
        <f t="shared" si="632"/>
        <v>0.75</v>
      </c>
      <c r="S498" s="247">
        <f t="shared" si="632"/>
        <v>0.75</v>
      </c>
      <c r="T498" s="247">
        <f t="shared" si="632"/>
        <v>0.75</v>
      </c>
      <c r="U498" s="247">
        <f t="shared" si="632"/>
        <v>0.75</v>
      </c>
      <c r="V498" s="247">
        <f t="shared" si="632"/>
        <v>0.75</v>
      </c>
      <c r="W498" s="247">
        <f t="shared" si="632"/>
        <v>0.75</v>
      </c>
      <c r="X498" s="247">
        <f t="shared" si="632"/>
        <v>0.75</v>
      </c>
      <c r="Y498" s="247">
        <f t="shared" si="632"/>
        <v>0.75</v>
      </c>
      <c r="Z498" s="247">
        <f t="shared" si="632"/>
        <v>0.75</v>
      </c>
      <c r="AA498" s="247">
        <f t="shared" si="632"/>
        <v>0.75</v>
      </c>
      <c r="AB498" s="247">
        <f t="shared" ref="AB498" si="633">INDEX(Doli_Prop_st,$A491,AB$416)</f>
        <v>0.75</v>
      </c>
    </row>
    <row r="499" spans="1:28" x14ac:dyDescent="0.2">
      <c r="A499" s="25"/>
      <c r="B499" t="s">
        <v>142</v>
      </c>
      <c r="C499" s="38">
        <f>C492/C493</f>
        <v>0.99999999999999978</v>
      </c>
      <c r="D499" s="38">
        <f t="shared" ref="D499:K499" si="634">D492/D493</f>
        <v>1</v>
      </c>
      <c r="E499" s="38">
        <f t="shared" si="634"/>
        <v>1</v>
      </c>
      <c r="F499" s="38">
        <f t="shared" si="634"/>
        <v>0.99999999999999989</v>
      </c>
      <c r="G499" s="38">
        <f t="shared" si="634"/>
        <v>1</v>
      </c>
      <c r="H499" s="38">
        <f t="shared" si="634"/>
        <v>0.71856305368283613</v>
      </c>
      <c r="I499" s="38">
        <f t="shared" si="634"/>
        <v>0.48198059706338447</v>
      </c>
      <c r="J499" s="38">
        <f t="shared" si="634"/>
        <v>0.56102697235108745</v>
      </c>
      <c r="K499" s="251">
        <f t="shared" si="634"/>
        <v>0.39946168325695564</v>
      </c>
      <c r="L499" s="76">
        <f t="shared" ref="L499:AA499" si="635">L492/L493</f>
        <v>0.29845423553851469</v>
      </c>
      <c r="M499" s="76">
        <f t="shared" si="635"/>
        <v>0.24318125743625318</v>
      </c>
      <c r="N499" s="76">
        <f t="shared" si="635"/>
        <v>0.21097965569978078</v>
      </c>
      <c r="O499" s="76">
        <f t="shared" si="635"/>
        <v>0.28894201488624499</v>
      </c>
      <c r="P499" s="390">
        <f t="shared" si="635"/>
        <v>0.39581136275609463</v>
      </c>
      <c r="Q499" s="76">
        <f t="shared" si="635"/>
        <v>0.48173946018476438</v>
      </c>
      <c r="R499" s="76">
        <f t="shared" si="635"/>
        <v>0.49337535507261443</v>
      </c>
      <c r="S499" s="76">
        <f t="shared" si="635"/>
        <v>0.44652095469413744</v>
      </c>
      <c r="T499" s="76">
        <f t="shared" si="635"/>
        <v>0.42250734225498637</v>
      </c>
      <c r="U499" s="76">
        <f t="shared" si="635"/>
        <v>0.44619838529097727</v>
      </c>
      <c r="V499" s="76">
        <f t="shared" si="635"/>
        <v>0.49080304548692372</v>
      </c>
      <c r="W499" s="76">
        <f t="shared" si="635"/>
        <v>0.54521404706566878</v>
      </c>
      <c r="X499" s="76">
        <f t="shared" si="635"/>
        <v>0.62436277272378615</v>
      </c>
      <c r="Y499" s="76">
        <f t="shared" si="635"/>
        <v>0.75565354104113613</v>
      </c>
      <c r="Z499" s="76">
        <f t="shared" si="635"/>
        <v>0.83760692851257157</v>
      </c>
      <c r="AA499" s="76">
        <f t="shared" si="635"/>
        <v>0.99999999999999989</v>
      </c>
      <c r="AB499" s="76">
        <f t="shared" ref="AB499" si="636">AB492/AB493</f>
        <v>1</v>
      </c>
    </row>
    <row r="500" spans="1:28" x14ac:dyDescent="0.2">
      <c r="A500" s="25"/>
      <c r="C500" s="38"/>
      <c r="E500" s="38"/>
      <c r="L500" s="246"/>
    </row>
    <row r="501" spans="1:28" x14ac:dyDescent="0.2">
      <c r="A501" s="151" t="s">
        <v>143</v>
      </c>
      <c r="B501" t="s">
        <v>138</v>
      </c>
      <c r="C501" s="38">
        <f>C494*C$498*C$499</f>
        <v>1445340.0059999998</v>
      </c>
      <c r="D501" s="38">
        <f t="shared" ref="D501:K501" si="637">D494*D$498*D$499</f>
        <v>1420618.4660937805</v>
      </c>
      <c r="E501" s="38">
        <f t="shared" si="637"/>
        <v>3364512.5219734255</v>
      </c>
      <c r="F501" s="38">
        <f t="shared" si="637"/>
        <v>1724701.1901437235</v>
      </c>
      <c r="G501" s="38">
        <f t="shared" si="637"/>
        <v>3403998.8557136594</v>
      </c>
      <c r="H501" s="38">
        <f t="shared" si="637"/>
        <v>2718491.0840197993</v>
      </c>
      <c r="I501" s="38">
        <f t="shared" si="637"/>
        <v>1917526.5359821869</v>
      </c>
      <c r="J501" s="38">
        <f t="shared" si="637"/>
        <v>1765097.004425365</v>
      </c>
      <c r="K501" s="251">
        <f t="shared" si="637"/>
        <v>1260336.0479412861</v>
      </c>
      <c r="L501" s="76">
        <f t="shared" ref="L501:AA501" si="638">L494*L$498*L$499</f>
        <v>1083175.4055017591</v>
      </c>
      <c r="M501" s="76">
        <f t="shared" si="638"/>
        <v>1023372.7403727568</v>
      </c>
      <c r="N501" s="76">
        <f t="shared" si="638"/>
        <v>1032444.3235150381</v>
      </c>
      <c r="O501" s="76">
        <f t="shared" si="638"/>
        <v>1601892.6932794212</v>
      </c>
      <c r="P501" s="390">
        <f t="shared" si="638"/>
        <v>2438236.3527245722</v>
      </c>
      <c r="Q501" s="76">
        <f t="shared" si="638"/>
        <v>3281255.8685544375</v>
      </c>
      <c r="R501" s="76">
        <f t="shared" si="638"/>
        <v>3670211.958367981</v>
      </c>
      <c r="S501" s="76">
        <f t="shared" si="638"/>
        <v>3574959.4863279453</v>
      </c>
      <c r="T501" s="76">
        <f t="shared" si="638"/>
        <v>3710446.9289072687</v>
      </c>
      <c r="U501" s="76">
        <f t="shared" si="638"/>
        <v>4319257.6280715158</v>
      </c>
      <c r="V501" s="76">
        <f t="shared" si="638"/>
        <v>5177645.2274413332</v>
      </c>
      <c r="W501" s="76">
        <f t="shared" si="638"/>
        <v>6203850.2099937238</v>
      </c>
      <c r="X501" s="76">
        <f t="shared" si="638"/>
        <v>7536813.230698104</v>
      </c>
      <c r="Y501" s="76">
        <f t="shared" si="638"/>
        <v>9651462.0194362178</v>
      </c>
      <c r="Z501" s="76">
        <f t="shared" si="638"/>
        <v>11392655.885844018</v>
      </c>
      <c r="AA501" s="76">
        <f t="shared" si="638"/>
        <v>14589942.867731562</v>
      </c>
      <c r="AB501" s="76">
        <f t="shared" ref="AB501" si="639">AB494*AB$498*AB$499</f>
        <v>15765341.169742402</v>
      </c>
    </row>
    <row r="502" spans="1:28" x14ac:dyDescent="0.2">
      <c r="A502" s="25"/>
      <c r="B502" t="s">
        <v>139</v>
      </c>
      <c r="C502" s="38">
        <f t="shared" ref="C502:K503" si="640">C495*C$498*C$499</f>
        <v>1152338.9075999998</v>
      </c>
      <c r="D502" s="38">
        <f t="shared" si="640"/>
        <v>1351990.0527921449</v>
      </c>
      <c r="E502" s="38">
        <f t="shared" si="640"/>
        <v>2072488.8384396045</v>
      </c>
      <c r="F502" s="38">
        <f t="shared" si="640"/>
        <v>1263910.9559738727</v>
      </c>
      <c r="G502" s="38">
        <f t="shared" si="640"/>
        <v>3467046.7951236344</v>
      </c>
      <c r="H502" s="38">
        <f t="shared" si="640"/>
        <v>2396190.2529963171</v>
      </c>
      <c r="I502" s="38">
        <f t="shared" si="640"/>
        <v>7012664.0327338437</v>
      </c>
      <c r="J502" s="38">
        <f t="shared" si="640"/>
        <v>6452338.8320171786</v>
      </c>
      <c r="K502" s="251">
        <f t="shared" si="640"/>
        <v>4117405.4873084188</v>
      </c>
      <c r="L502" s="76">
        <f t="shared" ref="L502:AA502" si="641">L495*L$498*L$499</f>
        <v>3507866.7049030839</v>
      </c>
      <c r="M502" s="76">
        <f t="shared" si="641"/>
        <v>3328419.6151881386</v>
      </c>
      <c r="N502" s="76">
        <f t="shared" si="641"/>
        <v>3386624.2565065902</v>
      </c>
      <c r="O502" s="76">
        <f t="shared" si="641"/>
        <v>5300621.3719461644</v>
      </c>
      <c r="P502" s="390">
        <f t="shared" si="641"/>
        <v>8213431.3135790853</v>
      </c>
      <c r="Q502" s="76">
        <f t="shared" si="641"/>
        <v>11256034.249627931</v>
      </c>
      <c r="R502" s="76">
        <f t="shared" si="641"/>
        <v>12943310.264521953</v>
      </c>
      <c r="S502" s="76">
        <f t="shared" si="641"/>
        <v>13083145.167106815</v>
      </c>
      <c r="T502" s="76">
        <f t="shared" si="641"/>
        <v>13454405.64969291</v>
      </c>
      <c r="U502" s="76">
        <f t="shared" si="641"/>
        <v>15519624.706892038</v>
      </c>
      <c r="V502" s="76">
        <f t="shared" si="641"/>
        <v>18774595.22664775</v>
      </c>
      <c r="W502" s="76">
        <f t="shared" si="641"/>
        <v>23052282.022869054</v>
      </c>
      <c r="X502" s="76">
        <f t="shared" si="641"/>
        <v>28267041.189624365</v>
      </c>
      <c r="Y502" s="76">
        <f t="shared" si="641"/>
        <v>36539585.540991448</v>
      </c>
      <c r="Z502" s="76">
        <f t="shared" si="641"/>
        <v>43538494.047069795</v>
      </c>
      <c r="AA502" s="76">
        <f t="shared" si="641"/>
        <v>55903625.733090356</v>
      </c>
      <c r="AB502" s="76">
        <f t="shared" ref="AB502" si="642">AB495*AB$498*AB$499</f>
        <v>60565836.407702774</v>
      </c>
    </row>
    <row r="503" spans="1:28" x14ac:dyDescent="0.2">
      <c r="A503" s="25"/>
      <c r="B503" t="s">
        <v>140</v>
      </c>
      <c r="C503" s="38">
        <f t="shared" si="640"/>
        <v>98841.356530783494</v>
      </c>
      <c r="D503" s="38">
        <f t="shared" si="640"/>
        <v>164700.9463160192</v>
      </c>
      <c r="E503" s="38">
        <f t="shared" si="640"/>
        <v>128095.06024495597</v>
      </c>
      <c r="F503" s="38">
        <f t="shared" si="640"/>
        <v>92515.779620750312</v>
      </c>
      <c r="G503" s="38">
        <f t="shared" si="640"/>
        <v>374949.00137709395</v>
      </c>
      <c r="H503" s="38">
        <f t="shared" si="640"/>
        <v>0</v>
      </c>
      <c r="I503" s="38">
        <f t="shared" si="640"/>
        <v>38762.221637396397</v>
      </c>
      <c r="J503" s="38">
        <f t="shared" si="640"/>
        <v>108404.28686706143</v>
      </c>
      <c r="K503" s="251">
        <f t="shared" si="640"/>
        <v>996471.07307208946</v>
      </c>
      <c r="L503" s="76">
        <f t="shared" ref="L503:AA503" si="643">L496*L$498*L$499</f>
        <v>923978.11862609943</v>
      </c>
      <c r="M503" s="76">
        <f t="shared" si="643"/>
        <v>1024030.8201674839</v>
      </c>
      <c r="N503" s="76">
        <f t="shared" si="643"/>
        <v>1220688.4989424362</v>
      </c>
      <c r="O503" s="76">
        <f t="shared" si="643"/>
        <v>1946818.5374856333</v>
      </c>
      <c r="P503" s="390">
        <f t="shared" si="643"/>
        <v>3398246.158353474</v>
      </c>
      <c r="Q503" s="76">
        <f t="shared" si="643"/>
        <v>4399199.9462112822</v>
      </c>
      <c r="R503" s="76">
        <f t="shared" si="643"/>
        <v>4241181.3228783179</v>
      </c>
      <c r="S503" s="76">
        <f t="shared" si="643"/>
        <v>3608406.190654587</v>
      </c>
      <c r="T503" s="76">
        <f t="shared" si="643"/>
        <v>3314404.0388940554</v>
      </c>
      <c r="U503" s="76">
        <f t="shared" si="643"/>
        <v>3215607.9428428295</v>
      </c>
      <c r="V503" s="76">
        <f t="shared" si="643"/>
        <v>2708540.4468108071</v>
      </c>
      <c r="W503" s="76">
        <f t="shared" si="643"/>
        <v>1950858.6228464739</v>
      </c>
      <c r="X503" s="76">
        <f t="shared" si="643"/>
        <v>3205052.7609493104</v>
      </c>
      <c r="Y503" s="76">
        <f t="shared" si="643"/>
        <v>4261370.242906495</v>
      </c>
      <c r="Z503" s="76">
        <f t="shared" si="643"/>
        <v>4302135.5009498112</v>
      </c>
      <c r="AA503" s="76">
        <f t="shared" si="643"/>
        <v>4432546.6201947769</v>
      </c>
      <c r="AB503" s="76">
        <f t="shared" ref="AB503" si="644">AB496*AB$498*AB$499</f>
        <v>2179857.9939776883</v>
      </c>
    </row>
    <row r="504" spans="1:28" x14ac:dyDescent="0.2">
      <c r="A504" s="25"/>
      <c r="B504" s="161" t="s">
        <v>145</v>
      </c>
      <c r="C504" s="38">
        <f>SUM(C501:C503)</f>
        <v>2696520.2701307833</v>
      </c>
      <c r="D504" s="38">
        <f t="shared" ref="D504:K504" si="645">SUM(D501:D503)</f>
        <v>2937309.4652019446</v>
      </c>
      <c r="E504" s="38">
        <f t="shared" si="645"/>
        <v>5565096.4206579858</v>
      </c>
      <c r="F504" s="38">
        <f t="shared" si="645"/>
        <v>3081127.9257383463</v>
      </c>
      <c r="G504" s="38">
        <f t="shared" si="645"/>
        <v>7245994.6522143874</v>
      </c>
      <c r="H504" s="38">
        <f t="shared" si="645"/>
        <v>5114681.3370161168</v>
      </c>
      <c r="I504" s="38">
        <f t="shared" si="645"/>
        <v>8968952.7903534267</v>
      </c>
      <c r="J504" s="38">
        <f t="shared" si="645"/>
        <v>8325840.1233096048</v>
      </c>
      <c r="K504" s="251">
        <f t="shared" si="645"/>
        <v>6374212.6083217943</v>
      </c>
      <c r="L504" s="76">
        <f t="shared" ref="L504:AA504" si="646">SUM(L501:L503)</f>
        <v>5515020.2290309425</v>
      </c>
      <c r="M504" s="76">
        <f t="shared" si="646"/>
        <v>5375823.1757283788</v>
      </c>
      <c r="N504" s="76">
        <f t="shared" si="646"/>
        <v>5639757.0789640639</v>
      </c>
      <c r="O504" s="76">
        <f t="shared" si="646"/>
        <v>8849332.6027112193</v>
      </c>
      <c r="P504" s="390">
        <f t="shared" si="646"/>
        <v>14049913.824657131</v>
      </c>
      <c r="Q504" s="76">
        <f t="shared" si="646"/>
        <v>18936490.064393651</v>
      </c>
      <c r="R504" s="76">
        <f t="shared" si="646"/>
        <v>20854703.545768254</v>
      </c>
      <c r="S504" s="76">
        <f t="shared" si="646"/>
        <v>20266510.844089348</v>
      </c>
      <c r="T504" s="76">
        <f t="shared" si="646"/>
        <v>20479256.617494233</v>
      </c>
      <c r="U504" s="76">
        <f t="shared" si="646"/>
        <v>23054490.277806383</v>
      </c>
      <c r="V504" s="76">
        <f t="shared" si="646"/>
        <v>26660780.900899891</v>
      </c>
      <c r="W504" s="76">
        <f t="shared" si="646"/>
        <v>31206990.855709251</v>
      </c>
      <c r="X504" s="76">
        <f t="shared" si="646"/>
        <v>39008907.181271784</v>
      </c>
      <c r="Y504" s="76">
        <f t="shared" si="646"/>
        <v>50452417.803334162</v>
      </c>
      <c r="Z504" s="76">
        <f t="shared" si="646"/>
        <v>59233285.433863625</v>
      </c>
      <c r="AA504" s="76">
        <f t="shared" si="646"/>
        <v>74926115.22101669</v>
      </c>
      <c r="AB504" s="76">
        <f t="shared" ref="AB504" si="647">SUM(AB501:AB503)</f>
        <v>78511035.571422875</v>
      </c>
    </row>
    <row r="505" spans="1:28" x14ac:dyDescent="0.2">
      <c r="A505" s="25"/>
      <c r="C505" s="38"/>
      <c r="E505" s="38"/>
      <c r="L505" s="246"/>
    </row>
    <row r="506" spans="1:28" x14ac:dyDescent="0.2">
      <c r="A506" s="25"/>
      <c r="B506" s="137" t="s">
        <v>97</v>
      </c>
      <c r="C506" s="38">
        <f>SUM(C507:C509)</f>
        <v>2696520.2701307843</v>
      </c>
      <c r="D506" s="38">
        <f t="shared" ref="D506:K506" si="648">SUM(D507:D509)</f>
        <v>2937309.4652019446</v>
      </c>
      <c r="E506" s="38">
        <f t="shared" si="648"/>
        <v>0</v>
      </c>
      <c r="F506" s="38">
        <f t="shared" si="648"/>
        <v>3081127.9257383472</v>
      </c>
      <c r="G506" s="38">
        <f t="shared" si="648"/>
        <v>0</v>
      </c>
      <c r="H506" s="38">
        <f t="shared" si="648"/>
        <v>2003248.412922943</v>
      </c>
      <c r="I506" s="38">
        <f t="shared" si="648"/>
        <v>9639582.169351466</v>
      </c>
      <c r="J506" s="38">
        <f t="shared" si="648"/>
        <v>10947349.783422703</v>
      </c>
      <c r="K506" s="251">
        <f t="shared" si="648"/>
        <v>14901795.83167186</v>
      </c>
      <c r="L506" s="76">
        <f t="shared" ref="L506:AA506" si="649">SUM(L507:L509)</f>
        <v>19123130.045856543</v>
      </c>
      <c r="M506" s="76">
        <f t="shared" si="649"/>
        <v>24099163.136419639</v>
      </c>
      <c r="N506" s="76">
        <f t="shared" si="649"/>
        <v>30001954.821380235</v>
      </c>
      <c r="O506" s="76">
        <f t="shared" si="649"/>
        <v>31986231.382656369</v>
      </c>
      <c r="P506" s="390">
        <f t="shared" si="649"/>
        <v>33278738.648667358</v>
      </c>
      <c r="Q506" s="76">
        <f t="shared" si="649"/>
        <v>33474938.73885981</v>
      </c>
      <c r="R506" s="76">
        <f t="shared" si="649"/>
        <v>35504559.454438098</v>
      </c>
      <c r="S506" s="76">
        <f t="shared" si="649"/>
        <v>40250278.289123036</v>
      </c>
      <c r="T506" s="76">
        <f t="shared" si="649"/>
        <v>44148438.00257495</v>
      </c>
      <c r="U506" s="76">
        <f t="shared" si="649"/>
        <v>45837109.028100163</v>
      </c>
      <c r="V506" s="76">
        <f t="shared" si="649"/>
        <v>45766862.315127388</v>
      </c>
      <c r="W506" s="76">
        <f t="shared" si="649"/>
        <v>45110413.959676951</v>
      </c>
      <c r="X506" s="76">
        <f t="shared" si="649"/>
        <v>44295028.46946153</v>
      </c>
      <c r="Y506" s="76">
        <f t="shared" si="649"/>
        <v>38569715.688902766</v>
      </c>
      <c r="Z506" s="76">
        <f t="shared" si="649"/>
        <v>35056424.003076397</v>
      </c>
      <c r="AA506" s="76">
        <f t="shared" si="649"/>
        <v>24975371.74033891</v>
      </c>
      <c r="AB506" s="76">
        <f t="shared" ref="AB506" si="650">SUM(AB507:AB509)</f>
        <v>26170345.190474294</v>
      </c>
    </row>
    <row r="507" spans="1:28" x14ac:dyDescent="0.2">
      <c r="A507" s="25"/>
      <c r="B507" t="s">
        <v>138</v>
      </c>
      <c r="C507" s="38">
        <f>C494-C501</f>
        <v>1445340.0060000003</v>
      </c>
      <c r="D507" s="38">
        <f t="shared" ref="D507:K507" si="651">D494-D501</f>
        <v>1420618.4660937805</v>
      </c>
      <c r="E507" s="38">
        <f t="shared" si="651"/>
        <v>0</v>
      </c>
      <c r="F507" s="38">
        <f t="shared" si="651"/>
        <v>1724701.190143724</v>
      </c>
      <c r="G507" s="38">
        <f t="shared" si="651"/>
        <v>0</v>
      </c>
      <c r="H507" s="38">
        <f t="shared" si="651"/>
        <v>1064741.3965353505</v>
      </c>
      <c r="I507" s="38">
        <f t="shared" si="651"/>
        <v>2060904.4375161426</v>
      </c>
      <c r="J507" s="38">
        <f t="shared" si="651"/>
        <v>2320863.0027638511</v>
      </c>
      <c r="K507" s="251">
        <f t="shared" si="651"/>
        <v>2946445.5643035071</v>
      </c>
      <c r="L507" s="76">
        <f t="shared" ref="L507:AA507" si="652">L494-L501</f>
        <v>3755870.927335327</v>
      </c>
      <c r="M507" s="76">
        <f t="shared" si="652"/>
        <v>4587655.846077254</v>
      </c>
      <c r="N507" s="76">
        <f t="shared" si="652"/>
        <v>5492319.5300777638</v>
      </c>
      <c r="O507" s="76">
        <f t="shared" si="652"/>
        <v>5790098.8286646539</v>
      </c>
      <c r="P507" s="390">
        <f t="shared" si="652"/>
        <v>5775226.1941707022</v>
      </c>
      <c r="Q507" s="76">
        <f t="shared" si="652"/>
        <v>5800432.858088959</v>
      </c>
      <c r="R507" s="76">
        <f t="shared" si="652"/>
        <v>6248434.9585831184</v>
      </c>
      <c r="S507" s="76">
        <f t="shared" si="652"/>
        <v>7100043.7768500252</v>
      </c>
      <c r="T507" s="76">
        <f t="shared" si="652"/>
        <v>7998846.7971426984</v>
      </c>
      <c r="U507" s="76">
        <f t="shared" si="652"/>
        <v>8587580.1387357861</v>
      </c>
      <c r="V507" s="76">
        <f t="shared" si="652"/>
        <v>8888133.3641988561</v>
      </c>
      <c r="W507" s="76">
        <f t="shared" si="652"/>
        <v>8967806.3614212964</v>
      </c>
      <c r="X507" s="76">
        <f t="shared" si="652"/>
        <v>8558131.4819058925</v>
      </c>
      <c r="Y507" s="76">
        <f t="shared" si="652"/>
        <v>7378321.2436510362</v>
      </c>
      <c r="Z507" s="76">
        <f t="shared" si="652"/>
        <v>6742590.2907449305</v>
      </c>
      <c r="AA507" s="76">
        <f t="shared" si="652"/>
        <v>4863314.2892438564</v>
      </c>
      <c r="AB507" s="76">
        <f t="shared" ref="AB507" si="653">AB494-AB501</f>
        <v>5255113.7232474685</v>
      </c>
    </row>
    <row r="508" spans="1:28" x14ac:dyDescent="0.2">
      <c r="A508" s="25"/>
      <c r="B508" t="s">
        <v>139</v>
      </c>
      <c r="C508" s="38">
        <f t="shared" ref="C508:K509" si="654">C495-C502</f>
        <v>1152338.9076000003</v>
      </c>
      <c r="D508" s="38">
        <f t="shared" si="654"/>
        <v>1351990.0527921449</v>
      </c>
      <c r="E508" s="38">
        <f t="shared" si="654"/>
        <v>0</v>
      </c>
      <c r="F508" s="38">
        <f t="shared" si="654"/>
        <v>1263910.9559738731</v>
      </c>
      <c r="G508" s="38">
        <f t="shared" si="654"/>
        <v>0</v>
      </c>
      <c r="H508" s="38">
        <f t="shared" si="654"/>
        <v>938507.01638759254</v>
      </c>
      <c r="I508" s="38">
        <f t="shared" si="654"/>
        <v>7537017.1690835403</v>
      </c>
      <c r="J508" s="38">
        <f t="shared" si="654"/>
        <v>8483949.8560025953</v>
      </c>
      <c r="K508" s="251">
        <f t="shared" si="654"/>
        <v>9625774.9306905326</v>
      </c>
      <c r="L508" s="76">
        <f t="shared" ref="L508:AA508" si="655">L495-L502</f>
        <v>12163398.935198281</v>
      </c>
      <c r="M508" s="76">
        <f t="shared" si="655"/>
        <v>14920901.352379387</v>
      </c>
      <c r="N508" s="76">
        <f t="shared" si="655"/>
        <v>18015908.578701489</v>
      </c>
      <c r="O508" s="76">
        <f t="shared" si="655"/>
        <v>19159286.839662738</v>
      </c>
      <c r="P508" s="390">
        <f t="shared" si="655"/>
        <v>19454399.329744596</v>
      </c>
      <c r="Q508" s="76">
        <f t="shared" si="655"/>
        <v>19897829.833697215</v>
      </c>
      <c r="R508" s="76">
        <f t="shared" si="655"/>
        <v>22035629.891138289</v>
      </c>
      <c r="S508" s="76">
        <f t="shared" si="655"/>
        <v>25983763.950498931</v>
      </c>
      <c r="T508" s="76">
        <f t="shared" si="655"/>
        <v>29004519.293905899</v>
      </c>
      <c r="U508" s="76">
        <f t="shared" si="655"/>
        <v>30856233.262715802</v>
      </c>
      <c r="V508" s="76">
        <f t="shared" si="655"/>
        <v>32229150.299616046</v>
      </c>
      <c r="W508" s="76">
        <f t="shared" si="655"/>
        <v>33322597.156995516</v>
      </c>
      <c r="X508" s="76">
        <f t="shared" si="655"/>
        <v>32097525.532398988</v>
      </c>
      <c r="Y508" s="76">
        <f t="shared" si="655"/>
        <v>27933674.679377742</v>
      </c>
      <c r="Z508" s="76">
        <f t="shared" si="655"/>
        <v>25767672.628486507</v>
      </c>
      <c r="AA508" s="76">
        <f t="shared" si="655"/>
        <v>18634541.911030129</v>
      </c>
      <c r="AB508" s="76">
        <f t="shared" ref="AB508" si="656">AB495-AB502</f>
        <v>20188612.13590093</v>
      </c>
    </row>
    <row r="509" spans="1:28" x14ac:dyDescent="0.2">
      <c r="A509" s="25"/>
      <c r="B509" t="s">
        <v>140</v>
      </c>
      <c r="C509" s="38">
        <f t="shared" si="654"/>
        <v>98841.356530783552</v>
      </c>
      <c r="D509" s="38">
        <f t="shared" si="654"/>
        <v>164700.9463160192</v>
      </c>
      <c r="E509" s="38">
        <f t="shared" si="654"/>
        <v>0</v>
      </c>
      <c r="F509" s="38">
        <f t="shared" si="654"/>
        <v>92515.779620750342</v>
      </c>
      <c r="G509" s="38">
        <f t="shared" si="654"/>
        <v>0</v>
      </c>
      <c r="H509" s="38">
        <f t="shared" si="654"/>
        <v>0</v>
      </c>
      <c r="I509" s="38">
        <f t="shared" si="654"/>
        <v>41660.562751782745</v>
      </c>
      <c r="J509" s="38">
        <f t="shared" si="654"/>
        <v>142536.92465625639</v>
      </c>
      <c r="K509" s="251">
        <f t="shared" si="654"/>
        <v>2329575.33667782</v>
      </c>
      <c r="L509" s="76">
        <f t="shared" ref="L509:AA509" si="657">L496-L503</f>
        <v>3203860.1833229335</v>
      </c>
      <c r="M509" s="76">
        <f t="shared" si="657"/>
        <v>4590605.9379629977</v>
      </c>
      <c r="N509" s="76">
        <f t="shared" si="657"/>
        <v>6493726.7126009818</v>
      </c>
      <c r="O509" s="76">
        <f t="shared" si="657"/>
        <v>7036845.7143289782</v>
      </c>
      <c r="P509" s="390">
        <f t="shared" si="657"/>
        <v>8049113.1247520614</v>
      </c>
      <c r="Q509" s="76">
        <f t="shared" si="657"/>
        <v>7776676.0470736381</v>
      </c>
      <c r="R509" s="76">
        <f t="shared" si="657"/>
        <v>7220494.6047166884</v>
      </c>
      <c r="S509" s="76">
        <f t="shared" si="657"/>
        <v>7166470.5617740806</v>
      </c>
      <c r="T509" s="76">
        <f t="shared" si="657"/>
        <v>7145071.9115263522</v>
      </c>
      <c r="U509" s="76">
        <f t="shared" si="657"/>
        <v>6393295.6266485751</v>
      </c>
      <c r="V509" s="76">
        <f t="shared" si="657"/>
        <v>4649578.6513124881</v>
      </c>
      <c r="W509" s="76">
        <f t="shared" si="657"/>
        <v>2820010.4412601376</v>
      </c>
      <c r="X509" s="76">
        <f t="shared" si="657"/>
        <v>3639371.4551566546</v>
      </c>
      <c r="Y509" s="76">
        <f t="shared" si="657"/>
        <v>3257719.7658739807</v>
      </c>
      <c r="Z509" s="76">
        <f t="shared" si="657"/>
        <v>2546161.0838449597</v>
      </c>
      <c r="AA509" s="76">
        <f t="shared" si="657"/>
        <v>1477515.5400649263</v>
      </c>
      <c r="AB509" s="76">
        <f t="shared" ref="AB509" si="658">AB496-AB503</f>
        <v>726619.33132589608</v>
      </c>
    </row>
    <row r="510" spans="1:28" x14ac:dyDescent="0.2">
      <c r="A510" s="25"/>
      <c r="C510" s="38"/>
      <c r="E510" s="38"/>
      <c r="L510" s="246"/>
    </row>
    <row r="511" spans="1:28" x14ac:dyDescent="0.2">
      <c r="A511" s="151" t="s">
        <v>98</v>
      </c>
      <c r="B511" t="s">
        <v>144</v>
      </c>
      <c r="C511" s="38">
        <f>C492-C504</f>
        <v>2696520.2701307833</v>
      </c>
      <c r="D511" s="38">
        <f t="shared" ref="D511:K511" si="659">D492-D504</f>
        <v>2937309.4652019446</v>
      </c>
      <c r="E511" s="38">
        <f t="shared" si="659"/>
        <v>0</v>
      </c>
      <c r="F511" s="38">
        <f t="shared" si="659"/>
        <v>3081127.9257383472</v>
      </c>
      <c r="G511" s="38">
        <f t="shared" si="659"/>
        <v>0</v>
      </c>
      <c r="H511" s="38">
        <f t="shared" si="659"/>
        <v>0</v>
      </c>
      <c r="I511" s="38">
        <f t="shared" si="659"/>
        <v>0</v>
      </c>
      <c r="J511" s="38">
        <f t="shared" si="659"/>
        <v>2486939.2576119583</v>
      </c>
      <c r="K511" s="251">
        <f t="shared" si="659"/>
        <v>2124737.5361072654</v>
      </c>
      <c r="L511" s="76">
        <f t="shared" ref="L511:AA511" si="660">L492-L504</f>
        <v>1838340.0763436463</v>
      </c>
      <c r="M511" s="76">
        <f t="shared" si="660"/>
        <v>1791941.0585761275</v>
      </c>
      <c r="N511" s="76">
        <f t="shared" si="660"/>
        <v>1879919.0263213553</v>
      </c>
      <c r="O511" s="76">
        <f t="shared" si="660"/>
        <v>2949777.5342370719</v>
      </c>
      <c r="P511" s="390">
        <f t="shared" si="660"/>
        <v>4683304.6082190461</v>
      </c>
      <c r="Q511" s="76">
        <f t="shared" si="660"/>
        <v>6312163.3547978811</v>
      </c>
      <c r="R511" s="76">
        <f t="shared" si="660"/>
        <v>6951567.8485894129</v>
      </c>
      <c r="S511" s="76">
        <f t="shared" si="660"/>
        <v>6755503.6146964468</v>
      </c>
      <c r="T511" s="76">
        <f t="shared" si="660"/>
        <v>6826418.8724980801</v>
      </c>
      <c r="U511" s="76">
        <f t="shared" si="660"/>
        <v>7684830.09260213</v>
      </c>
      <c r="V511" s="76">
        <f t="shared" si="660"/>
        <v>8886926.9669666253</v>
      </c>
      <c r="W511" s="76">
        <f t="shared" si="660"/>
        <v>10402330.285236422</v>
      </c>
      <c r="X511" s="76">
        <f t="shared" si="660"/>
        <v>13002969.060423933</v>
      </c>
      <c r="Y511" s="76">
        <f t="shared" si="660"/>
        <v>16817472.601111397</v>
      </c>
      <c r="Z511" s="76">
        <f t="shared" si="660"/>
        <v>19744428.477954552</v>
      </c>
      <c r="AA511" s="76">
        <f t="shared" si="660"/>
        <v>24975371.740338907</v>
      </c>
      <c r="AB511" s="76">
        <f t="shared" ref="AB511" si="661">AB492-AB504</f>
        <v>26170345.190474287</v>
      </c>
    </row>
    <row r="512" spans="1:28" x14ac:dyDescent="0.2">
      <c r="A512" s="25"/>
      <c r="B512" t="s">
        <v>138</v>
      </c>
      <c r="C512" s="38">
        <f>MIN(C511,C507)</f>
        <v>1445340.0060000003</v>
      </c>
      <c r="D512" s="38">
        <f t="shared" ref="D512:K512" si="662">MIN(D511,D507)</f>
        <v>1420618.4660937805</v>
      </c>
      <c r="E512" s="38">
        <f t="shared" si="662"/>
        <v>0</v>
      </c>
      <c r="F512" s="38">
        <f t="shared" si="662"/>
        <v>1724701.190143724</v>
      </c>
      <c r="G512" s="38">
        <f t="shared" si="662"/>
        <v>0</v>
      </c>
      <c r="H512" s="38">
        <f t="shared" si="662"/>
        <v>0</v>
      </c>
      <c r="I512" s="38">
        <f t="shared" si="662"/>
        <v>0</v>
      </c>
      <c r="J512" s="38">
        <f t="shared" si="662"/>
        <v>2320863.0027638511</v>
      </c>
      <c r="K512" s="251">
        <f t="shared" si="662"/>
        <v>2124737.5361072654</v>
      </c>
      <c r="L512" s="76">
        <f t="shared" ref="L512:AA512" si="663">MIN(L511,L507)</f>
        <v>1838340.0763436463</v>
      </c>
      <c r="M512" s="76">
        <f t="shared" si="663"/>
        <v>1791941.0585761275</v>
      </c>
      <c r="N512" s="76">
        <f t="shared" si="663"/>
        <v>1879919.0263213553</v>
      </c>
      <c r="O512" s="76">
        <f t="shared" si="663"/>
        <v>2949777.5342370719</v>
      </c>
      <c r="P512" s="390">
        <f t="shared" si="663"/>
        <v>4683304.6082190461</v>
      </c>
      <c r="Q512" s="76">
        <f t="shared" si="663"/>
        <v>5800432.858088959</v>
      </c>
      <c r="R512" s="76">
        <f t="shared" si="663"/>
        <v>6248434.9585831184</v>
      </c>
      <c r="S512" s="76">
        <f t="shared" si="663"/>
        <v>6755503.6146964468</v>
      </c>
      <c r="T512" s="76">
        <f t="shared" si="663"/>
        <v>6826418.8724980801</v>
      </c>
      <c r="U512" s="76">
        <f t="shared" si="663"/>
        <v>7684830.09260213</v>
      </c>
      <c r="V512" s="76">
        <f t="shared" si="663"/>
        <v>8886926.9669666253</v>
      </c>
      <c r="W512" s="76">
        <f t="shared" si="663"/>
        <v>8967806.3614212964</v>
      </c>
      <c r="X512" s="76">
        <f t="shared" si="663"/>
        <v>8558131.4819058925</v>
      </c>
      <c r="Y512" s="76">
        <f t="shared" si="663"/>
        <v>7378321.2436510362</v>
      </c>
      <c r="Z512" s="76">
        <f t="shared" si="663"/>
        <v>6742590.2907449305</v>
      </c>
      <c r="AA512" s="76">
        <f t="shared" si="663"/>
        <v>4863314.2892438564</v>
      </c>
      <c r="AB512" s="76">
        <f t="shared" ref="AB512" si="664">MIN(AB511,AB507)</f>
        <v>5255113.7232474685</v>
      </c>
    </row>
    <row r="513" spans="1:28" x14ac:dyDescent="0.2">
      <c r="A513" s="25"/>
      <c r="B513" t="s">
        <v>139</v>
      </c>
      <c r="C513" s="38">
        <f>MIN(C511-C512,C508)</f>
        <v>1152338.9076000003</v>
      </c>
      <c r="D513" s="38">
        <f t="shared" ref="D513:K513" si="665">MIN(D511-D512,D508)</f>
        <v>1351990.0527921449</v>
      </c>
      <c r="E513" s="38">
        <f t="shared" si="665"/>
        <v>0</v>
      </c>
      <c r="F513" s="38">
        <f t="shared" si="665"/>
        <v>1263910.9559738731</v>
      </c>
      <c r="G513" s="38">
        <f t="shared" si="665"/>
        <v>0</v>
      </c>
      <c r="H513" s="38">
        <f t="shared" si="665"/>
        <v>0</v>
      </c>
      <c r="I513" s="38">
        <f t="shared" si="665"/>
        <v>0</v>
      </c>
      <c r="J513" s="38">
        <f t="shared" si="665"/>
        <v>166076.25484810723</v>
      </c>
      <c r="K513" s="251">
        <f t="shared" si="665"/>
        <v>0</v>
      </c>
      <c r="L513" s="76">
        <f t="shared" ref="L513:AA513" si="666">MIN(L511-L512,L508)</f>
        <v>0</v>
      </c>
      <c r="M513" s="76">
        <f t="shared" si="666"/>
        <v>0</v>
      </c>
      <c r="N513" s="76">
        <f t="shared" si="666"/>
        <v>0</v>
      </c>
      <c r="O513" s="76">
        <f t="shared" si="666"/>
        <v>0</v>
      </c>
      <c r="P513" s="390">
        <f t="shared" si="666"/>
        <v>0</v>
      </c>
      <c r="Q513" s="76">
        <f t="shared" si="666"/>
        <v>511730.49670892209</v>
      </c>
      <c r="R513" s="76">
        <f t="shared" si="666"/>
        <v>703132.89000629447</v>
      </c>
      <c r="S513" s="76">
        <f t="shared" si="666"/>
        <v>0</v>
      </c>
      <c r="T513" s="76">
        <f t="shared" si="666"/>
        <v>0</v>
      </c>
      <c r="U513" s="76">
        <f t="shared" si="666"/>
        <v>0</v>
      </c>
      <c r="V513" s="76">
        <f t="shared" si="666"/>
        <v>0</v>
      </c>
      <c r="W513" s="76">
        <f t="shared" si="666"/>
        <v>1434523.9238151256</v>
      </c>
      <c r="X513" s="76">
        <f t="shared" si="666"/>
        <v>4444837.5785180405</v>
      </c>
      <c r="Y513" s="76">
        <f t="shared" si="666"/>
        <v>9439151.357460361</v>
      </c>
      <c r="Z513" s="76">
        <f t="shared" si="666"/>
        <v>13001838.187209621</v>
      </c>
      <c r="AA513" s="76">
        <f t="shared" si="666"/>
        <v>18634541.911030129</v>
      </c>
      <c r="AB513" s="76">
        <f t="shared" ref="AB513" si="667">MIN(AB511-AB512,AB508)</f>
        <v>20188612.13590093</v>
      </c>
    </row>
    <row r="514" spans="1:28" x14ac:dyDescent="0.2">
      <c r="A514" s="25"/>
      <c r="B514" t="s">
        <v>140</v>
      </c>
      <c r="C514" s="38">
        <f>MIN(C511-C512-C513,C509)</f>
        <v>98841.356530782767</v>
      </c>
      <c r="D514" s="38">
        <f t="shared" ref="D514:K514" si="668">MIN(D511-D512-D513,D509)</f>
        <v>164700.94631601917</v>
      </c>
      <c r="E514" s="38">
        <f t="shared" si="668"/>
        <v>0</v>
      </c>
      <c r="F514" s="38">
        <f t="shared" si="668"/>
        <v>92515.779620750109</v>
      </c>
      <c r="G514" s="38">
        <f t="shared" si="668"/>
        <v>0</v>
      </c>
      <c r="H514" s="38">
        <f t="shared" si="668"/>
        <v>0</v>
      </c>
      <c r="I514" s="38">
        <f t="shared" si="668"/>
        <v>0</v>
      </c>
      <c r="J514" s="38">
        <f t="shared" si="668"/>
        <v>0</v>
      </c>
      <c r="K514" s="251">
        <f t="shared" si="668"/>
        <v>0</v>
      </c>
      <c r="L514" s="76">
        <f t="shared" ref="L514:AA514" si="669">MIN(L511-L512-L513,L509)</f>
        <v>0</v>
      </c>
      <c r="M514" s="76">
        <f t="shared" si="669"/>
        <v>0</v>
      </c>
      <c r="N514" s="76">
        <f t="shared" si="669"/>
        <v>0</v>
      </c>
      <c r="O514" s="76">
        <f t="shared" si="669"/>
        <v>0</v>
      </c>
      <c r="P514" s="390">
        <f t="shared" si="669"/>
        <v>0</v>
      </c>
      <c r="Q514" s="76">
        <f t="shared" si="669"/>
        <v>0</v>
      </c>
      <c r="R514" s="76">
        <f t="shared" si="669"/>
        <v>0</v>
      </c>
      <c r="S514" s="76">
        <f t="shared" si="669"/>
        <v>0</v>
      </c>
      <c r="T514" s="76">
        <f t="shared" si="669"/>
        <v>0</v>
      </c>
      <c r="U514" s="76">
        <f t="shared" si="669"/>
        <v>0</v>
      </c>
      <c r="V514" s="76">
        <f t="shared" si="669"/>
        <v>0</v>
      </c>
      <c r="W514" s="76">
        <f t="shared" si="669"/>
        <v>0</v>
      </c>
      <c r="X514" s="76">
        <f t="shared" si="669"/>
        <v>0</v>
      </c>
      <c r="Y514" s="76">
        <f t="shared" si="669"/>
        <v>0</v>
      </c>
      <c r="Z514" s="76">
        <f t="shared" si="669"/>
        <v>0</v>
      </c>
      <c r="AA514" s="76">
        <f t="shared" si="669"/>
        <v>1477515.5400649235</v>
      </c>
      <c r="AB514" s="76">
        <f t="shared" ref="AB514" si="670">MIN(AB511-AB512-AB513,AB509)</f>
        <v>726619.33132588863</v>
      </c>
    </row>
    <row r="515" spans="1:28" x14ac:dyDescent="0.2">
      <c r="A515" s="25"/>
      <c r="C515" s="38"/>
      <c r="E515" s="38"/>
      <c r="L515" s="246"/>
    </row>
    <row r="516" spans="1:28" x14ac:dyDescent="0.2">
      <c r="A516" s="25"/>
      <c r="B516" s="159" t="s">
        <v>146</v>
      </c>
      <c r="C516" s="38"/>
      <c r="E516" s="38"/>
      <c r="L516" s="246"/>
    </row>
    <row r="517" spans="1:28" x14ac:dyDescent="0.2">
      <c r="A517" s="25"/>
      <c r="B517" t="s">
        <v>138</v>
      </c>
      <c r="C517" s="38">
        <f>C501+C512</f>
        <v>2890680.0120000001</v>
      </c>
      <c r="D517" s="38">
        <f t="shared" ref="D517:K517" si="671">D501+D512</f>
        <v>2841236.9321875609</v>
      </c>
      <c r="E517" s="38">
        <f t="shared" si="671"/>
        <v>3364512.5219734255</v>
      </c>
      <c r="F517" s="38">
        <f t="shared" si="671"/>
        <v>3449402.3802874475</v>
      </c>
      <c r="G517" s="38">
        <f t="shared" si="671"/>
        <v>3403998.8557136594</v>
      </c>
      <c r="H517" s="38">
        <f t="shared" si="671"/>
        <v>2718491.0840197993</v>
      </c>
      <c r="I517" s="38">
        <f t="shared" si="671"/>
        <v>1917526.5359821869</v>
      </c>
      <c r="J517" s="38">
        <f t="shared" si="671"/>
        <v>4085960.0071892161</v>
      </c>
      <c r="K517" s="251">
        <f t="shared" si="671"/>
        <v>3385073.5840485515</v>
      </c>
      <c r="L517" s="76">
        <f t="shared" ref="L517:AA517" si="672">L501+L512</f>
        <v>2921515.4818454054</v>
      </c>
      <c r="M517" s="76">
        <f t="shared" si="672"/>
        <v>2815313.7989488845</v>
      </c>
      <c r="N517" s="76">
        <f t="shared" si="672"/>
        <v>2912363.3498363933</v>
      </c>
      <c r="O517" s="76">
        <f t="shared" si="672"/>
        <v>4551670.2275164928</v>
      </c>
      <c r="P517" s="390">
        <f t="shared" si="672"/>
        <v>7121540.9609436188</v>
      </c>
      <c r="Q517" s="76">
        <f t="shared" si="672"/>
        <v>9081688.7266433965</v>
      </c>
      <c r="R517" s="76">
        <f t="shared" si="672"/>
        <v>9918646.9169510994</v>
      </c>
      <c r="S517" s="76">
        <f t="shared" si="672"/>
        <v>10330463.101024393</v>
      </c>
      <c r="T517" s="76">
        <f t="shared" si="672"/>
        <v>10536865.801405348</v>
      </c>
      <c r="U517" s="76">
        <f t="shared" si="672"/>
        <v>12004087.720673647</v>
      </c>
      <c r="V517" s="76">
        <f t="shared" si="672"/>
        <v>14064572.194407959</v>
      </c>
      <c r="W517" s="76">
        <f t="shared" si="672"/>
        <v>15171656.57141502</v>
      </c>
      <c r="X517" s="76">
        <f t="shared" si="672"/>
        <v>16094944.712603997</v>
      </c>
      <c r="Y517" s="76">
        <f t="shared" si="672"/>
        <v>17029783.263087254</v>
      </c>
      <c r="Z517" s="76">
        <f t="shared" si="672"/>
        <v>18135246.176588949</v>
      </c>
      <c r="AA517" s="76">
        <f t="shared" si="672"/>
        <v>19453257.156975418</v>
      </c>
      <c r="AB517" s="76">
        <f t="shared" ref="AB517" si="673">AB501+AB512</f>
        <v>21020454.89298987</v>
      </c>
    </row>
    <row r="518" spans="1:28" x14ac:dyDescent="0.2">
      <c r="A518" s="25"/>
      <c r="B518" t="s">
        <v>139</v>
      </c>
      <c r="C518" s="38">
        <f>C502+C513</f>
        <v>2304677.8152000001</v>
      </c>
      <c r="D518" s="38">
        <f t="shared" ref="D518:K518" si="674">D502+D513</f>
        <v>2703980.1055842899</v>
      </c>
      <c r="E518" s="38">
        <f t="shared" si="674"/>
        <v>2072488.8384396045</v>
      </c>
      <c r="F518" s="38">
        <f t="shared" si="674"/>
        <v>2527821.9119477458</v>
      </c>
      <c r="G518" s="38">
        <f t="shared" si="674"/>
        <v>3467046.7951236344</v>
      </c>
      <c r="H518" s="38">
        <f t="shared" si="674"/>
        <v>2396190.2529963171</v>
      </c>
      <c r="I518" s="38">
        <f t="shared" si="674"/>
        <v>7012664.0327338437</v>
      </c>
      <c r="J518" s="38">
        <f t="shared" si="674"/>
        <v>6618415.0868652854</v>
      </c>
      <c r="K518" s="251">
        <f t="shared" si="674"/>
        <v>4117405.4873084188</v>
      </c>
      <c r="L518" s="76">
        <f t="shared" ref="L518:AA518" si="675">L502+L513</f>
        <v>3507866.7049030839</v>
      </c>
      <c r="M518" s="76">
        <f t="shared" si="675"/>
        <v>3328419.6151881386</v>
      </c>
      <c r="N518" s="76">
        <f t="shared" si="675"/>
        <v>3386624.2565065902</v>
      </c>
      <c r="O518" s="76">
        <f t="shared" si="675"/>
        <v>5300621.3719461644</v>
      </c>
      <c r="P518" s="390">
        <f t="shared" si="675"/>
        <v>8213431.3135790853</v>
      </c>
      <c r="Q518" s="76">
        <f t="shared" si="675"/>
        <v>11767764.746336853</v>
      </c>
      <c r="R518" s="76">
        <f t="shared" si="675"/>
        <v>13646443.154528247</v>
      </c>
      <c r="S518" s="76">
        <f t="shared" si="675"/>
        <v>13083145.167106815</v>
      </c>
      <c r="T518" s="76">
        <f t="shared" si="675"/>
        <v>13454405.64969291</v>
      </c>
      <c r="U518" s="76">
        <f t="shared" si="675"/>
        <v>15519624.706892038</v>
      </c>
      <c r="V518" s="76">
        <f t="shared" si="675"/>
        <v>18774595.22664775</v>
      </c>
      <c r="W518" s="76">
        <f t="shared" si="675"/>
        <v>24486805.946684182</v>
      </c>
      <c r="X518" s="76">
        <f t="shared" si="675"/>
        <v>32711878.768142406</v>
      </c>
      <c r="Y518" s="76">
        <f t="shared" si="675"/>
        <v>45978736.898451805</v>
      </c>
      <c r="Z518" s="76">
        <f t="shared" si="675"/>
        <v>56540332.234279417</v>
      </c>
      <c r="AA518" s="76">
        <f t="shared" si="675"/>
        <v>74538167.644120485</v>
      </c>
      <c r="AB518" s="76">
        <f t="shared" ref="AB518" si="676">AB502+AB513</f>
        <v>80754448.543603703</v>
      </c>
    </row>
    <row r="519" spans="1:28" x14ac:dyDescent="0.2">
      <c r="A519" s="25"/>
      <c r="B519" t="s">
        <v>140</v>
      </c>
      <c r="C519" s="38">
        <f>C503+C514</f>
        <v>197682.71306156626</v>
      </c>
      <c r="D519" s="38">
        <f t="shared" ref="D519:K519" si="677">D503+D514</f>
        <v>329401.89263203833</v>
      </c>
      <c r="E519" s="38">
        <f t="shared" si="677"/>
        <v>128095.06024495597</v>
      </c>
      <c r="F519" s="38">
        <f t="shared" si="677"/>
        <v>185031.55924150042</v>
      </c>
      <c r="G519" s="38">
        <f t="shared" si="677"/>
        <v>374949.00137709395</v>
      </c>
      <c r="H519" s="38">
        <f t="shared" si="677"/>
        <v>0</v>
      </c>
      <c r="I519" s="38">
        <f t="shared" si="677"/>
        <v>38762.221637396397</v>
      </c>
      <c r="J519" s="38">
        <f t="shared" si="677"/>
        <v>108404.28686706143</v>
      </c>
      <c r="K519" s="251">
        <f t="shared" si="677"/>
        <v>996471.07307208946</v>
      </c>
      <c r="L519" s="76">
        <f t="shared" ref="L519:AA519" si="678">L503+L514</f>
        <v>923978.11862609943</v>
      </c>
      <c r="M519" s="76">
        <f t="shared" si="678"/>
        <v>1024030.8201674839</v>
      </c>
      <c r="N519" s="76">
        <f t="shared" si="678"/>
        <v>1220688.4989424362</v>
      </c>
      <c r="O519" s="76">
        <f t="shared" si="678"/>
        <v>1946818.5374856333</v>
      </c>
      <c r="P519" s="390">
        <f t="shared" si="678"/>
        <v>3398246.158353474</v>
      </c>
      <c r="Q519" s="76">
        <f t="shared" si="678"/>
        <v>4399199.9462112822</v>
      </c>
      <c r="R519" s="76">
        <f t="shared" si="678"/>
        <v>4241181.3228783179</v>
      </c>
      <c r="S519" s="76">
        <f t="shared" si="678"/>
        <v>3608406.190654587</v>
      </c>
      <c r="T519" s="76">
        <f t="shared" si="678"/>
        <v>3314404.0388940554</v>
      </c>
      <c r="U519" s="76">
        <f t="shared" si="678"/>
        <v>3215607.9428428295</v>
      </c>
      <c r="V519" s="76">
        <f t="shared" si="678"/>
        <v>2708540.4468108071</v>
      </c>
      <c r="W519" s="76">
        <f t="shared" si="678"/>
        <v>1950858.6228464739</v>
      </c>
      <c r="X519" s="76">
        <f t="shared" si="678"/>
        <v>3205052.7609493104</v>
      </c>
      <c r="Y519" s="76">
        <f t="shared" si="678"/>
        <v>4261370.242906495</v>
      </c>
      <c r="Z519" s="76">
        <f t="shared" si="678"/>
        <v>4302135.5009498112</v>
      </c>
      <c r="AA519" s="76">
        <f t="shared" si="678"/>
        <v>5910062.1602597004</v>
      </c>
      <c r="AB519" s="76">
        <f t="shared" ref="AB519" si="679">AB503+AB514</f>
        <v>2906477.3253035769</v>
      </c>
    </row>
    <row r="520" spans="1:28" x14ac:dyDescent="0.2">
      <c r="A520" s="25"/>
      <c r="C520" s="38"/>
      <c r="E520" s="38"/>
      <c r="L520" s="246"/>
    </row>
    <row r="521" spans="1:28" x14ac:dyDescent="0.2">
      <c r="A521" s="25"/>
      <c r="C521" s="38"/>
      <c r="E521" s="38"/>
      <c r="L521" s="246"/>
    </row>
    <row r="522" spans="1:28" x14ac:dyDescent="0.2">
      <c r="A522" s="157">
        <v>4</v>
      </c>
      <c r="B522" s="162" t="s">
        <v>5</v>
      </c>
      <c r="C522" s="38"/>
      <c r="E522" s="38"/>
      <c r="L522" s="246"/>
    </row>
    <row r="523" spans="1:28" x14ac:dyDescent="0.2">
      <c r="A523" s="25"/>
      <c r="B523" s="25" t="s">
        <v>136</v>
      </c>
      <c r="C523" s="38">
        <f>C420</f>
        <v>5118885.4513753662</v>
      </c>
      <c r="D523" s="38">
        <f t="shared" ref="D523:K523" si="680">D420</f>
        <v>6079203.7940381095</v>
      </c>
      <c r="E523" s="38">
        <f t="shared" si="680"/>
        <v>4933522.0613253433</v>
      </c>
      <c r="F523" s="38">
        <f t="shared" si="680"/>
        <v>3786812.9632083457</v>
      </c>
      <c r="G523" s="38">
        <f t="shared" si="680"/>
        <v>3370433.5808697399</v>
      </c>
      <c r="H523" s="38">
        <f t="shared" si="680"/>
        <v>4980826.1568412147</v>
      </c>
      <c r="I523" s="38">
        <f t="shared" si="680"/>
        <v>5502389.0997135658</v>
      </c>
      <c r="J523" s="38">
        <f t="shared" si="680"/>
        <v>5984299.2643122934</v>
      </c>
      <c r="K523" s="251">
        <f t="shared" si="680"/>
        <v>6017840.6722803712</v>
      </c>
      <c r="L523" s="76">
        <f t="shared" ref="L523:AA523" si="681">L420</f>
        <v>4144467.9532409362</v>
      </c>
      <c r="M523" s="76">
        <f t="shared" si="681"/>
        <v>7315138.1836800873</v>
      </c>
      <c r="N523" s="76">
        <f t="shared" si="681"/>
        <v>5050300.8045095205</v>
      </c>
      <c r="O523" s="76">
        <f t="shared" si="681"/>
        <v>7715874.4387975894</v>
      </c>
      <c r="P523" s="390">
        <f t="shared" si="681"/>
        <v>12382729.984145436</v>
      </c>
      <c r="Q523" s="76">
        <f t="shared" si="681"/>
        <v>24319238.648849722</v>
      </c>
      <c r="R523" s="76">
        <f t="shared" si="681"/>
        <v>13378222.357902491</v>
      </c>
      <c r="S523" s="76">
        <f t="shared" si="681"/>
        <v>26289657.967937462</v>
      </c>
      <c r="T523" s="76">
        <f t="shared" si="681"/>
        <v>16247187.571969643</v>
      </c>
      <c r="U523" s="76">
        <f t="shared" si="681"/>
        <v>30887565.170401409</v>
      </c>
      <c r="V523" s="76">
        <f t="shared" si="681"/>
        <v>23929513.926831067</v>
      </c>
      <c r="W523" s="76">
        <f t="shared" si="681"/>
        <v>44902046.128985487</v>
      </c>
      <c r="X523" s="76">
        <f t="shared" si="681"/>
        <v>45569277.291378319</v>
      </c>
      <c r="Y523" s="76">
        <f t="shared" si="681"/>
        <v>49786083.842745125</v>
      </c>
      <c r="Z523" s="76">
        <f t="shared" si="681"/>
        <v>55254279.57464049</v>
      </c>
      <c r="AA523" s="76">
        <f t="shared" si="681"/>
        <v>60585738.573547363</v>
      </c>
      <c r="AB523" s="76">
        <f t="shared" ref="AB523" si="682">AB420</f>
        <v>61104322.826991051</v>
      </c>
    </row>
    <row r="524" spans="1:28" x14ac:dyDescent="0.2">
      <c r="A524" s="25"/>
      <c r="B524" s="137" t="s">
        <v>137</v>
      </c>
      <c r="C524" s="38">
        <f>C525+C526+C527</f>
        <v>5133562.2530828808</v>
      </c>
      <c r="D524" s="38">
        <f t="shared" ref="D524:K524" si="683">D525+D526+D527</f>
        <v>6079203.7940381095</v>
      </c>
      <c r="E524" s="38">
        <f t="shared" si="683"/>
        <v>5249854.1234373869</v>
      </c>
      <c r="F524" s="38">
        <f t="shared" si="683"/>
        <v>3786812.9632083452</v>
      </c>
      <c r="G524" s="38">
        <f t="shared" si="683"/>
        <v>4271429.2280593403</v>
      </c>
      <c r="H524" s="38">
        <f t="shared" si="683"/>
        <v>4980826.1568412157</v>
      </c>
      <c r="I524" s="38">
        <f t="shared" si="683"/>
        <v>5502389.0997135667</v>
      </c>
      <c r="J524" s="38">
        <f t="shared" si="683"/>
        <v>5984299.2643122943</v>
      </c>
      <c r="K524" s="251">
        <f t="shared" si="683"/>
        <v>7416238.6342190877</v>
      </c>
      <c r="L524" s="76">
        <f t="shared" ref="L524:AA524" si="684">L525+L526+L527</f>
        <v>9507006.6554286033</v>
      </c>
      <c r="M524" s="76">
        <f t="shared" si="684"/>
        <v>12510256.967317862</v>
      </c>
      <c r="N524" s="76">
        <f t="shared" si="684"/>
        <v>15706113.171375562</v>
      </c>
      <c r="O524" s="76">
        <f t="shared" si="684"/>
        <v>17280071.991811685</v>
      </c>
      <c r="P524" s="390">
        <f t="shared" si="684"/>
        <v>21119029.897050586</v>
      </c>
      <c r="Q524" s="76">
        <f t="shared" si="684"/>
        <v>24319238.648849722</v>
      </c>
      <c r="R524" s="76">
        <f t="shared" si="684"/>
        <v>23262024.984205034</v>
      </c>
      <c r="S524" s="76">
        <f t="shared" si="684"/>
        <v>27715930.356062274</v>
      </c>
      <c r="T524" s="76">
        <f t="shared" si="684"/>
        <v>29946776.604562134</v>
      </c>
      <c r="U524" s="76">
        <f t="shared" si="684"/>
        <v>35061537.470599875</v>
      </c>
      <c r="V524" s="76">
        <f t="shared" si="684"/>
        <v>38503385.03152217</v>
      </c>
      <c r="W524" s="76">
        <f t="shared" si="684"/>
        <v>44902046.128985487</v>
      </c>
      <c r="X524" s="76">
        <f t="shared" si="684"/>
        <v>45569277.291378319</v>
      </c>
      <c r="Y524" s="76">
        <f t="shared" si="684"/>
        <v>49786083.842745118</v>
      </c>
      <c r="Z524" s="76">
        <f t="shared" si="684"/>
        <v>55254279.57464049</v>
      </c>
      <c r="AA524" s="76">
        <f t="shared" si="684"/>
        <v>60585738.573547363</v>
      </c>
      <c r="AB524" s="76">
        <f t="shared" ref="AB524" si="685">AB525+AB526+AB527</f>
        <v>61104322.826991059</v>
      </c>
    </row>
    <row r="525" spans="1:28" x14ac:dyDescent="0.2">
      <c r="A525" s="25"/>
      <c r="B525" t="s">
        <v>138</v>
      </c>
      <c r="C525" s="38">
        <f>C27</f>
        <v>1501118.1900000002</v>
      </c>
      <c r="D525" s="38">
        <f t="shared" ref="D525:K525" si="686">D27</f>
        <v>1826415.8397701744</v>
      </c>
      <c r="E525" s="38">
        <f t="shared" si="686"/>
        <v>2135906.8101700856</v>
      </c>
      <c r="F525" s="38">
        <f t="shared" si="686"/>
        <v>2145763.2855857653</v>
      </c>
      <c r="G525" s="38">
        <f t="shared" si="686"/>
        <v>2190588.5885242024</v>
      </c>
      <c r="H525" s="38">
        <f t="shared" si="686"/>
        <v>2224760.1969267209</v>
      </c>
      <c r="I525" s="38">
        <f t="shared" si="686"/>
        <v>2532237.3728219452</v>
      </c>
      <c r="J525" s="38">
        <f t="shared" si="686"/>
        <v>2995590.1382188783</v>
      </c>
      <c r="K525" s="251">
        <f t="shared" si="686"/>
        <v>3579505.2025673888</v>
      </c>
      <c r="L525" s="76">
        <f t="shared" ref="L525:AA525" si="687">L27</f>
        <v>4273116.0071918843</v>
      </c>
      <c r="M525" s="76">
        <f t="shared" si="687"/>
        <v>5078230.0944436481</v>
      </c>
      <c r="N525" s="76">
        <f t="shared" si="687"/>
        <v>6244798.395017691</v>
      </c>
      <c r="O525" s="76">
        <f t="shared" si="687"/>
        <v>7270765.1282159844</v>
      </c>
      <c r="P525" s="390">
        <f t="shared" si="687"/>
        <v>8294278.259646262</v>
      </c>
      <c r="Q525" s="76">
        <f t="shared" si="687"/>
        <v>9515153.1299965922</v>
      </c>
      <c r="R525" s="76">
        <f t="shared" si="687"/>
        <v>11858710.29924839</v>
      </c>
      <c r="S525" s="76">
        <f t="shared" si="687"/>
        <v>12619982.872345945</v>
      </c>
      <c r="T525" s="76">
        <f t="shared" si="687"/>
        <v>14536962.303994572</v>
      </c>
      <c r="U525" s="76">
        <f t="shared" si="687"/>
        <v>16101917.098471632</v>
      </c>
      <c r="V525" s="76">
        <f t="shared" si="687"/>
        <v>18276835.248819802</v>
      </c>
      <c r="W525" s="76">
        <f t="shared" si="687"/>
        <v>20082274.27172653</v>
      </c>
      <c r="X525" s="76">
        <f t="shared" si="687"/>
        <v>23278892.177370664</v>
      </c>
      <c r="Y525" s="76">
        <f t="shared" si="687"/>
        <v>25454229.68496225</v>
      </c>
      <c r="Z525" s="76">
        <f t="shared" si="687"/>
        <v>27778298.022674266</v>
      </c>
      <c r="AA525" s="76">
        <f t="shared" si="687"/>
        <v>30658980.102126718</v>
      </c>
      <c r="AB525" s="76">
        <f t="shared" ref="AB525" si="688">AB27</f>
        <v>33720099.850937888</v>
      </c>
    </row>
    <row r="526" spans="1:28" x14ac:dyDescent="0.2">
      <c r="A526" s="25"/>
      <c r="B526" t="s">
        <v>139</v>
      </c>
      <c r="C526" s="38">
        <f>C13</f>
        <v>3589614.1999999997</v>
      </c>
      <c r="D526" s="38">
        <f t="shared" ref="D526:K526" si="689">D13</f>
        <v>4252787.9542679349</v>
      </c>
      <c r="E526" s="38">
        <f t="shared" si="689"/>
        <v>3113947.3132673013</v>
      </c>
      <c r="F526" s="38">
        <f t="shared" si="689"/>
        <v>1590849.5498618162</v>
      </c>
      <c r="G526" s="38">
        <f t="shared" si="689"/>
        <v>1990389.9448457144</v>
      </c>
      <c r="H526" s="38">
        <f t="shared" si="689"/>
        <v>2359133.1292728879</v>
      </c>
      <c r="I526" s="38">
        <f t="shared" si="689"/>
        <v>1936125.5565438024</v>
      </c>
      <c r="J526" s="38">
        <f t="shared" si="689"/>
        <v>1973739.5966344902</v>
      </c>
      <c r="K526" s="251">
        <f t="shared" si="689"/>
        <v>2340706.2726094564</v>
      </c>
      <c r="L526" s="76">
        <f t="shared" ref="L526:AA526" si="690">L13</f>
        <v>2769973.5063384096</v>
      </c>
      <c r="M526" s="76">
        <f t="shared" si="690"/>
        <v>3306002.9990233909</v>
      </c>
      <c r="N526" s="76">
        <f t="shared" si="690"/>
        <v>4100203.7285581501</v>
      </c>
      <c r="O526" s="76">
        <f t="shared" si="690"/>
        <v>4815707.6993479291</v>
      </c>
      <c r="P526" s="390">
        <f t="shared" si="690"/>
        <v>5592603.9973861407</v>
      </c>
      <c r="Q526" s="76">
        <f t="shared" si="690"/>
        <v>6533527.604713086</v>
      </c>
      <c r="R526" s="76">
        <f t="shared" si="690"/>
        <v>8371018.76743731</v>
      </c>
      <c r="S526" s="76">
        <f t="shared" si="690"/>
        <v>9244564.1684986558</v>
      </c>
      <c r="T526" s="76">
        <f t="shared" si="690"/>
        <v>10551120.856762458</v>
      </c>
      <c r="U526" s="76">
        <f t="shared" si="690"/>
        <v>11580740.56381572</v>
      </c>
      <c r="V526" s="76">
        <f t="shared" si="690"/>
        <v>13265570.451155638</v>
      </c>
      <c r="W526" s="76">
        <f t="shared" si="690"/>
        <v>14936613.899479462</v>
      </c>
      <c r="X526" s="76">
        <f t="shared" si="690"/>
        <v>17475980.337106992</v>
      </c>
      <c r="Y526" s="76">
        <f t="shared" si="690"/>
        <v>19289328.518992092</v>
      </c>
      <c r="Z526" s="76">
        <f t="shared" si="690"/>
        <v>21249107.637727767</v>
      </c>
      <c r="AA526" s="76">
        <f t="shared" si="690"/>
        <v>23501015.460754864</v>
      </c>
      <c r="AB526" s="76">
        <f t="shared" ref="AB526" si="691">AB13</f>
        <v>25900708.120472517</v>
      </c>
    </row>
    <row r="527" spans="1:28" x14ac:dyDescent="0.2">
      <c r="A527" s="25"/>
      <c r="B527" t="s">
        <v>140</v>
      </c>
      <c r="C527" s="38">
        <f>C102</f>
        <v>42829.863082880634</v>
      </c>
      <c r="D527" s="38">
        <f t="shared" ref="D527:K527" si="692">D102</f>
        <v>0</v>
      </c>
      <c r="E527" s="38">
        <f t="shared" si="692"/>
        <v>0</v>
      </c>
      <c r="F527" s="38">
        <f t="shared" si="692"/>
        <v>50200.12776076368</v>
      </c>
      <c r="G527" s="38">
        <f t="shared" si="692"/>
        <v>90450.694689424126</v>
      </c>
      <c r="H527" s="38">
        <f t="shared" si="692"/>
        <v>396932.83064160653</v>
      </c>
      <c r="I527" s="38">
        <f t="shared" si="692"/>
        <v>1034026.1703478189</v>
      </c>
      <c r="J527" s="38">
        <f t="shared" si="692"/>
        <v>1014969.5294589257</v>
      </c>
      <c r="K527" s="251">
        <f t="shared" si="692"/>
        <v>1496027.1590422429</v>
      </c>
      <c r="L527" s="76">
        <f t="shared" ref="L527:AA527" si="693">L102</f>
        <v>2463917.1418983093</v>
      </c>
      <c r="M527" s="76">
        <f t="shared" si="693"/>
        <v>4126023.8738508238</v>
      </c>
      <c r="N527" s="76">
        <f t="shared" si="693"/>
        <v>5361111.0477997223</v>
      </c>
      <c r="O527" s="76">
        <f t="shared" si="693"/>
        <v>5193599.1642477717</v>
      </c>
      <c r="P527" s="390">
        <f t="shared" si="693"/>
        <v>7232147.6400181828</v>
      </c>
      <c r="Q527" s="76">
        <f t="shared" si="693"/>
        <v>8270557.9141400438</v>
      </c>
      <c r="R527" s="76">
        <f t="shared" si="693"/>
        <v>3032295.9175193361</v>
      </c>
      <c r="S527" s="76">
        <f t="shared" si="693"/>
        <v>5851383.3152176728</v>
      </c>
      <c r="T527" s="76">
        <f t="shared" si="693"/>
        <v>4858693.4438051041</v>
      </c>
      <c r="U527" s="76">
        <f t="shared" si="693"/>
        <v>7378879.8083125213</v>
      </c>
      <c r="V527" s="76">
        <f t="shared" si="693"/>
        <v>6960979.3315467313</v>
      </c>
      <c r="W527" s="76">
        <f t="shared" si="693"/>
        <v>9883157.9577794969</v>
      </c>
      <c r="X527" s="76">
        <f t="shared" si="693"/>
        <v>4814404.7769006668</v>
      </c>
      <c r="Y527" s="76">
        <f t="shared" si="693"/>
        <v>5042525.6387907797</v>
      </c>
      <c r="Z527" s="76">
        <f t="shared" si="693"/>
        <v>6226873.9142384594</v>
      </c>
      <c r="AA527" s="76">
        <f t="shared" si="693"/>
        <v>6425743.0106657818</v>
      </c>
      <c r="AB527" s="76">
        <f t="shared" ref="AB527" si="694">AB102</f>
        <v>1483514.8555806528</v>
      </c>
    </row>
    <row r="528" spans="1:28" x14ac:dyDescent="0.2">
      <c r="A528" s="25"/>
      <c r="C528" s="38"/>
      <c r="E528" s="38"/>
      <c r="L528" s="246"/>
    </row>
    <row r="529" spans="1:28" x14ac:dyDescent="0.2">
      <c r="A529" s="25"/>
      <c r="B529" s="66" t="s">
        <v>141</v>
      </c>
      <c r="C529" s="206">
        <f t="shared" ref="C529:K529" si="695">INDEX(Doli_Prop_st,$A522,C$416)</f>
        <v>1</v>
      </c>
      <c r="D529" s="206">
        <f t="shared" si="695"/>
        <v>0.55000000000000004</v>
      </c>
      <c r="E529" s="206">
        <f t="shared" si="695"/>
        <v>0.5</v>
      </c>
      <c r="F529" s="206">
        <f t="shared" si="695"/>
        <v>1</v>
      </c>
      <c r="G529" s="206">
        <f t="shared" si="695"/>
        <v>0.6</v>
      </c>
      <c r="H529" s="206">
        <f t="shared" si="695"/>
        <v>0.7</v>
      </c>
      <c r="I529" s="206">
        <f t="shared" si="695"/>
        <v>0.5</v>
      </c>
      <c r="J529" s="206">
        <f t="shared" si="695"/>
        <v>0.5</v>
      </c>
      <c r="K529" s="268">
        <f t="shared" si="695"/>
        <v>0.65</v>
      </c>
      <c r="L529" s="247">
        <f t="shared" ref="L529:AA529" si="696">INDEX(Doli_Prop_st,$A522,L$416)</f>
        <v>0.65</v>
      </c>
      <c r="M529" s="247">
        <f t="shared" si="696"/>
        <v>0.65</v>
      </c>
      <c r="N529" s="247">
        <f t="shared" si="696"/>
        <v>0.65</v>
      </c>
      <c r="O529" s="247">
        <f t="shared" si="696"/>
        <v>0.65</v>
      </c>
      <c r="P529" s="412">
        <f t="shared" si="696"/>
        <v>0.65</v>
      </c>
      <c r="Q529" s="247">
        <f t="shared" si="696"/>
        <v>0.65</v>
      </c>
      <c r="R529" s="247">
        <f t="shared" si="696"/>
        <v>0.65</v>
      </c>
      <c r="S529" s="247">
        <f t="shared" si="696"/>
        <v>0.65</v>
      </c>
      <c r="T529" s="247">
        <f t="shared" si="696"/>
        <v>0.65</v>
      </c>
      <c r="U529" s="247">
        <f t="shared" si="696"/>
        <v>0.65</v>
      </c>
      <c r="V529" s="247">
        <f t="shared" si="696"/>
        <v>0.65</v>
      </c>
      <c r="W529" s="247">
        <f t="shared" si="696"/>
        <v>0.65</v>
      </c>
      <c r="X529" s="247">
        <f t="shared" si="696"/>
        <v>0.65</v>
      </c>
      <c r="Y529" s="247">
        <f t="shared" si="696"/>
        <v>0.65</v>
      </c>
      <c r="Z529" s="247">
        <f t="shared" si="696"/>
        <v>0.65</v>
      </c>
      <c r="AA529" s="247">
        <f t="shared" si="696"/>
        <v>0.65</v>
      </c>
      <c r="AB529" s="247">
        <f t="shared" ref="AB529" si="697">INDEX(Doli_Prop_st,$A522,AB$416)</f>
        <v>0.65</v>
      </c>
    </row>
    <row r="530" spans="1:28" x14ac:dyDescent="0.2">
      <c r="A530" s="25"/>
      <c r="B530" t="s">
        <v>142</v>
      </c>
      <c r="C530" s="38">
        <f>C523/C524</f>
        <v>0.99714101028020052</v>
      </c>
      <c r="D530" s="38">
        <f t="shared" ref="D530:K530" si="698">D523/D524</f>
        <v>1</v>
      </c>
      <c r="E530" s="38">
        <f t="shared" si="698"/>
        <v>0.93974459962614687</v>
      </c>
      <c r="F530" s="38">
        <f t="shared" si="698"/>
        <v>1.0000000000000002</v>
      </c>
      <c r="G530" s="38">
        <f t="shared" si="698"/>
        <v>0.78906459662941575</v>
      </c>
      <c r="H530" s="38">
        <f t="shared" si="698"/>
        <v>0.99999999999999978</v>
      </c>
      <c r="I530" s="38">
        <f t="shared" si="698"/>
        <v>0.99999999999999978</v>
      </c>
      <c r="J530" s="38">
        <f t="shared" si="698"/>
        <v>0.99999999999999989</v>
      </c>
      <c r="K530" s="251">
        <f t="shared" si="698"/>
        <v>0.81144107803025622</v>
      </c>
      <c r="L530" s="76">
        <f t="shared" ref="L530:AA530" si="699">L523/L524</f>
        <v>0.43593826147943215</v>
      </c>
      <c r="M530" s="76">
        <f t="shared" si="699"/>
        <v>0.58473124914942631</v>
      </c>
      <c r="N530" s="76">
        <f t="shared" si="699"/>
        <v>0.3215500072744738</v>
      </c>
      <c r="O530" s="76">
        <f t="shared" si="699"/>
        <v>0.4465186512216977</v>
      </c>
      <c r="P530" s="390">
        <f t="shared" si="699"/>
        <v>0.5863304348972378</v>
      </c>
      <c r="Q530" s="76">
        <f t="shared" si="699"/>
        <v>1</v>
      </c>
      <c r="R530" s="76">
        <f t="shared" si="699"/>
        <v>0.57510996428670047</v>
      </c>
      <c r="S530" s="76">
        <f t="shared" si="699"/>
        <v>0.94853961711543822</v>
      </c>
      <c r="T530" s="76">
        <f t="shared" si="699"/>
        <v>0.54253543833811224</v>
      </c>
      <c r="U530" s="76">
        <f t="shared" si="699"/>
        <v>0.88095295867448875</v>
      </c>
      <c r="V530" s="76">
        <f t="shared" si="699"/>
        <v>0.62149117297713741</v>
      </c>
      <c r="W530" s="76">
        <f t="shared" si="699"/>
        <v>1</v>
      </c>
      <c r="X530" s="76">
        <f t="shared" si="699"/>
        <v>1</v>
      </c>
      <c r="Y530" s="76">
        <f t="shared" si="699"/>
        <v>1.0000000000000002</v>
      </c>
      <c r="Z530" s="76">
        <f t="shared" si="699"/>
        <v>1</v>
      </c>
      <c r="AA530" s="76">
        <f t="shared" si="699"/>
        <v>1</v>
      </c>
      <c r="AB530" s="76">
        <f t="shared" ref="AB530" si="700">AB523/AB524</f>
        <v>0.99999999999999989</v>
      </c>
    </row>
    <row r="531" spans="1:28" x14ac:dyDescent="0.2">
      <c r="A531" s="25"/>
      <c r="C531" s="38"/>
      <c r="E531" s="38"/>
      <c r="L531" s="246"/>
    </row>
    <row r="532" spans="1:28" x14ac:dyDescent="0.2">
      <c r="A532" s="151" t="s">
        <v>143</v>
      </c>
      <c r="B532" t="s">
        <v>138</v>
      </c>
      <c r="C532" s="38">
        <f>C525*C$529*C$530</f>
        <v>1496826.5085265862</v>
      </c>
      <c r="D532" s="38">
        <f t="shared" ref="D532:K532" si="701">D525*D$529*D$530</f>
        <v>1004528.711873596</v>
      </c>
      <c r="E532" s="38">
        <f t="shared" si="701"/>
        <v>1003603.4450810238</v>
      </c>
      <c r="F532" s="38">
        <f t="shared" si="701"/>
        <v>2145763.2855857657</v>
      </c>
      <c r="G532" s="38">
        <f t="shared" si="701"/>
        <v>1037109.5405909106</v>
      </c>
      <c r="H532" s="38">
        <f t="shared" si="701"/>
        <v>1557332.1378487044</v>
      </c>
      <c r="I532" s="38">
        <f t="shared" si="701"/>
        <v>1266118.6864109724</v>
      </c>
      <c r="J532" s="38">
        <f t="shared" si="701"/>
        <v>1497795.0691094389</v>
      </c>
      <c r="K532" s="251">
        <f t="shared" si="701"/>
        <v>1887962.4142510253</v>
      </c>
      <c r="L532" s="76">
        <f t="shared" ref="L532:AA532" si="702">L525*L$529*L$530</f>
        <v>1210829.5961288558</v>
      </c>
      <c r="M532" s="76">
        <f t="shared" si="702"/>
        <v>1930109.8872849585</v>
      </c>
      <c r="N532" s="76">
        <f t="shared" si="702"/>
        <v>1305209.7300746148</v>
      </c>
      <c r="O532" s="76">
        <f t="shared" si="702"/>
        <v>2110245.954960491</v>
      </c>
      <c r="P532" s="390">
        <f t="shared" si="702"/>
        <v>3161072.0564391133</v>
      </c>
      <c r="Q532" s="76">
        <f t="shared" si="702"/>
        <v>6184849.5344977854</v>
      </c>
      <c r="R532" s="76">
        <f t="shared" si="702"/>
        <v>4433040.5968465945</v>
      </c>
      <c r="S532" s="76">
        <f t="shared" si="702"/>
        <v>7780859.9191299668</v>
      </c>
      <c r="T532" s="76">
        <f t="shared" si="702"/>
        <v>5126431.1902065016</v>
      </c>
      <c r="U532" s="76">
        <f t="shared" si="702"/>
        <v>9220270.4803494513</v>
      </c>
      <c r="V532" s="76">
        <f t="shared" si="702"/>
        <v>7383279.6551142912</v>
      </c>
      <c r="W532" s="76">
        <f t="shared" si="702"/>
        <v>13053478.276622245</v>
      </c>
      <c r="X532" s="76">
        <f t="shared" si="702"/>
        <v>15131279.915290931</v>
      </c>
      <c r="Y532" s="76">
        <f t="shared" si="702"/>
        <v>16545249.295225468</v>
      </c>
      <c r="Z532" s="76">
        <f t="shared" si="702"/>
        <v>18055893.714738272</v>
      </c>
      <c r="AA532" s="76">
        <f t="shared" si="702"/>
        <v>19928337.066382367</v>
      </c>
      <c r="AB532" s="76">
        <f t="shared" ref="AB532" si="703">AB525*AB$529*AB$530</f>
        <v>21918064.903109625</v>
      </c>
    </row>
    <row r="533" spans="1:28" x14ac:dyDescent="0.2">
      <c r="A533" s="25"/>
      <c r="B533" t="s">
        <v>139</v>
      </c>
      <c r="C533" s="38">
        <f t="shared" ref="C533:K534" si="704">C526*C$529*C$530</f>
        <v>3579351.5299041537</v>
      </c>
      <c r="D533" s="38">
        <f t="shared" si="704"/>
        <v>2339033.3748473646</v>
      </c>
      <c r="E533" s="38">
        <f t="shared" si="704"/>
        <v>1463157.5855816479</v>
      </c>
      <c r="F533" s="38">
        <f t="shared" si="704"/>
        <v>1590849.5498618167</v>
      </c>
      <c r="G533" s="38">
        <f t="shared" si="704"/>
        <v>942327.74337895715</v>
      </c>
      <c r="H533" s="38">
        <f t="shared" si="704"/>
        <v>1651393.1904910209</v>
      </c>
      <c r="I533" s="38">
        <f t="shared" si="704"/>
        <v>968062.77827190096</v>
      </c>
      <c r="J533" s="38">
        <f t="shared" si="704"/>
        <v>986869.79831724497</v>
      </c>
      <c r="K533" s="251">
        <f t="shared" si="704"/>
        <v>1234574.3937789602</v>
      </c>
      <c r="L533" s="76">
        <f t="shared" ref="L533:AA533" si="705">L526*L$529*L$530</f>
        <v>784899.33255321451</v>
      </c>
      <c r="M533" s="76">
        <f t="shared" si="705"/>
        <v>1256530.121151953</v>
      </c>
      <c r="N533" s="76">
        <f t="shared" si="705"/>
        <v>856973.35018405365</v>
      </c>
      <c r="O533" s="76">
        <f t="shared" si="705"/>
        <v>1397697.1492840084</v>
      </c>
      <c r="P533" s="390">
        <f t="shared" si="705"/>
        <v>2131424.0570970401</v>
      </c>
      <c r="Q533" s="76">
        <f t="shared" si="705"/>
        <v>4246792.9430635059</v>
      </c>
      <c r="R533" s="76">
        <f t="shared" si="705"/>
        <v>3129266.5978497108</v>
      </c>
      <c r="S533" s="76">
        <f t="shared" si="705"/>
        <v>5699742.9819114301</v>
      </c>
      <c r="T533" s="76">
        <f t="shared" si="705"/>
        <v>3720832.0363383121</v>
      </c>
      <c r="U533" s="76">
        <f t="shared" si="705"/>
        <v>6631356.9811678315</v>
      </c>
      <c r="V533" s="76">
        <f t="shared" si="705"/>
        <v>5358882.7109347219</v>
      </c>
      <c r="W533" s="76">
        <f t="shared" si="705"/>
        <v>9708799.0346616507</v>
      </c>
      <c r="X533" s="76">
        <f t="shared" si="705"/>
        <v>11359387.219119545</v>
      </c>
      <c r="Y533" s="76">
        <f t="shared" si="705"/>
        <v>12538063.537344862</v>
      </c>
      <c r="Z533" s="76">
        <f t="shared" si="705"/>
        <v>13811919.964523049</v>
      </c>
      <c r="AA533" s="76">
        <f t="shared" si="705"/>
        <v>15275660.049490662</v>
      </c>
      <c r="AB533" s="76">
        <f t="shared" ref="AB533" si="706">AB526*AB$529*AB$530</f>
        <v>16835460.278307132</v>
      </c>
    </row>
    <row r="534" spans="1:28" x14ac:dyDescent="0.2">
      <c r="A534" s="25"/>
      <c r="B534" t="s">
        <v>140</v>
      </c>
      <c r="C534" s="38">
        <f t="shared" si="704"/>
        <v>42707.41294462626</v>
      </c>
      <c r="D534" s="38">
        <f t="shared" si="704"/>
        <v>0</v>
      </c>
      <c r="E534" s="38">
        <f t="shared" si="704"/>
        <v>0</v>
      </c>
      <c r="F534" s="38">
        <f t="shared" si="704"/>
        <v>50200.127760763695</v>
      </c>
      <c r="G534" s="38">
        <f t="shared" si="704"/>
        <v>42822.864551976534</v>
      </c>
      <c r="H534" s="38">
        <f t="shared" si="704"/>
        <v>277852.98144912452</v>
      </c>
      <c r="I534" s="38">
        <f t="shared" si="704"/>
        <v>517013.08517390932</v>
      </c>
      <c r="J534" s="38">
        <f t="shared" si="704"/>
        <v>507484.7647294628</v>
      </c>
      <c r="K534" s="251">
        <f t="shared" si="704"/>
        <v>789059.6289522564</v>
      </c>
      <c r="L534" s="76">
        <f t="shared" ref="L534:AA534" si="707">L527*L$529*L$530</f>
        <v>698175.24092453823</v>
      </c>
      <c r="M534" s="76">
        <f t="shared" si="707"/>
        <v>1568199.8109551459</v>
      </c>
      <c r="N534" s="76">
        <f t="shared" si="707"/>
        <v>1120512.4426725206</v>
      </c>
      <c r="O534" s="76">
        <f t="shared" si="707"/>
        <v>1507375.2809739336</v>
      </c>
      <c r="P534" s="390">
        <f t="shared" si="707"/>
        <v>2756278.3761583809</v>
      </c>
      <c r="Q534" s="76">
        <f t="shared" si="707"/>
        <v>5375862.6441910286</v>
      </c>
      <c r="R534" s="76">
        <f t="shared" si="707"/>
        <v>1133537.3379403146</v>
      </c>
      <c r="S534" s="76">
        <f t="shared" si="707"/>
        <v>3607674.7781179529</v>
      </c>
      <c r="T534" s="76">
        <f t="shared" si="707"/>
        <v>1713408.6952354542</v>
      </c>
      <c r="U534" s="76">
        <f t="shared" si="707"/>
        <v>4225289.8992436342</v>
      </c>
      <c r="V534" s="76">
        <f t="shared" si="707"/>
        <v>2812021.6863911822</v>
      </c>
      <c r="W534" s="76">
        <f t="shared" si="707"/>
        <v>6424052.6725566732</v>
      </c>
      <c r="X534" s="76">
        <f t="shared" si="707"/>
        <v>3129363.1049854336</v>
      </c>
      <c r="Y534" s="76">
        <f t="shared" si="707"/>
        <v>3277641.6652140077</v>
      </c>
      <c r="Z534" s="76">
        <f t="shared" si="707"/>
        <v>4047468.0442549987</v>
      </c>
      <c r="AA534" s="76">
        <f t="shared" si="707"/>
        <v>4176732.9569327584</v>
      </c>
      <c r="AB534" s="76">
        <f t="shared" ref="AB534" si="708">AB527*AB$529*AB$530</f>
        <v>964284.65612742421</v>
      </c>
    </row>
    <row r="535" spans="1:28" x14ac:dyDescent="0.2">
      <c r="A535" s="25"/>
      <c r="B535" s="161" t="s">
        <v>145</v>
      </c>
      <c r="C535" s="38">
        <f>SUM(C532:C534)</f>
        <v>5118885.4513753662</v>
      </c>
      <c r="D535" s="38">
        <f t="shared" ref="D535:K535" si="709">SUM(D532:D534)</f>
        <v>3343562.0867209607</v>
      </c>
      <c r="E535" s="38">
        <f t="shared" si="709"/>
        <v>2466761.0306626717</v>
      </c>
      <c r="F535" s="38">
        <f t="shared" si="709"/>
        <v>3786812.9632083462</v>
      </c>
      <c r="G535" s="38">
        <f t="shared" si="709"/>
        <v>2022260.1485218443</v>
      </c>
      <c r="H535" s="38">
        <f t="shared" si="709"/>
        <v>3486578.3097888497</v>
      </c>
      <c r="I535" s="38">
        <f t="shared" si="709"/>
        <v>2751194.5498567829</v>
      </c>
      <c r="J535" s="38">
        <f t="shared" si="709"/>
        <v>2992149.6321561467</v>
      </c>
      <c r="K535" s="251">
        <f t="shared" si="709"/>
        <v>3911596.4369822419</v>
      </c>
      <c r="L535" s="76">
        <f t="shared" ref="L535:AA535" si="710">SUM(L532:L534)</f>
        <v>2693904.1696066083</v>
      </c>
      <c r="M535" s="76">
        <f t="shared" si="710"/>
        <v>4754839.8193920571</v>
      </c>
      <c r="N535" s="76">
        <f t="shared" si="710"/>
        <v>3282695.5229311893</v>
      </c>
      <c r="O535" s="76">
        <f t="shared" si="710"/>
        <v>5015318.3852184331</v>
      </c>
      <c r="P535" s="390">
        <f t="shared" si="710"/>
        <v>8048774.4896945339</v>
      </c>
      <c r="Q535" s="76">
        <f t="shared" si="710"/>
        <v>15807505.12175232</v>
      </c>
      <c r="R535" s="76">
        <f t="shared" si="710"/>
        <v>8695844.5326366201</v>
      </c>
      <c r="S535" s="76">
        <f t="shared" si="710"/>
        <v>17088277.679159351</v>
      </c>
      <c r="T535" s="76">
        <f t="shared" si="710"/>
        <v>10560671.921780268</v>
      </c>
      <c r="U535" s="76">
        <f t="shared" si="710"/>
        <v>20076917.360760916</v>
      </c>
      <c r="V535" s="76">
        <f t="shared" si="710"/>
        <v>15554184.052440196</v>
      </c>
      <c r="W535" s="76">
        <f t="shared" si="710"/>
        <v>29186329.983840566</v>
      </c>
      <c r="X535" s="76">
        <f t="shared" si="710"/>
        <v>29620030.239395913</v>
      </c>
      <c r="Y535" s="76">
        <f t="shared" si="710"/>
        <v>32360954.497784339</v>
      </c>
      <c r="Z535" s="76">
        <f t="shared" si="710"/>
        <v>35915281.723516315</v>
      </c>
      <c r="AA535" s="76">
        <f t="shared" si="710"/>
        <v>39380730.072805792</v>
      </c>
      <c r="AB535" s="76">
        <f t="shared" ref="AB535" si="711">SUM(AB532:AB534)</f>
        <v>39717809.83754418</v>
      </c>
    </row>
    <row r="536" spans="1:28" x14ac:dyDescent="0.2">
      <c r="A536" s="25"/>
      <c r="C536" s="38"/>
      <c r="E536" s="38"/>
      <c r="L536" s="246"/>
    </row>
    <row r="537" spans="1:28" x14ac:dyDescent="0.2">
      <c r="A537" s="25"/>
      <c r="B537" s="137" t="s">
        <v>97</v>
      </c>
      <c r="C537" s="160">
        <f>SUM(C538:C540)</f>
        <v>14676.80170751438</v>
      </c>
      <c r="D537" s="160">
        <f t="shared" ref="D537:K537" si="712">SUM(D538:D540)</f>
        <v>2735641.7073171488</v>
      </c>
      <c r="E537" s="160">
        <f t="shared" si="712"/>
        <v>2783093.0927747153</v>
      </c>
      <c r="F537" s="160">
        <f t="shared" si="712"/>
        <v>0</v>
      </c>
      <c r="G537" s="160">
        <f t="shared" si="712"/>
        <v>2249169.0795374964</v>
      </c>
      <c r="H537" s="160">
        <f t="shared" si="712"/>
        <v>1494247.8470523655</v>
      </c>
      <c r="I537" s="160">
        <f t="shared" si="712"/>
        <v>2751194.5498567838</v>
      </c>
      <c r="J537" s="160">
        <f t="shared" si="712"/>
        <v>2992149.6321561476</v>
      </c>
      <c r="K537" s="269">
        <f t="shared" si="712"/>
        <v>3504642.1972368462</v>
      </c>
      <c r="L537" s="301">
        <f t="shared" ref="L537:AA537" si="713">SUM(L538:L540)</f>
        <v>6813102.485821994</v>
      </c>
      <c r="M537" s="301">
        <f t="shared" si="713"/>
        <v>7755417.1479258053</v>
      </c>
      <c r="N537" s="301">
        <f t="shared" si="713"/>
        <v>12423417.648444373</v>
      </c>
      <c r="O537" s="301">
        <f t="shared" si="713"/>
        <v>12264753.606593253</v>
      </c>
      <c r="P537" s="413">
        <f t="shared" si="713"/>
        <v>13070255.40735605</v>
      </c>
      <c r="Q537" s="301">
        <f t="shared" si="713"/>
        <v>8511733.5270974021</v>
      </c>
      <c r="R537" s="301">
        <f t="shared" si="713"/>
        <v>14566180.451568417</v>
      </c>
      <c r="S537" s="301">
        <f t="shared" si="713"/>
        <v>10627652.676902924</v>
      </c>
      <c r="T537" s="301">
        <f t="shared" si="713"/>
        <v>19386104.682781864</v>
      </c>
      <c r="U537" s="301">
        <f t="shared" si="713"/>
        <v>14984620.109838955</v>
      </c>
      <c r="V537" s="301">
        <f t="shared" si="713"/>
        <v>22949200.979081977</v>
      </c>
      <c r="W537" s="301">
        <f t="shared" si="713"/>
        <v>15715716.145144921</v>
      </c>
      <c r="X537" s="301">
        <f t="shared" si="713"/>
        <v>15949247.051982412</v>
      </c>
      <c r="Y537" s="301">
        <f t="shared" si="713"/>
        <v>17425129.344960786</v>
      </c>
      <c r="Z537" s="301">
        <f t="shared" si="713"/>
        <v>19338997.851124171</v>
      </c>
      <c r="AA537" s="301">
        <f t="shared" si="713"/>
        <v>21205008.500741575</v>
      </c>
      <c r="AB537" s="301">
        <f t="shared" ref="AB537" si="714">SUM(AB538:AB540)</f>
        <v>21386512.989446875</v>
      </c>
    </row>
    <row r="538" spans="1:28" x14ac:dyDescent="0.2">
      <c r="A538" s="25"/>
      <c r="B538" t="s">
        <v>138</v>
      </c>
      <c r="C538" s="38">
        <f>C525-C532</f>
        <v>4291.681473413948</v>
      </c>
      <c r="D538" s="38">
        <f t="shared" ref="D538:K538" si="715">D525-D532</f>
        <v>821887.1278965784</v>
      </c>
      <c r="E538" s="38">
        <f t="shared" si="715"/>
        <v>1132303.3650890617</v>
      </c>
      <c r="F538" s="38">
        <f t="shared" si="715"/>
        <v>0</v>
      </c>
      <c r="G538" s="38">
        <f t="shared" si="715"/>
        <v>1153479.0479332916</v>
      </c>
      <c r="H538" s="38">
        <f t="shared" si="715"/>
        <v>667428.05907801655</v>
      </c>
      <c r="I538" s="38">
        <f t="shared" si="715"/>
        <v>1266118.6864109728</v>
      </c>
      <c r="J538" s="38">
        <f t="shared" si="715"/>
        <v>1497795.0691094394</v>
      </c>
      <c r="K538" s="251">
        <f t="shared" si="715"/>
        <v>1691542.7883163635</v>
      </c>
      <c r="L538" s="76">
        <f t="shared" ref="L538:AA538" si="716">L525-L532</f>
        <v>3062286.4110630285</v>
      </c>
      <c r="M538" s="76">
        <f t="shared" si="716"/>
        <v>3148120.2071586894</v>
      </c>
      <c r="N538" s="76">
        <f t="shared" si="716"/>
        <v>4939588.6649430767</v>
      </c>
      <c r="O538" s="76">
        <f t="shared" si="716"/>
        <v>5160519.1732554939</v>
      </c>
      <c r="P538" s="390">
        <f t="shared" si="716"/>
        <v>5133206.2032071482</v>
      </c>
      <c r="Q538" s="76">
        <f t="shared" si="716"/>
        <v>3330303.5954988068</v>
      </c>
      <c r="R538" s="76">
        <f t="shared" si="716"/>
        <v>7425669.7024017954</v>
      </c>
      <c r="S538" s="76">
        <f t="shared" si="716"/>
        <v>4839122.9532159781</v>
      </c>
      <c r="T538" s="76">
        <f t="shared" si="716"/>
        <v>9410531.1137880702</v>
      </c>
      <c r="U538" s="76">
        <f t="shared" si="716"/>
        <v>6881646.6181221809</v>
      </c>
      <c r="V538" s="76">
        <f t="shared" si="716"/>
        <v>10893555.593705511</v>
      </c>
      <c r="W538" s="76">
        <f t="shared" si="716"/>
        <v>7028795.995104285</v>
      </c>
      <c r="X538" s="76">
        <f t="shared" si="716"/>
        <v>8147612.2620797325</v>
      </c>
      <c r="Y538" s="76">
        <f t="shared" si="716"/>
        <v>8908980.3897367828</v>
      </c>
      <c r="Z538" s="76">
        <f t="shared" si="716"/>
        <v>9722404.3079359941</v>
      </c>
      <c r="AA538" s="76">
        <f t="shared" si="716"/>
        <v>10730643.03574435</v>
      </c>
      <c r="AB538" s="76">
        <f t="shared" ref="AB538" si="717">AB525-AB532</f>
        <v>11802034.947828263</v>
      </c>
    </row>
    <row r="539" spans="1:28" x14ac:dyDescent="0.2">
      <c r="A539" s="25"/>
      <c r="B539" t="s">
        <v>139</v>
      </c>
      <c r="C539" s="38">
        <f>C526-C533</f>
        <v>10262.670095846057</v>
      </c>
      <c r="D539" s="38">
        <f t="shared" ref="D539:K539" si="718">D526-D533</f>
        <v>1913754.5794205703</v>
      </c>
      <c r="E539" s="38">
        <f t="shared" si="718"/>
        <v>1650789.7276856534</v>
      </c>
      <c r="F539" s="38">
        <f t="shared" si="718"/>
        <v>0</v>
      </c>
      <c r="G539" s="38">
        <f t="shared" si="718"/>
        <v>1048062.2014667572</v>
      </c>
      <c r="H539" s="38">
        <f t="shared" si="718"/>
        <v>707739.93878186704</v>
      </c>
      <c r="I539" s="38">
        <f t="shared" si="718"/>
        <v>968062.77827190142</v>
      </c>
      <c r="J539" s="38">
        <f t="shared" si="718"/>
        <v>986869.79831724521</v>
      </c>
      <c r="K539" s="251">
        <f t="shared" si="718"/>
        <v>1106131.8788304962</v>
      </c>
      <c r="L539" s="76">
        <f t="shared" ref="L539:AA539" si="719">L526-L533</f>
        <v>1985074.1737851952</v>
      </c>
      <c r="M539" s="76">
        <f t="shared" si="719"/>
        <v>2049472.8778714379</v>
      </c>
      <c r="N539" s="76">
        <f t="shared" si="719"/>
        <v>3243230.3783740965</v>
      </c>
      <c r="O539" s="76">
        <f t="shared" si="719"/>
        <v>3418010.5500639207</v>
      </c>
      <c r="P539" s="390">
        <f t="shared" si="719"/>
        <v>3461179.9402891006</v>
      </c>
      <c r="Q539" s="76">
        <f t="shared" si="719"/>
        <v>2286734.6616495801</v>
      </c>
      <c r="R539" s="76">
        <f t="shared" si="719"/>
        <v>5241752.1695875991</v>
      </c>
      <c r="S539" s="76">
        <f t="shared" si="719"/>
        <v>3544821.1865872256</v>
      </c>
      <c r="T539" s="76">
        <f t="shared" si="719"/>
        <v>6830288.8204241451</v>
      </c>
      <c r="U539" s="76">
        <f t="shared" si="719"/>
        <v>4949383.5826478889</v>
      </c>
      <c r="V539" s="76">
        <f t="shared" si="719"/>
        <v>7906687.7402209165</v>
      </c>
      <c r="W539" s="76">
        <f t="shared" si="719"/>
        <v>5227814.8648178112</v>
      </c>
      <c r="X539" s="76">
        <f t="shared" si="719"/>
        <v>6116593.1179874465</v>
      </c>
      <c r="Y539" s="76">
        <f t="shared" si="719"/>
        <v>6751264.9816472307</v>
      </c>
      <c r="Z539" s="76">
        <f t="shared" si="719"/>
        <v>7437187.6732047182</v>
      </c>
      <c r="AA539" s="76">
        <f t="shared" si="719"/>
        <v>8225355.4112642016</v>
      </c>
      <c r="AB539" s="76">
        <f t="shared" ref="AB539" si="720">AB526-AB533</f>
        <v>9065247.8421653844</v>
      </c>
    </row>
    <row r="540" spans="1:28" x14ac:dyDescent="0.2">
      <c r="A540" s="25"/>
      <c r="B540" t="s">
        <v>140</v>
      </c>
      <c r="C540" s="38">
        <f>C527-C534</f>
        <v>122.45013825437491</v>
      </c>
      <c r="D540" s="38">
        <f t="shared" ref="D540:K540" si="721">D527-D534</f>
        <v>0</v>
      </c>
      <c r="E540" s="38">
        <f t="shared" si="721"/>
        <v>0</v>
      </c>
      <c r="F540" s="38">
        <f t="shared" si="721"/>
        <v>0</v>
      </c>
      <c r="G540" s="38">
        <f t="shared" si="721"/>
        <v>47627.830137447592</v>
      </c>
      <c r="H540" s="38">
        <f t="shared" si="721"/>
        <v>119079.84919248201</v>
      </c>
      <c r="I540" s="38">
        <f t="shared" si="721"/>
        <v>517013.08517390955</v>
      </c>
      <c r="J540" s="38">
        <f t="shared" si="721"/>
        <v>507484.76472946291</v>
      </c>
      <c r="K540" s="251">
        <f t="shared" si="721"/>
        <v>706967.53008998651</v>
      </c>
      <c r="L540" s="76">
        <f t="shared" ref="L540:AA540" si="722">L527-L534</f>
        <v>1765741.9009737712</v>
      </c>
      <c r="M540" s="76">
        <f t="shared" si="722"/>
        <v>2557824.062895678</v>
      </c>
      <c r="N540" s="76">
        <f t="shared" si="722"/>
        <v>4240598.6051272014</v>
      </c>
      <c r="O540" s="76">
        <f t="shared" si="722"/>
        <v>3686223.8832738381</v>
      </c>
      <c r="P540" s="390">
        <f t="shared" si="722"/>
        <v>4475869.2638598019</v>
      </c>
      <c r="Q540" s="76">
        <f t="shared" si="722"/>
        <v>2894695.2699490152</v>
      </c>
      <c r="R540" s="76">
        <f t="shared" si="722"/>
        <v>1898758.5795790215</v>
      </c>
      <c r="S540" s="76">
        <f t="shared" si="722"/>
        <v>2243708.53709972</v>
      </c>
      <c r="T540" s="76">
        <f t="shared" si="722"/>
        <v>3145284.7485696496</v>
      </c>
      <c r="U540" s="76">
        <f t="shared" si="722"/>
        <v>3153589.9090688871</v>
      </c>
      <c r="V540" s="76">
        <f t="shared" si="722"/>
        <v>4148957.645155549</v>
      </c>
      <c r="W540" s="76">
        <f t="shared" si="722"/>
        <v>3459105.2852228237</v>
      </c>
      <c r="X540" s="76">
        <f t="shared" si="722"/>
        <v>1685041.6719152331</v>
      </c>
      <c r="Y540" s="76">
        <f t="shared" si="722"/>
        <v>1764883.973576772</v>
      </c>
      <c r="Z540" s="76">
        <f t="shared" si="722"/>
        <v>2179405.8699834608</v>
      </c>
      <c r="AA540" s="76">
        <f t="shared" si="722"/>
        <v>2249010.0537330233</v>
      </c>
      <c r="AB540" s="76">
        <f t="shared" ref="AB540" si="723">AB527-AB534</f>
        <v>519230.19945322862</v>
      </c>
    </row>
    <row r="541" spans="1:28" x14ac:dyDescent="0.2">
      <c r="A541" s="25"/>
      <c r="C541" s="38"/>
      <c r="E541" s="38"/>
      <c r="L541" s="246"/>
    </row>
    <row r="542" spans="1:28" x14ac:dyDescent="0.2">
      <c r="A542" s="151" t="s">
        <v>98</v>
      </c>
      <c r="B542" t="s">
        <v>144</v>
      </c>
      <c r="C542" s="38">
        <f>C523-C535</f>
        <v>0</v>
      </c>
      <c r="D542" s="38">
        <f t="shared" ref="D542:K542" si="724">D523-D535</f>
        <v>2735641.7073171488</v>
      </c>
      <c r="E542" s="38">
        <f t="shared" si="724"/>
        <v>2466761.0306626717</v>
      </c>
      <c r="F542" s="38">
        <f t="shared" si="724"/>
        <v>0</v>
      </c>
      <c r="G542" s="38">
        <f t="shared" si="724"/>
        <v>1348173.4323478956</v>
      </c>
      <c r="H542" s="38">
        <f t="shared" si="724"/>
        <v>1494247.8470523651</v>
      </c>
      <c r="I542" s="38">
        <f t="shared" si="724"/>
        <v>2751194.5498567829</v>
      </c>
      <c r="J542" s="38">
        <f t="shared" si="724"/>
        <v>2992149.6321561467</v>
      </c>
      <c r="K542" s="251">
        <f t="shared" si="724"/>
        <v>2106244.2352981293</v>
      </c>
      <c r="L542" s="76">
        <f t="shared" ref="L542:AA542" si="725">L523-L535</f>
        <v>1450563.7836343278</v>
      </c>
      <c r="M542" s="76">
        <f t="shared" si="725"/>
        <v>2560298.3642880302</v>
      </c>
      <c r="N542" s="76">
        <f t="shared" si="725"/>
        <v>1767605.2815783313</v>
      </c>
      <c r="O542" s="76">
        <f t="shared" si="725"/>
        <v>2700556.0535791563</v>
      </c>
      <c r="P542" s="390">
        <f t="shared" si="725"/>
        <v>4333955.4944509026</v>
      </c>
      <c r="Q542" s="76">
        <f t="shared" si="725"/>
        <v>8511733.5270974021</v>
      </c>
      <c r="R542" s="76">
        <f t="shared" si="725"/>
        <v>4682377.8252658714</v>
      </c>
      <c r="S542" s="76">
        <f t="shared" si="725"/>
        <v>9201380.2887781113</v>
      </c>
      <c r="T542" s="76">
        <f t="shared" si="725"/>
        <v>5686515.6501893755</v>
      </c>
      <c r="U542" s="76">
        <f t="shared" si="725"/>
        <v>10810647.809640493</v>
      </c>
      <c r="V542" s="76">
        <f t="shared" si="725"/>
        <v>8375329.8743908703</v>
      </c>
      <c r="W542" s="76">
        <f t="shared" si="725"/>
        <v>15715716.145144921</v>
      </c>
      <c r="X542" s="76">
        <f t="shared" si="725"/>
        <v>15949247.051982407</v>
      </c>
      <c r="Y542" s="76">
        <f t="shared" si="725"/>
        <v>17425129.344960786</v>
      </c>
      <c r="Z542" s="76">
        <f t="shared" si="725"/>
        <v>19338997.851124175</v>
      </c>
      <c r="AA542" s="76">
        <f t="shared" si="725"/>
        <v>21205008.500741571</v>
      </c>
      <c r="AB542" s="76">
        <f t="shared" ref="AB542" si="726">AB523-AB535</f>
        <v>21386512.989446871</v>
      </c>
    </row>
    <row r="543" spans="1:28" x14ac:dyDescent="0.2">
      <c r="A543" s="25"/>
      <c r="B543" t="s">
        <v>138</v>
      </c>
      <c r="C543" s="38">
        <f>MIN(C542,C538)</f>
        <v>0</v>
      </c>
      <c r="D543" s="38">
        <f t="shared" ref="D543:J543" si="727">MIN(D542,D538)</f>
        <v>821887.1278965784</v>
      </c>
      <c r="E543" s="38">
        <f t="shared" si="727"/>
        <v>1132303.3650890617</v>
      </c>
      <c r="F543" s="38">
        <f t="shared" si="727"/>
        <v>0</v>
      </c>
      <c r="G543" s="38">
        <f t="shared" si="727"/>
        <v>1153479.0479332916</v>
      </c>
      <c r="H543" s="38">
        <f t="shared" si="727"/>
        <v>667428.05907801655</v>
      </c>
      <c r="I543" s="38">
        <f t="shared" si="727"/>
        <v>1266118.6864109728</v>
      </c>
      <c r="J543" s="38">
        <f t="shared" si="727"/>
        <v>1497795.0691094394</v>
      </c>
      <c r="K543" s="38">
        <f t="shared" ref="K543" si="728">MIN(K542,K538)</f>
        <v>1691542.7883163635</v>
      </c>
      <c r="L543" s="38">
        <f t="shared" ref="L543" si="729">MIN(L542,L538)</f>
        <v>1450563.7836343278</v>
      </c>
      <c r="M543" s="38">
        <f t="shared" ref="M543" si="730">MIN(M542,M538)</f>
        <v>2560298.3642880302</v>
      </c>
      <c r="N543" s="38">
        <f t="shared" ref="N543" si="731">MIN(N542,N538)</f>
        <v>1767605.2815783313</v>
      </c>
      <c r="O543" s="38">
        <f t="shared" ref="O543" si="732">MIN(O542,O538)</f>
        <v>2700556.0535791563</v>
      </c>
      <c r="P543" s="390">
        <f t="shared" ref="P543" si="733">MIN(P542,P538)</f>
        <v>4333955.4944509026</v>
      </c>
      <c r="Q543" s="38">
        <f t="shared" ref="Q543" si="734">MIN(Q542,Q538)</f>
        <v>3330303.5954988068</v>
      </c>
      <c r="R543" s="38">
        <f t="shared" ref="R543" si="735">MIN(R542,R538)</f>
        <v>4682377.8252658714</v>
      </c>
      <c r="S543" s="38">
        <f t="shared" ref="S543" si="736">MIN(S542,S538)</f>
        <v>4839122.9532159781</v>
      </c>
      <c r="T543" s="38">
        <f t="shared" ref="T543" si="737">MIN(T542,T538)</f>
        <v>5686515.6501893755</v>
      </c>
      <c r="U543" s="38">
        <f t="shared" ref="U543" si="738">MIN(U542,U538)</f>
        <v>6881646.6181221809</v>
      </c>
      <c r="V543" s="38">
        <f t="shared" ref="V543" si="739">MIN(V542,V538)</f>
        <v>8375329.8743908703</v>
      </c>
      <c r="W543" s="38">
        <f t="shared" ref="W543" si="740">MIN(W542,W538)</f>
        <v>7028795.995104285</v>
      </c>
      <c r="X543" s="38">
        <f t="shared" ref="X543" si="741">MIN(X542,X538)</f>
        <v>8147612.2620797325</v>
      </c>
      <c r="Y543" s="38">
        <f t="shared" ref="Y543" si="742">MIN(Y542,Y538)</f>
        <v>8908980.3897367828</v>
      </c>
      <c r="Z543" s="38">
        <f t="shared" ref="Z543" si="743">MIN(Z542,Z538)</f>
        <v>9722404.3079359941</v>
      </c>
      <c r="AA543" s="38">
        <f t="shared" ref="AA543:AB543" si="744">MIN(AA542,AA538)</f>
        <v>10730643.03574435</v>
      </c>
      <c r="AB543" s="38">
        <f t="shared" si="744"/>
        <v>11802034.947828263</v>
      </c>
    </row>
    <row r="544" spans="1:28" x14ac:dyDescent="0.2">
      <c r="A544" s="25"/>
      <c r="B544" t="s">
        <v>139</v>
      </c>
      <c r="C544" s="38">
        <f>MIN(C542-C543,C539)</f>
        <v>0</v>
      </c>
      <c r="D544" s="38">
        <f t="shared" ref="D544:K544" si="745">MIN(D542-D543,D539)</f>
        <v>1913754.5794205703</v>
      </c>
      <c r="E544" s="38">
        <f t="shared" si="745"/>
        <v>1334457.66557361</v>
      </c>
      <c r="F544" s="38">
        <f t="shared" si="745"/>
        <v>0</v>
      </c>
      <c r="G544" s="38">
        <f t="shared" si="745"/>
        <v>194694.38441460393</v>
      </c>
      <c r="H544" s="38">
        <f t="shared" si="745"/>
        <v>707739.93878186704</v>
      </c>
      <c r="I544" s="38">
        <f t="shared" si="745"/>
        <v>968062.77827190142</v>
      </c>
      <c r="J544" s="38">
        <f t="shared" si="745"/>
        <v>986869.79831724521</v>
      </c>
      <c r="K544" s="251">
        <f t="shared" si="745"/>
        <v>414701.4469817658</v>
      </c>
      <c r="L544" s="76">
        <f t="shared" ref="L544:AA544" si="746">MIN(L542-L543,L539)</f>
        <v>0</v>
      </c>
      <c r="M544" s="76">
        <f t="shared" si="746"/>
        <v>0</v>
      </c>
      <c r="N544" s="76">
        <f t="shared" si="746"/>
        <v>0</v>
      </c>
      <c r="O544" s="76">
        <f t="shared" si="746"/>
        <v>0</v>
      </c>
      <c r="P544" s="390">
        <f t="shared" si="746"/>
        <v>0</v>
      </c>
      <c r="Q544" s="76">
        <f t="shared" si="746"/>
        <v>2286734.6616495801</v>
      </c>
      <c r="R544" s="76">
        <f t="shared" si="746"/>
        <v>0</v>
      </c>
      <c r="S544" s="76">
        <f t="shared" si="746"/>
        <v>3544821.1865872256</v>
      </c>
      <c r="T544" s="76">
        <f t="shared" si="746"/>
        <v>0</v>
      </c>
      <c r="U544" s="76">
        <f t="shared" si="746"/>
        <v>3929001.1915183123</v>
      </c>
      <c r="V544" s="76">
        <f t="shared" si="746"/>
        <v>0</v>
      </c>
      <c r="W544" s="76">
        <f t="shared" si="746"/>
        <v>5227814.8648178112</v>
      </c>
      <c r="X544" s="76">
        <f t="shared" si="746"/>
        <v>6116593.1179874465</v>
      </c>
      <c r="Y544" s="76">
        <f t="shared" si="746"/>
        <v>6751264.9816472307</v>
      </c>
      <c r="Z544" s="76">
        <f t="shared" si="746"/>
        <v>7437187.6732047182</v>
      </c>
      <c r="AA544" s="76">
        <f t="shared" si="746"/>
        <v>8225355.4112642016</v>
      </c>
      <c r="AB544" s="76">
        <f t="shared" ref="AB544" si="747">MIN(AB542-AB543,AB539)</f>
        <v>9065247.8421653844</v>
      </c>
    </row>
    <row r="545" spans="1:28" x14ac:dyDescent="0.2">
      <c r="A545" s="25"/>
      <c r="B545" t="s">
        <v>140</v>
      </c>
      <c r="C545" s="38">
        <f>MIN(C542-C543-C544,C540)</f>
        <v>0</v>
      </c>
      <c r="D545" s="38">
        <f t="shared" ref="D545:K545" si="748">MIN(D542-D543-D544,D540)</f>
        <v>0</v>
      </c>
      <c r="E545" s="38">
        <f t="shared" si="748"/>
        <v>0</v>
      </c>
      <c r="F545" s="38">
        <f t="shared" si="748"/>
        <v>0</v>
      </c>
      <c r="G545" s="38">
        <f t="shared" si="748"/>
        <v>0</v>
      </c>
      <c r="H545" s="38">
        <f t="shared" si="748"/>
        <v>119079.84919248149</v>
      </c>
      <c r="I545" s="38">
        <f t="shared" si="748"/>
        <v>517013.08517390862</v>
      </c>
      <c r="J545" s="38">
        <f t="shared" si="748"/>
        <v>507484.7647294621</v>
      </c>
      <c r="K545" s="251">
        <f t="shared" si="748"/>
        <v>0</v>
      </c>
      <c r="L545" s="76">
        <f t="shared" ref="L545:AA545" si="749">MIN(L542-L543-L544,L540)</f>
        <v>0</v>
      </c>
      <c r="M545" s="76">
        <f t="shared" si="749"/>
        <v>0</v>
      </c>
      <c r="N545" s="76">
        <f t="shared" si="749"/>
        <v>0</v>
      </c>
      <c r="O545" s="76">
        <f t="shared" si="749"/>
        <v>0</v>
      </c>
      <c r="P545" s="390">
        <f t="shared" si="749"/>
        <v>0</v>
      </c>
      <c r="Q545" s="76">
        <f t="shared" si="749"/>
        <v>2894695.2699490152</v>
      </c>
      <c r="R545" s="76">
        <f t="shared" si="749"/>
        <v>0</v>
      </c>
      <c r="S545" s="76">
        <f t="shared" si="749"/>
        <v>817436.14897490758</v>
      </c>
      <c r="T545" s="76">
        <f t="shared" si="749"/>
        <v>0</v>
      </c>
      <c r="U545" s="76">
        <f t="shared" si="749"/>
        <v>0</v>
      </c>
      <c r="V545" s="76">
        <f t="shared" si="749"/>
        <v>0</v>
      </c>
      <c r="W545" s="76">
        <f t="shared" si="749"/>
        <v>3459105.2852228237</v>
      </c>
      <c r="X545" s="76">
        <f t="shared" si="749"/>
        <v>1685041.6719152275</v>
      </c>
      <c r="Y545" s="76">
        <f t="shared" si="749"/>
        <v>1764883.973576772</v>
      </c>
      <c r="Z545" s="76">
        <f t="shared" si="749"/>
        <v>2179405.8699834608</v>
      </c>
      <c r="AA545" s="76">
        <f t="shared" si="749"/>
        <v>2249010.0537330192</v>
      </c>
      <c r="AB545" s="76">
        <f t="shared" ref="AB545" si="750">MIN(AB542-AB543-AB544,AB540)</f>
        <v>519230.1994532235</v>
      </c>
    </row>
    <row r="546" spans="1:28" x14ac:dyDescent="0.2">
      <c r="A546" s="25"/>
      <c r="C546" s="38"/>
      <c r="E546" s="38"/>
      <c r="L546" s="246"/>
    </row>
    <row r="547" spans="1:28" x14ac:dyDescent="0.2">
      <c r="A547" s="25"/>
      <c r="B547" s="159" t="s">
        <v>146</v>
      </c>
      <c r="C547" s="38"/>
      <c r="E547" s="38"/>
      <c r="L547" s="246"/>
    </row>
    <row r="548" spans="1:28" x14ac:dyDescent="0.2">
      <c r="A548" s="25"/>
      <c r="B548" t="s">
        <v>138</v>
      </c>
      <c r="C548" s="38">
        <f>C532+C543</f>
        <v>1496826.5085265862</v>
      </c>
      <c r="D548" s="38">
        <f t="shared" ref="D548:K548" si="751">D532+D543</f>
        <v>1826415.8397701744</v>
      </c>
      <c r="E548" s="38">
        <f t="shared" si="751"/>
        <v>2135906.8101700856</v>
      </c>
      <c r="F548" s="38">
        <f t="shared" si="751"/>
        <v>2145763.2855857657</v>
      </c>
      <c r="G548" s="38">
        <f t="shared" si="751"/>
        <v>2190588.5885242024</v>
      </c>
      <c r="H548" s="38">
        <f t="shared" si="751"/>
        <v>2224760.1969267209</v>
      </c>
      <c r="I548" s="38">
        <f t="shared" si="751"/>
        <v>2532237.3728219452</v>
      </c>
      <c r="J548" s="38">
        <f t="shared" si="751"/>
        <v>2995590.1382188783</v>
      </c>
      <c r="K548" s="251">
        <f t="shared" si="751"/>
        <v>3579505.2025673888</v>
      </c>
      <c r="L548" s="76">
        <f t="shared" ref="L548:AA548" si="752">L532+L543</f>
        <v>2661393.3797631836</v>
      </c>
      <c r="M548" s="76">
        <f t="shared" si="752"/>
        <v>4490408.2515729889</v>
      </c>
      <c r="N548" s="76">
        <f t="shared" si="752"/>
        <v>3072815.011652946</v>
      </c>
      <c r="O548" s="76">
        <f t="shared" si="752"/>
        <v>4810802.0085396469</v>
      </c>
      <c r="P548" s="390">
        <f t="shared" si="752"/>
        <v>7495027.5508900154</v>
      </c>
      <c r="Q548" s="76">
        <f t="shared" si="752"/>
        <v>9515153.1299965922</v>
      </c>
      <c r="R548" s="76">
        <f t="shared" si="752"/>
        <v>9115418.4221124649</v>
      </c>
      <c r="S548" s="76">
        <f t="shared" si="752"/>
        <v>12619982.872345945</v>
      </c>
      <c r="T548" s="76">
        <f t="shared" si="752"/>
        <v>10812946.840395877</v>
      </c>
      <c r="U548" s="76">
        <f t="shared" si="752"/>
        <v>16101917.098471632</v>
      </c>
      <c r="V548" s="76">
        <f t="shared" si="752"/>
        <v>15758609.529505162</v>
      </c>
      <c r="W548" s="76">
        <f t="shared" si="752"/>
        <v>20082274.27172653</v>
      </c>
      <c r="X548" s="76">
        <f t="shared" si="752"/>
        <v>23278892.177370664</v>
      </c>
      <c r="Y548" s="76">
        <f t="shared" si="752"/>
        <v>25454229.68496225</v>
      </c>
      <c r="Z548" s="76">
        <f t="shared" si="752"/>
        <v>27778298.022674266</v>
      </c>
      <c r="AA548" s="76">
        <f t="shared" si="752"/>
        <v>30658980.102126718</v>
      </c>
      <c r="AB548" s="76">
        <f t="shared" ref="AB548" si="753">AB532+AB543</f>
        <v>33720099.850937888</v>
      </c>
    </row>
    <row r="549" spans="1:28" x14ac:dyDescent="0.2">
      <c r="A549" s="25"/>
      <c r="B549" t="s">
        <v>139</v>
      </c>
      <c r="C549" s="38">
        <f t="shared" ref="C549:K550" si="754">C533+C544</f>
        <v>3579351.5299041537</v>
      </c>
      <c r="D549" s="38">
        <f t="shared" si="754"/>
        <v>4252787.9542679349</v>
      </c>
      <c r="E549" s="38">
        <f t="shared" si="754"/>
        <v>2797615.2511552582</v>
      </c>
      <c r="F549" s="38">
        <f t="shared" si="754"/>
        <v>1590849.5498618167</v>
      </c>
      <c r="G549" s="38">
        <f t="shared" si="754"/>
        <v>1137022.1277935612</v>
      </c>
      <c r="H549" s="38">
        <f t="shared" si="754"/>
        <v>2359133.1292728879</v>
      </c>
      <c r="I549" s="38">
        <f t="shared" si="754"/>
        <v>1936125.5565438024</v>
      </c>
      <c r="J549" s="38">
        <f t="shared" si="754"/>
        <v>1973739.5966344902</v>
      </c>
      <c r="K549" s="251">
        <f t="shared" si="754"/>
        <v>1649275.840760726</v>
      </c>
      <c r="L549" s="76">
        <f t="shared" ref="L549:AA549" si="755">L533+L544</f>
        <v>784899.33255321451</v>
      </c>
      <c r="M549" s="76">
        <f t="shared" si="755"/>
        <v>1256530.121151953</v>
      </c>
      <c r="N549" s="76">
        <f t="shared" si="755"/>
        <v>856973.35018405365</v>
      </c>
      <c r="O549" s="76">
        <f t="shared" si="755"/>
        <v>1397697.1492840084</v>
      </c>
      <c r="P549" s="390">
        <f t="shared" si="755"/>
        <v>2131424.0570970401</v>
      </c>
      <c r="Q549" s="76">
        <f t="shared" si="755"/>
        <v>6533527.604713086</v>
      </c>
      <c r="R549" s="76">
        <f t="shared" si="755"/>
        <v>3129266.5978497108</v>
      </c>
      <c r="S549" s="76">
        <f t="shared" si="755"/>
        <v>9244564.1684986558</v>
      </c>
      <c r="T549" s="76">
        <f t="shared" si="755"/>
        <v>3720832.0363383121</v>
      </c>
      <c r="U549" s="76">
        <f t="shared" si="755"/>
        <v>10560358.172686145</v>
      </c>
      <c r="V549" s="76">
        <f t="shared" si="755"/>
        <v>5358882.7109347219</v>
      </c>
      <c r="W549" s="76">
        <f t="shared" si="755"/>
        <v>14936613.899479462</v>
      </c>
      <c r="X549" s="76">
        <f t="shared" si="755"/>
        <v>17475980.337106992</v>
      </c>
      <c r="Y549" s="76">
        <f t="shared" si="755"/>
        <v>19289328.518992092</v>
      </c>
      <c r="Z549" s="76">
        <f t="shared" si="755"/>
        <v>21249107.637727767</v>
      </c>
      <c r="AA549" s="76">
        <f t="shared" si="755"/>
        <v>23501015.460754864</v>
      </c>
      <c r="AB549" s="76">
        <f t="shared" ref="AB549" si="756">AB533+AB544</f>
        <v>25900708.120472517</v>
      </c>
    </row>
    <row r="550" spans="1:28" x14ac:dyDescent="0.2">
      <c r="A550" s="25"/>
      <c r="B550" t="s">
        <v>140</v>
      </c>
      <c r="C550" s="38">
        <f t="shared" si="754"/>
        <v>42707.41294462626</v>
      </c>
      <c r="D550" s="38">
        <f t="shared" si="754"/>
        <v>0</v>
      </c>
      <c r="E550" s="38">
        <f t="shared" si="754"/>
        <v>0</v>
      </c>
      <c r="F550" s="38">
        <f t="shared" si="754"/>
        <v>50200.127760763695</v>
      </c>
      <c r="G550" s="38">
        <f t="shared" si="754"/>
        <v>42822.864551976534</v>
      </c>
      <c r="H550" s="38">
        <f t="shared" si="754"/>
        <v>396932.83064160601</v>
      </c>
      <c r="I550" s="38">
        <f t="shared" si="754"/>
        <v>1034026.1703478179</v>
      </c>
      <c r="J550" s="38">
        <f t="shared" si="754"/>
        <v>1014969.5294589249</v>
      </c>
      <c r="K550" s="251">
        <f t="shared" si="754"/>
        <v>789059.6289522564</v>
      </c>
      <c r="L550" s="76">
        <f t="shared" ref="L550:AA550" si="757">L534+L545</f>
        <v>698175.24092453823</v>
      </c>
      <c r="M550" s="76">
        <f t="shared" si="757"/>
        <v>1568199.8109551459</v>
      </c>
      <c r="N550" s="76">
        <f t="shared" si="757"/>
        <v>1120512.4426725206</v>
      </c>
      <c r="O550" s="76">
        <f t="shared" si="757"/>
        <v>1507375.2809739336</v>
      </c>
      <c r="P550" s="390">
        <f t="shared" si="757"/>
        <v>2756278.3761583809</v>
      </c>
      <c r="Q550" s="76">
        <f t="shared" si="757"/>
        <v>8270557.9141400438</v>
      </c>
      <c r="R550" s="76">
        <f t="shared" si="757"/>
        <v>1133537.3379403146</v>
      </c>
      <c r="S550" s="76">
        <f t="shared" si="757"/>
        <v>4425110.9270928605</v>
      </c>
      <c r="T550" s="76">
        <f t="shared" si="757"/>
        <v>1713408.6952354542</v>
      </c>
      <c r="U550" s="76">
        <f t="shared" si="757"/>
        <v>4225289.8992436342</v>
      </c>
      <c r="V550" s="76">
        <f t="shared" si="757"/>
        <v>2812021.6863911822</v>
      </c>
      <c r="W550" s="76">
        <f t="shared" si="757"/>
        <v>9883157.9577794969</v>
      </c>
      <c r="X550" s="76">
        <f t="shared" si="757"/>
        <v>4814404.7769006612</v>
      </c>
      <c r="Y550" s="76">
        <f t="shared" si="757"/>
        <v>5042525.6387907797</v>
      </c>
      <c r="Z550" s="76">
        <f t="shared" si="757"/>
        <v>6226873.9142384594</v>
      </c>
      <c r="AA550" s="76">
        <f t="shared" si="757"/>
        <v>6425743.0106657781</v>
      </c>
      <c r="AB550" s="76">
        <f t="shared" ref="AB550" si="758">AB534+AB545</f>
        <v>1483514.8555806477</v>
      </c>
    </row>
    <row r="551" spans="1:28" x14ac:dyDescent="0.2">
      <c r="A551" s="25"/>
      <c r="C551" s="38"/>
      <c r="E551" s="38"/>
      <c r="L551" s="246"/>
    </row>
    <row r="552" spans="1:28" x14ac:dyDescent="0.2">
      <c r="A552" s="25"/>
      <c r="C552" s="38"/>
      <c r="E552" s="38"/>
      <c r="L552" s="246"/>
    </row>
    <row r="553" spans="1:28" x14ac:dyDescent="0.2">
      <c r="A553" s="157">
        <v>5</v>
      </c>
      <c r="B553" s="162" t="s">
        <v>6</v>
      </c>
      <c r="C553" s="38"/>
      <c r="E553" s="38"/>
      <c r="L553" s="246"/>
    </row>
    <row r="554" spans="1:28" x14ac:dyDescent="0.2">
      <c r="A554" s="25"/>
      <c r="B554" s="25" t="s">
        <v>136</v>
      </c>
      <c r="C554" s="38">
        <f>C421</f>
        <v>864680.23167017009</v>
      </c>
      <c r="D554" s="38">
        <f t="shared" ref="D554:K554" si="759">D421</f>
        <v>968257.95199697348</v>
      </c>
      <c r="E554" s="38">
        <f t="shared" si="759"/>
        <v>1519004.8098790068</v>
      </c>
      <c r="F554" s="38">
        <f t="shared" si="759"/>
        <v>1501167.5834598457</v>
      </c>
      <c r="G554" s="38">
        <f t="shared" si="759"/>
        <v>1841245.7184630278</v>
      </c>
      <c r="H554" s="38">
        <f t="shared" si="759"/>
        <v>1739990.9059053659</v>
      </c>
      <c r="I554" s="38">
        <f t="shared" si="759"/>
        <v>1323753.5716635324</v>
      </c>
      <c r="J554" s="38">
        <f t="shared" si="759"/>
        <v>1707462.2249423251</v>
      </c>
      <c r="K554" s="251">
        <f t="shared" si="759"/>
        <v>2615195.9411897729</v>
      </c>
      <c r="L554" s="76">
        <f t="shared" ref="L554:AA554" si="760">L421</f>
        <v>2691089.0300383135</v>
      </c>
      <c r="M554" s="76">
        <f t="shared" si="760"/>
        <v>2940776.0536005152</v>
      </c>
      <c r="N554" s="76">
        <f t="shared" si="760"/>
        <v>3336976.0730224159</v>
      </c>
      <c r="O554" s="76">
        <f t="shared" si="760"/>
        <v>2747887.1682651415</v>
      </c>
      <c r="P554" s="390">
        <f t="shared" si="760"/>
        <v>5348767.1679796372</v>
      </c>
      <c r="Q554" s="76">
        <f t="shared" si="760"/>
        <v>7840154.5540239802</v>
      </c>
      <c r="R554" s="76">
        <f t="shared" si="760"/>
        <v>8305504.7348218132</v>
      </c>
      <c r="S554" s="76">
        <f t="shared" si="760"/>
        <v>8763646.8508180231</v>
      </c>
      <c r="T554" s="76">
        <f t="shared" si="760"/>
        <v>9191622.1172469761</v>
      </c>
      <c r="U554" s="76">
        <f t="shared" si="760"/>
        <v>10577797.222606318</v>
      </c>
      <c r="V554" s="76">
        <f t="shared" si="760"/>
        <v>12223212.45336685</v>
      </c>
      <c r="W554" s="76">
        <f t="shared" si="760"/>
        <v>15588788.346851606</v>
      </c>
      <c r="X554" s="76">
        <f t="shared" si="760"/>
        <v>16389664.689669833</v>
      </c>
      <c r="Y554" s="76">
        <f t="shared" si="760"/>
        <v>17585948.596984074</v>
      </c>
      <c r="Z554" s="76">
        <f t="shared" si="760"/>
        <v>19613767.490196258</v>
      </c>
      <c r="AA554" s="76">
        <f t="shared" si="760"/>
        <v>21363192.663283624</v>
      </c>
      <c r="AB554" s="76">
        <f t="shared" ref="AB554" si="761">AB421</f>
        <v>20905165.831009641</v>
      </c>
    </row>
    <row r="555" spans="1:28" x14ac:dyDescent="0.2">
      <c r="A555" s="25"/>
      <c r="B555" s="137" t="s">
        <v>137</v>
      </c>
      <c r="C555" s="38">
        <f>SUM(C556:C558)</f>
        <v>864680.23167017009</v>
      </c>
      <c r="D555" s="38">
        <f t="shared" ref="D555:K555" si="762">SUM(D556:D558)</f>
        <v>968257.9519969736</v>
      </c>
      <c r="E555" s="38">
        <f t="shared" si="762"/>
        <v>1519004.8098790068</v>
      </c>
      <c r="F555" s="38">
        <f t="shared" si="762"/>
        <v>1501167.5834598457</v>
      </c>
      <c r="G555" s="38">
        <f t="shared" si="762"/>
        <v>1841245.7184630276</v>
      </c>
      <c r="H555" s="38">
        <f t="shared" si="762"/>
        <v>1746774.8697380109</v>
      </c>
      <c r="I555" s="38">
        <f t="shared" si="762"/>
        <v>1980512.0260736151</v>
      </c>
      <c r="J555" s="38">
        <f t="shared" si="762"/>
        <v>2193993.8289576601</v>
      </c>
      <c r="K555" s="251">
        <f t="shared" si="762"/>
        <v>3378791.5740122194</v>
      </c>
      <c r="L555" s="76">
        <f t="shared" ref="L555:AA555" si="763">SUM(L556:L558)</f>
        <v>4214775.355364982</v>
      </c>
      <c r="M555" s="76">
        <f t="shared" si="763"/>
        <v>5352126.6482291296</v>
      </c>
      <c r="N555" s="76">
        <f t="shared" si="763"/>
        <v>6784034.7978062108</v>
      </c>
      <c r="O555" s="76">
        <f t="shared" si="763"/>
        <v>5094918.877670276</v>
      </c>
      <c r="P555" s="390">
        <f t="shared" si="763"/>
        <v>7104513.2736688731</v>
      </c>
      <c r="Q555" s="76">
        <f t="shared" si="763"/>
        <v>8556570.3943652324</v>
      </c>
      <c r="R555" s="76">
        <f t="shared" si="763"/>
        <v>9153444.6899706684</v>
      </c>
      <c r="S555" s="76">
        <f t="shared" si="763"/>
        <v>10169570.87335073</v>
      </c>
      <c r="T555" s="76">
        <f t="shared" si="763"/>
        <v>11310371.266497236</v>
      </c>
      <c r="U555" s="76">
        <f t="shared" si="763"/>
        <v>12606002.665488767</v>
      </c>
      <c r="V555" s="76">
        <f t="shared" si="763"/>
        <v>13940223.501605086</v>
      </c>
      <c r="W555" s="76">
        <f t="shared" si="763"/>
        <v>15852756.052469624</v>
      </c>
      <c r="X555" s="76">
        <f t="shared" si="763"/>
        <v>16389664.689669833</v>
      </c>
      <c r="Y555" s="76">
        <f t="shared" si="763"/>
        <v>17585948.596984074</v>
      </c>
      <c r="Z555" s="76">
        <f t="shared" si="763"/>
        <v>19613767.490196258</v>
      </c>
      <c r="AA555" s="76">
        <f t="shared" si="763"/>
        <v>21363192.663283624</v>
      </c>
      <c r="AB555" s="76">
        <f t="shared" ref="AB555" si="764">SUM(AB556:AB558)</f>
        <v>20905165.831009641</v>
      </c>
    </row>
    <row r="556" spans="1:28" x14ac:dyDescent="0.2">
      <c r="A556" s="25"/>
      <c r="B556" t="s">
        <v>138</v>
      </c>
      <c r="C556" s="38">
        <f>C28</f>
        <v>264903.21000000002</v>
      </c>
      <c r="D556" s="38">
        <f t="shared" ref="D556:K556" si="765">D28</f>
        <v>336601.64126553951</v>
      </c>
      <c r="E556" s="38">
        <f t="shared" si="765"/>
        <v>450609.8900702981</v>
      </c>
      <c r="F556" s="38">
        <f t="shared" si="765"/>
        <v>467960.59174344566</v>
      </c>
      <c r="G556" s="38">
        <f t="shared" si="765"/>
        <v>499020.43575285078</v>
      </c>
      <c r="H556" s="38">
        <f t="shared" si="765"/>
        <v>584794.28184821724</v>
      </c>
      <c r="I556" s="38">
        <f t="shared" si="765"/>
        <v>701081.90424695064</v>
      </c>
      <c r="J556" s="38">
        <f t="shared" si="765"/>
        <v>852611.55282000604</v>
      </c>
      <c r="K556" s="251">
        <f t="shared" si="765"/>
        <v>926497.78696357703</v>
      </c>
      <c r="L556" s="76">
        <f t="shared" ref="L556:AA556" si="766">L28</f>
        <v>1098548.7336038675</v>
      </c>
      <c r="M556" s="76">
        <f t="shared" si="766"/>
        <v>1314821.3943265604</v>
      </c>
      <c r="N556" s="76">
        <f t="shared" si="766"/>
        <v>1577833.7575232035</v>
      </c>
      <c r="O556" s="76">
        <f t="shared" si="766"/>
        <v>1843738.3428557885</v>
      </c>
      <c r="P556" s="390">
        <f t="shared" si="766"/>
        <v>2016488.1301078256</v>
      </c>
      <c r="Q556" s="76">
        <f t="shared" si="766"/>
        <v>2240449.8206653004</v>
      </c>
      <c r="R556" s="76">
        <f t="shared" si="766"/>
        <v>2523613.7189976783</v>
      </c>
      <c r="S556" s="76">
        <f t="shared" si="766"/>
        <v>2761960.1974385912</v>
      </c>
      <c r="T556" s="76">
        <f t="shared" si="766"/>
        <v>3085993.4064173033</v>
      </c>
      <c r="U556" s="76">
        <f t="shared" si="766"/>
        <v>3469996.8758005616</v>
      </c>
      <c r="V556" s="76">
        <f t="shared" si="766"/>
        <v>3871463.8026477625</v>
      </c>
      <c r="W556" s="76">
        <f t="shared" si="766"/>
        <v>4293818.7082739938</v>
      </c>
      <c r="X556" s="76">
        <f t="shared" si="766"/>
        <v>4813168.5100800022</v>
      </c>
      <c r="Y556" s="76">
        <f t="shared" si="766"/>
        <v>5256471.6907647131</v>
      </c>
      <c r="Z556" s="76">
        <f t="shared" si="766"/>
        <v>5710788.5321544837</v>
      </c>
      <c r="AA556" s="76">
        <f t="shared" si="766"/>
        <v>6281427.4754992062</v>
      </c>
      <c r="AB556" s="76">
        <f t="shared" ref="AB556" si="767">AB28</f>
        <v>6889487.1958031207</v>
      </c>
    </row>
    <row r="557" spans="1:28" x14ac:dyDescent="0.2">
      <c r="A557" s="25"/>
      <c r="B557" t="s">
        <v>139</v>
      </c>
      <c r="C557" s="38">
        <f>C14</f>
        <v>439706.81599999999</v>
      </c>
      <c r="D557" s="38">
        <f t="shared" ref="D557:K557" si="768">D14</f>
        <v>454880.56123087194</v>
      </c>
      <c r="E557" s="38">
        <f t="shared" si="768"/>
        <v>857865.65704467369</v>
      </c>
      <c r="F557" s="38">
        <f t="shared" si="768"/>
        <v>882565.03426563041</v>
      </c>
      <c r="G557" s="38">
        <f t="shared" si="768"/>
        <v>1057297.6209550046</v>
      </c>
      <c r="H557" s="38">
        <f t="shared" si="768"/>
        <v>1139677.0324450107</v>
      </c>
      <c r="I557" s="38">
        <f t="shared" si="768"/>
        <v>1279430.1218266645</v>
      </c>
      <c r="J557" s="38">
        <f t="shared" si="768"/>
        <v>1312767.7533331839</v>
      </c>
      <c r="K557" s="251">
        <f t="shared" si="768"/>
        <v>1478284.3864801116</v>
      </c>
      <c r="L557" s="76">
        <f t="shared" ref="L557:AA557" si="769">L14</f>
        <v>1737560.5288213415</v>
      </c>
      <c r="M557" s="76">
        <f t="shared" si="769"/>
        <v>2088561.7168973666</v>
      </c>
      <c r="N557" s="76">
        <f t="shared" si="769"/>
        <v>2527772.2397059775</v>
      </c>
      <c r="O557" s="76">
        <f t="shared" si="769"/>
        <v>2979675.5207864996</v>
      </c>
      <c r="P557" s="390">
        <f t="shared" si="769"/>
        <v>3317575.5386295682</v>
      </c>
      <c r="Q557" s="76">
        <f t="shared" si="769"/>
        <v>3753676.5963285575</v>
      </c>
      <c r="R557" s="76">
        <f t="shared" si="769"/>
        <v>4346637.4577874616</v>
      </c>
      <c r="S557" s="76">
        <f t="shared" si="769"/>
        <v>4936677.6970190238</v>
      </c>
      <c r="T557" s="76">
        <f t="shared" si="769"/>
        <v>5465244.6760823019</v>
      </c>
      <c r="U557" s="76">
        <f t="shared" si="769"/>
        <v>6089442.2004036568</v>
      </c>
      <c r="V557" s="76">
        <f t="shared" si="769"/>
        <v>6856300.1113570333</v>
      </c>
      <c r="W557" s="76">
        <f t="shared" si="769"/>
        <v>7792425.2940131389</v>
      </c>
      <c r="X557" s="76">
        <f t="shared" si="769"/>
        <v>8816576.6586165521</v>
      </c>
      <c r="Y557" s="76">
        <f t="shared" si="769"/>
        <v>9719438.2187878639</v>
      </c>
      <c r="Z557" s="76">
        <f t="shared" si="769"/>
        <v>10659107.07451093</v>
      </c>
      <c r="AA557" s="76">
        <f t="shared" si="769"/>
        <v>11741754.46000783</v>
      </c>
      <c r="AB557" s="76">
        <f t="shared" ref="AB557" si="770">AB14</f>
        <v>12897675.323666824</v>
      </c>
    </row>
    <row r="558" spans="1:28" x14ac:dyDescent="0.2">
      <c r="A558" s="25"/>
      <c r="B558" t="s">
        <v>140</v>
      </c>
      <c r="C558" s="38">
        <f>C103</f>
        <v>160070.20567017008</v>
      </c>
      <c r="D558" s="38">
        <f t="shared" ref="D558:K558" si="771">D103</f>
        <v>176775.74950056206</v>
      </c>
      <c r="E558" s="38">
        <f t="shared" si="771"/>
        <v>210529.26276403491</v>
      </c>
      <c r="F558" s="38">
        <f t="shared" si="771"/>
        <v>150641.95745076964</v>
      </c>
      <c r="G558" s="38">
        <f t="shared" si="771"/>
        <v>284927.66175517236</v>
      </c>
      <c r="H558" s="38">
        <f t="shared" si="771"/>
        <v>22303.555444782723</v>
      </c>
      <c r="I558" s="38">
        <f t="shared" si="771"/>
        <v>0</v>
      </c>
      <c r="J558" s="38">
        <f t="shared" si="771"/>
        <v>28614.522804470209</v>
      </c>
      <c r="K558" s="251">
        <f t="shared" si="771"/>
        <v>974009.40056853101</v>
      </c>
      <c r="L558" s="76">
        <f t="shared" ref="L558:AA558" si="772">L103</f>
        <v>1378666.0929397733</v>
      </c>
      <c r="M558" s="76">
        <f t="shared" si="772"/>
        <v>1948743.5370052024</v>
      </c>
      <c r="N558" s="76">
        <f t="shared" si="772"/>
        <v>2678428.8005770291</v>
      </c>
      <c r="O558" s="76">
        <f t="shared" si="772"/>
        <v>271505.01402798784</v>
      </c>
      <c r="P558" s="390">
        <f t="shared" si="772"/>
        <v>1770449.6049314791</v>
      </c>
      <c r="Q558" s="76">
        <f t="shared" si="772"/>
        <v>2562443.9773713741</v>
      </c>
      <c r="R558" s="76">
        <f t="shared" si="772"/>
        <v>2283193.5131855295</v>
      </c>
      <c r="S558" s="76">
        <f t="shared" si="772"/>
        <v>2470932.9788931152</v>
      </c>
      <c r="T558" s="76">
        <f t="shared" si="772"/>
        <v>2759133.1839976315</v>
      </c>
      <c r="U558" s="76">
        <f t="shared" si="772"/>
        <v>3046563.589284549</v>
      </c>
      <c r="V558" s="76">
        <f t="shared" si="772"/>
        <v>3212459.5876002912</v>
      </c>
      <c r="W558" s="76">
        <f t="shared" si="772"/>
        <v>3766512.0501824911</v>
      </c>
      <c r="X558" s="76">
        <f t="shared" si="772"/>
        <v>2759919.5209732777</v>
      </c>
      <c r="Y558" s="76">
        <f t="shared" si="772"/>
        <v>2610038.6874314961</v>
      </c>
      <c r="Z558" s="76">
        <f t="shared" si="772"/>
        <v>3243871.8835308435</v>
      </c>
      <c r="AA558" s="76">
        <f t="shared" si="772"/>
        <v>3340010.727776587</v>
      </c>
      <c r="AB558" s="76">
        <f t="shared" ref="AB558" si="773">AB103</f>
        <v>1118003.3115396963</v>
      </c>
    </row>
    <row r="559" spans="1:28" x14ac:dyDescent="0.2">
      <c r="A559" s="25"/>
      <c r="C559" s="38"/>
      <c r="E559" s="38"/>
      <c r="L559" s="246"/>
    </row>
    <row r="560" spans="1:28" x14ac:dyDescent="0.2">
      <c r="A560" s="25"/>
      <c r="B560" s="66" t="s">
        <v>141</v>
      </c>
      <c r="C560" s="206">
        <f t="shared" ref="C560:K560" si="774">INDEX(Doli_Prop_st,$A553,C$416)</f>
        <v>0.5</v>
      </c>
      <c r="D560" s="206">
        <f t="shared" si="774"/>
        <v>0.5</v>
      </c>
      <c r="E560" s="206">
        <f t="shared" si="774"/>
        <v>0.5</v>
      </c>
      <c r="F560" s="206">
        <f t="shared" si="774"/>
        <v>0.5</v>
      </c>
      <c r="G560" s="206">
        <f t="shared" si="774"/>
        <v>0.5</v>
      </c>
      <c r="H560" s="206">
        <f t="shared" si="774"/>
        <v>1</v>
      </c>
      <c r="I560" s="206">
        <f t="shared" si="774"/>
        <v>1</v>
      </c>
      <c r="J560" s="206">
        <f t="shared" si="774"/>
        <v>0.43</v>
      </c>
      <c r="K560" s="268">
        <f t="shared" si="774"/>
        <v>0.65</v>
      </c>
      <c r="L560" s="247">
        <f t="shared" ref="L560:AA560" si="775">INDEX(Doli_Prop_st,$A553,L$416)</f>
        <v>0.65</v>
      </c>
      <c r="M560" s="247">
        <f t="shared" si="775"/>
        <v>0.65</v>
      </c>
      <c r="N560" s="247">
        <f t="shared" si="775"/>
        <v>0.65</v>
      </c>
      <c r="O560" s="247">
        <f t="shared" si="775"/>
        <v>0.65</v>
      </c>
      <c r="P560" s="412">
        <f t="shared" si="775"/>
        <v>0.65</v>
      </c>
      <c r="Q560" s="247">
        <f t="shared" si="775"/>
        <v>0.65</v>
      </c>
      <c r="R560" s="247">
        <f t="shared" si="775"/>
        <v>0.65</v>
      </c>
      <c r="S560" s="247">
        <f t="shared" si="775"/>
        <v>0.65</v>
      </c>
      <c r="T560" s="247">
        <f t="shared" si="775"/>
        <v>0.65</v>
      </c>
      <c r="U560" s="247">
        <f t="shared" si="775"/>
        <v>0.65</v>
      </c>
      <c r="V560" s="247">
        <f t="shared" si="775"/>
        <v>0.65</v>
      </c>
      <c r="W560" s="247">
        <f t="shared" si="775"/>
        <v>0.65</v>
      </c>
      <c r="X560" s="247">
        <f t="shared" si="775"/>
        <v>0.65</v>
      </c>
      <c r="Y560" s="247">
        <f t="shared" si="775"/>
        <v>0.65</v>
      </c>
      <c r="Z560" s="247">
        <f t="shared" si="775"/>
        <v>0.65</v>
      </c>
      <c r="AA560" s="247">
        <f t="shared" si="775"/>
        <v>0.65</v>
      </c>
      <c r="AB560" s="247">
        <f t="shared" ref="AB560" si="776">INDEX(Doli_Prop_st,$A553,AB$416)</f>
        <v>0.65</v>
      </c>
    </row>
    <row r="561" spans="1:28" x14ac:dyDescent="0.2">
      <c r="A561" s="25"/>
      <c r="B561" t="s">
        <v>142</v>
      </c>
      <c r="C561" s="38">
        <f>C554/C555</f>
        <v>1</v>
      </c>
      <c r="D561" s="38">
        <f t="shared" ref="D561:K561" si="777">D554/D555</f>
        <v>0.99999999999999989</v>
      </c>
      <c r="E561" s="38">
        <f t="shared" si="777"/>
        <v>1</v>
      </c>
      <c r="F561" s="38">
        <f t="shared" si="777"/>
        <v>1</v>
      </c>
      <c r="G561" s="38">
        <f t="shared" si="777"/>
        <v>1.0000000000000002</v>
      </c>
      <c r="H561" s="38">
        <f t="shared" si="777"/>
        <v>0.99611629183006134</v>
      </c>
      <c r="I561" s="38">
        <f t="shared" si="777"/>
        <v>0.66838956503984837</v>
      </c>
      <c r="J561" s="38">
        <f t="shared" si="777"/>
        <v>0.77824385939750784</v>
      </c>
      <c r="K561" s="251">
        <f t="shared" si="777"/>
        <v>0.77400333341198124</v>
      </c>
      <c r="L561" s="76">
        <f t="shared" ref="L561:AA561" si="778">L554/L555</f>
        <v>0.63848931512158291</v>
      </c>
      <c r="M561" s="76">
        <f t="shared" si="778"/>
        <v>0.54945935454900652</v>
      </c>
      <c r="N561" s="76">
        <f t="shared" si="778"/>
        <v>0.4918866386271355</v>
      </c>
      <c r="O561" s="76">
        <f t="shared" si="778"/>
        <v>0.53933874792559056</v>
      </c>
      <c r="P561" s="390">
        <f t="shared" si="778"/>
        <v>0.75286891049996685</v>
      </c>
      <c r="Q561" s="76">
        <f t="shared" si="778"/>
        <v>0.91627301508405345</v>
      </c>
      <c r="R561" s="76">
        <f t="shared" si="778"/>
        <v>0.90736384127847147</v>
      </c>
      <c r="S561" s="76">
        <f t="shared" si="778"/>
        <v>0.86175188313826312</v>
      </c>
      <c r="T561" s="76">
        <f t="shared" si="778"/>
        <v>0.81267200701658082</v>
      </c>
      <c r="U561" s="76">
        <f t="shared" si="778"/>
        <v>0.83910796334868065</v>
      </c>
      <c r="V561" s="76">
        <f t="shared" si="778"/>
        <v>0.87683045052753006</v>
      </c>
      <c r="W561" s="76">
        <f t="shared" si="778"/>
        <v>0.98334878145198634</v>
      </c>
      <c r="X561" s="76">
        <f t="shared" si="778"/>
        <v>1</v>
      </c>
      <c r="Y561" s="76">
        <f t="shared" si="778"/>
        <v>1</v>
      </c>
      <c r="Z561" s="76">
        <f t="shared" si="778"/>
        <v>1</v>
      </c>
      <c r="AA561" s="76">
        <f t="shared" si="778"/>
        <v>1</v>
      </c>
      <c r="AB561" s="76">
        <f t="shared" ref="AB561" si="779">AB554/AB555</f>
        <v>1</v>
      </c>
    </row>
    <row r="562" spans="1:28" x14ac:dyDescent="0.2">
      <c r="A562" s="25"/>
      <c r="C562" s="38"/>
      <c r="E562" s="38"/>
      <c r="L562" s="246"/>
    </row>
    <row r="563" spans="1:28" x14ac:dyDescent="0.2">
      <c r="A563" s="151" t="s">
        <v>143</v>
      </c>
      <c r="B563" t="s">
        <v>138</v>
      </c>
      <c r="C563" s="38">
        <f>C556*C$560*C$561</f>
        <v>132451.60500000001</v>
      </c>
      <c r="D563" s="38">
        <f t="shared" ref="D563:K563" si="780">D556*D$560*D$561</f>
        <v>168300.82063276973</v>
      </c>
      <c r="E563" s="38">
        <f t="shared" si="780"/>
        <v>225304.94503514905</v>
      </c>
      <c r="F563" s="38">
        <f t="shared" si="780"/>
        <v>233980.29587172283</v>
      </c>
      <c r="G563" s="38">
        <f t="shared" si="780"/>
        <v>249510.21787642545</v>
      </c>
      <c r="H563" s="38">
        <f t="shared" si="780"/>
        <v>582523.11151806987</v>
      </c>
      <c r="I563" s="38">
        <f t="shared" si="780"/>
        <v>468595.82903692796</v>
      </c>
      <c r="J563" s="38">
        <f t="shared" si="780"/>
        <v>285322.07333642372</v>
      </c>
      <c r="K563" s="251">
        <f t="shared" si="780"/>
        <v>466123.04408061097</v>
      </c>
      <c r="L563" s="76">
        <f t="shared" ref="L563:AA563" si="781">L556*L$560*L$561</f>
        <v>455917.55855517014</v>
      </c>
      <c r="M563" s="76">
        <f t="shared" si="781"/>
        <v>469586.59453803283</v>
      </c>
      <c r="N563" s="76">
        <f t="shared" si="781"/>
        <v>504474.97314533236</v>
      </c>
      <c r="O563" s="76">
        <f t="shared" si="781"/>
        <v>646359.69406985876</v>
      </c>
      <c r="P563" s="390">
        <f t="shared" si="781"/>
        <v>986798.29400775617</v>
      </c>
      <c r="Q563" s="76">
        <f t="shared" si="781"/>
        <v>1334361.4130115891</v>
      </c>
      <c r="R563" s="76">
        <f t="shared" si="781"/>
        <v>1488393.2946823088</v>
      </c>
      <c r="S563" s="76">
        <f t="shared" si="781"/>
        <v>1547080.8608421627</v>
      </c>
      <c r="T563" s="76">
        <f t="shared" si="781"/>
        <v>1630135.295901505</v>
      </c>
      <c r="U563" s="76">
        <f t="shared" si="781"/>
        <v>1892606.3073315413</v>
      </c>
      <c r="V563" s="76">
        <f t="shared" si="781"/>
        <v>2206501.2776798303</v>
      </c>
      <c r="W563" s="76">
        <f t="shared" si="781"/>
        <v>2744508.9064620333</v>
      </c>
      <c r="X563" s="76">
        <f t="shared" si="781"/>
        <v>3128559.5315520014</v>
      </c>
      <c r="Y563" s="76">
        <f t="shared" si="781"/>
        <v>3416706.5989970635</v>
      </c>
      <c r="Z563" s="76">
        <f t="shared" si="781"/>
        <v>3712012.5459004147</v>
      </c>
      <c r="AA563" s="76">
        <f t="shared" si="781"/>
        <v>4082927.8590744841</v>
      </c>
      <c r="AB563" s="76">
        <f t="shared" ref="AB563" si="782">AB556*AB$560*AB$561</f>
        <v>4478166.6772720283</v>
      </c>
    </row>
    <row r="564" spans="1:28" x14ac:dyDescent="0.2">
      <c r="A564" s="25"/>
      <c r="B564" t="s">
        <v>139</v>
      </c>
      <c r="C564" s="38">
        <f t="shared" ref="C564:K565" si="783">C557*C$560*C$561</f>
        <v>219853.408</v>
      </c>
      <c r="D564" s="38">
        <f t="shared" si="783"/>
        <v>227440.28061543594</v>
      </c>
      <c r="E564" s="38">
        <f t="shared" si="783"/>
        <v>428932.82852233684</v>
      </c>
      <c r="F564" s="38">
        <f t="shared" si="783"/>
        <v>441282.51713281521</v>
      </c>
      <c r="G564" s="38">
        <f t="shared" si="783"/>
        <v>528648.81047750241</v>
      </c>
      <c r="H564" s="38">
        <f t="shared" si="783"/>
        <v>1135250.8594430126</v>
      </c>
      <c r="I564" s="38">
        <f t="shared" si="783"/>
        <v>855157.74262660451</v>
      </c>
      <c r="J564" s="38">
        <f t="shared" si="783"/>
        <v>439310.98042404343</v>
      </c>
      <c r="K564" s="251">
        <f t="shared" si="783"/>
        <v>743728.07786321978</v>
      </c>
      <c r="L564" s="76">
        <f t="shared" ref="L564:AA564" si="784">L557*L$560*L$561</f>
        <v>721118.99081913196</v>
      </c>
      <c r="M564" s="76">
        <f t="shared" si="784"/>
        <v>745926.85238642478</v>
      </c>
      <c r="N564" s="76">
        <f t="shared" si="784"/>
        <v>808195.30363257346</v>
      </c>
      <c r="O564" s="76">
        <f t="shared" si="784"/>
        <v>1044585.4019935898</v>
      </c>
      <c r="P564" s="390">
        <f t="shared" si="784"/>
        <v>1623504.6628250997</v>
      </c>
      <c r="Q564" s="76">
        <f t="shared" si="784"/>
        <v>2235605.1721694698</v>
      </c>
      <c r="R564" s="76">
        <f t="shared" si="784"/>
        <v>2563588.0792228989</v>
      </c>
      <c r="S564" s="76">
        <f t="shared" si="784"/>
        <v>2765224.3462043251</v>
      </c>
      <c r="T564" s="76">
        <f t="shared" si="784"/>
        <v>2886943.3838365166</v>
      </c>
      <c r="U564" s="76">
        <f t="shared" si="784"/>
        <v>3321304.6377616436</v>
      </c>
      <c r="V564" s="76">
        <f t="shared" si="784"/>
        <v>3907678.2651355425</v>
      </c>
      <c r="W564" s="76">
        <f t="shared" si="784"/>
        <v>4980736.746325247</v>
      </c>
      <c r="X564" s="76">
        <f t="shared" si="784"/>
        <v>5730774.8281007595</v>
      </c>
      <c r="Y564" s="76">
        <f t="shared" si="784"/>
        <v>6317634.8422121117</v>
      </c>
      <c r="Z564" s="76">
        <f t="shared" si="784"/>
        <v>6928419.598432105</v>
      </c>
      <c r="AA564" s="76">
        <f t="shared" si="784"/>
        <v>7632140.3990050899</v>
      </c>
      <c r="AB564" s="76">
        <f t="shared" ref="AB564" si="785">AB557*AB$560*AB$561</f>
        <v>8383488.9603834357</v>
      </c>
    </row>
    <row r="565" spans="1:28" x14ac:dyDescent="0.2">
      <c r="A565" s="25"/>
      <c r="B565" t="s">
        <v>140</v>
      </c>
      <c r="C565" s="38">
        <f t="shared" si="783"/>
        <v>80035.102835085039</v>
      </c>
      <c r="D565" s="38">
        <f t="shared" si="783"/>
        <v>88387.874750281015</v>
      </c>
      <c r="E565" s="38">
        <f t="shared" si="783"/>
        <v>105264.63138201745</v>
      </c>
      <c r="F565" s="38">
        <f t="shared" si="783"/>
        <v>75320.978725384819</v>
      </c>
      <c r="G565" s="38">
        <f t="shared" si="783"/>
        <v>142463.83087758621</v>
      </c>
      <c r="H565" s="38">
        <f t="shared" si="783"/>
        <v>22216.934944283141</v>
      </c>
      <c r="I565" s="38">
        <f t="shared" si="783"/>
        <v>0</v>
      </c>
      <c r="J565" s="38">
        <f t="shared" si="783"/>
        <v>9575.7029647326253</v>
      </c>
      <c r="K565" s="251">
        <f t="shared" si="783"/>
        <v>490026.23982952168</v>
      </c>
      <c r="L565" s="76">
        <f t="shared" ref="L565:AA565" si="786">L558*L$560*L$561</f>
        <v>572171.32015060191</v>
      </c>
      <c r="M565" s="76">
        <f t="shared" si="786"/>
        <v>695990.98791587725</v>
      </c>
      <c r="N565" s="76">
        <f t="shared" si="786"/>
        <v>856364.17068666429</v>
      </c>
      <c r="O565" s="76">
        <f t="shared" si="786"/>
        <v>95181.563308893659</v>
      </c>
      <c r="P565" s="390">
        <f t="shared" si="786"/>
        <v>866395.70235390856</v>
      </c>
      <c r="Q565" s="76">
        <f t="shared" si="786"/>
        <v>1526133.874934528</v>
      </c>
      <c r="R565" s="76">
        <f t="shared" si="786"/>
        <v>1346596.7037289718</v>
      </c>
      <c r="S565" s="76">
        <f t="shared" si="786"/>
        <v>1384065.2459852272</v>
      </c>
      <c r="T565" s="76">
        <f t="shared" si="786"/>
        <v>1457475.6964725128</v>
      </c>
      <c r="U565" s="76">
        <f t="shared" si="786"/>
        <v>1661657.2496009227</v>
      </c>
      <c r="V565" s="76">
        <f t="shared" si="786"/>
        <v>1830908.5518730804</v>
      </c>
      <c r="W565" s="76">
        <f t="shared" si="786"/>
        <v>2407466.7726662643</v>
      </c>
      <c r="X565" s="76">
        <f t="shared" si="786"/>
        <v>1793947.6886326305</v>
      </c>
      <c r="Y565" s="76">
        <f t="shared" si="786"/>
        <v>1696525.1468304726</v>
      </c>
      <c r="Z565" s="76">
        <f t="shared" si="786"/>
        <v>2108516.7242950485</v>
      </c>
      <c r="AA565" s="76">
        <f t="shared" si="786"/>
        <v>2171006.9730547816</v>
      </c>
      <c r="AB565" s="76">
        <f t="shared" ref="AB565" si="787">AB558*AB$560*AB$561</f>
        <v>726702.15250080265</v>
      </c>
    </row>
    <row r="566" spans="1:28" x14ac:dyDescent="0.2">
      <c r="A566" s="25"/>
      <c r="B566" s="161" t="s">
        <v>145</v>
      </c>
      <c r="C566" s="38">
        <f>SUM(C563:C565)</f>
        <v>432340.11583508505</v>
      </c>
      <c r="D566" s="38">
        <f t="shared" ref="D566:K566" si="788">SUM(D563:D565)</f>
        <v>484128.97599848663</v>
      </c>
      <c r="E566" s="38">
        <f t="shared" si="788"/>
        <v>759502.40493950341</v>
      </c>
      <c r="F566" s="38">
        <f t="shared" si="788"/>
        <v>750583.79172992287</v>
      </c>
      <c r="G566" s="38">
        <f t="shared" si="788"/>
        <v>920622.85923151416</v>
      </c>
      <c r="H566" s="38">
        <f t="shared" si="788"/>
        <v>1739990.9059053657</v>
      </c>
      <c r="I566" s="38">
        <f t="shared" si="788"/>
        <v>1323753.5716635324</v>
      </c>
      <c r="J566" s="38">
        <f t="shared" si="788"/>
        <v>734208.75672519975</v>
      </c>
      <c r="K566" s="251">
        <f t="shared" si="788"/>
        <v>1699877.3617733524</v>
      </c>
      <c r="L566" s="76">
        <f t="shared" ref="L566:AA566" si="789">SUM(L563:L565)</f>
        <v>1749207.8695249041</v>
      </c>
      <c r="M566" s="76">
        <f t="shared" si="789"/>
        <v>1911504.4348403348</v>
      </c>
      <c r="N566" s="76">
        <f t="shared" si="789"/>
        <v>2169034.4474645704</v>
      </c>
      <c r="O566" s="76">
        <f t="shared" si="789"/>
        <v>1786126.6593723423</v>
      </c>
      <c r="P566" s="390">
        <f t="shared" si="789"/>
        <v>3476698.6591867646</v>
      </c>
      <c r="Q566" s="76">
        <f t="shared" si="789"/>
        <v>5096100.4601155873</v>
      </c>
      <c r="R566" s="76">
        <f t="shared" si="789"/>
        <v>5398578.07763418</v>
      </c>
      <c r="S566" s="76">
        <f t="shared" si="789"/>
        <v>5696370.453031715</v>
      </c>
      <c r="T566" s="76">
        <f t="shared" si="789"/>
        <v>5974554.376210534</v>
      </c>
      <c r="U566" s="76">
        <f t="shared" si="789"/>
        <v>6875568.1946941074</v>
      </c>
      <c r="V566" s="76">
        <f t="shared" si="789"/>
        <v>7945088.0946884528</v>
      </c>
      <c r="W566" s="76">
        <f t="shared" si="789"/>
        <v>10132712.425453544</v>
      </c>
      <c r="X566" s="76">
        <f t="shared" si="789"/>
        <v>10653282.048285391</v>
      </c>
      <c r="Y566" s="76">
        <f t="shared" si="789"/>
        <v>11430866.588039648</v>
      </c>
      <c r="Z566" s="76">
        <f t="shared" si="789"/>
        <v>12748948.868627569</v>
      </c>
      <c r="AA566" s="76">
        <f t="shared" si="789"/>
        <v>13886075.231134355</v>
      </c>
      <c r="AB566" s="76">
        <f t="shared" ref="AB566" si="790">SUM(AB563:AB565)</f>
        <v>13588357.790156266</v>
      </c>
    </row>
    <row r="567" spans="1:28" x14ac:dyDescent="0.2">
      <c r="A567" s="25"/>
      <c r="C567" s="38"/>
      <c r="E567" s="38"/>
      <c r="L567" s="246"/>
    </row>
    <row r="568" spans="1:28" x14ac:dyDescent="0.2">
      <c r="A568" s="25"/>
      <c r="B568" s="137" t="s">
        <v>97</v>
      </c>
      <c r="C568" s="38">
        <f>SUM(C569:C571)</f>
        <v>432340.11583508505</v>
      </c>
      <c r="D568" s="38">
        <f t="shared" ref="D568:K568" si="791">SUM(D569:D571)</f>
        <v>484128.9759984868</v>
      </c>
      <c r="E568" s="38">
        <f t="shared" si="791"/>
        <v>759502.40493950341</v>
      </c>
      <c r="F568" s="38">
        <f t="shared" si="791"/>
        <v>750583.79172992287</v>
      </c>
      <c r="G568" s="38">
        <f t="shared" si="791"/>
        <v>920622.85923151369</v>
      </c>
      <c r="H568" s="38">
        <f t="shared" si="791"/>
        <v>6783.9638326450622</v>
      </c>
      <c r="I568" s="38">
        <f t="shared" si="791"/>
        <v>656758.45441008266</v>
      </c>
      <c r="J568" s="38">
        <f t="shared" si="791"/>
        <v>1459785.0722324604</v>
      </c>
      <c r="K568" s="251">
        <f t="shared" si="791"/>
        <v>1678914.2122388673</v>
      </c>
      <c r="L568" s="76">
        <f t="shared" ref="L568:AA568" si="792">SUM(L569:L571)</f>
        <v>2465567.4858400784</v>
      </c>
      <c r="M568" s="76">
        <f t="shared" si="792"/>
        <v>3440622.2133887946</v>
      </c>
      <c r="N568" s="76">
        <f t="shared" si="792"/>
        <v>4615000.3503416395</v>
      </c>
      <c r="O568" s="76">
        <f t="shared" si="792"/>
        <v>3308792.2182979337</v>
      </c>
      <c r="P568" s="390">
        <f t="shared" si="792"/>
        <v>3627814.6144821085</v>
      </c>
      <c r="Q568" s="76">
        <f t="shared" si="792"/>
        <v>3460469.9342496451</v>
      </c>
      <c r="R568" s="76">
        <f t="shared" si="792"/>
        <v>3754866.6123364903</v>
      </c>
      <c r="S568" s="76">
        <f t="shared" si="792"/>
        <v>4473200.4203190152</v>
      </c>
      <c r="T568" s="76">
        <f t="shared" si="792"/>
        <v>5335816.8902867017</v>
      </c>
      <c r="U568" s="76">
        <f t="shared" si="792"/>
        <v>5730434.4707946591</v>
      </c>
      <c r="V568" s="76">
        <f t="shared" si="792"/>
        <v>5995135.4069166332</v>
      </c>
      <c r="W568" s="76">
        <f t="shared" si="792"/>
        <v>5720043.6270160787</v>
      </c>
      <c r="X568" s="76">
        <f t="shared" si="792"/>
        <v>5736382.6413844405</v>
      </c>
      <c r="Y568" s="76">
        <f t="shared" si="792"/>
        <v>6155082.0089444248</v>
      </c>
      <c r="Z568" s="76">
        <f t="shared" si="792"/>
        <v>6864818.6215686891</v>
      </c>
      <c r="AA568" s="76">
        <f t="shared" si="792"/>
        <v>7477117.4321492668</v>
      </c>
      <c r="AB568" s="76">
        <f t="shared" ref="AB568" si="793">SUM(AB569:AB571)</f>
        <v>7316808.0408533746</v>
      </c>
    </row>
    <row r="569" spans="1:28" x14ac:dyDescent="0.2">
      <c r="A569" s="25"/>
      <c r="B569" t="s">
        <v>138</v>
      </c>
      <c r="C569" s="38">
        <f>C556-C563</f>
        <v>132451.60500000001</v>
      </c>
      <c r="D569" s="38">
        <f t="shared" ref="D569:K569" si="794">D556-D563</f>
        <v>168300.82063276978</v>
      </c>
      <c r="E569" s="38">
        <f t="shared" si="794"/>
        <v>225304.94503514905</v>
      </c>
      <c r="F569" s="38">
        <f t="shared" si="794"/>
        <v>233980.29587172283</v>
      </c>
      <c r="G569" s="38">
        <f t="shared" si="794"/>
        <v>249510.21787642533</v>
      </c>
      <c r="H569" s="38">
        <f t="shared" si="794"/>
        <v>2271.1703301473754</v>
      </c>
      <c r="I569" s="38">
        <f t="shared" si="794"/>
        <v>232486.07521002268</v>
      </c>
      <c r="J569" s="38">
        <f t="shared" si="794"/>
        <v>567289.47948358231</v>
      </c>
      <c r="K569" s="251">
        <f t="shared" si="794"/>
        <v>460374.74288296606</v>
      </c>
      <c r="L569" s="76">
        <f t="shared" ref="L569:AA569" si="795">L556-L563</f>
        <v>642631.17504869727</v>
      </c>
      <c r="M569" s="76">
        <f t="shared" si="795"/>
        <v>845234.79978852766</v>
      </c>
      <c r="N569" s="76">
        <f t="shared" si="795"/>
        <v>1073358.7843778711</v>
      </c>
      <c r="O569" s="76">
        <f t="shared" si="795"/>
        <v>1197378.6487859297</v>
      </c>
      <c r="P569" s="390">
        <f t="shared" si="795"/>
        <v>1029689.8361000695</v>
      </c>
      <c r="Q569" s="76">
        <f t="shared" si="795"/>
        <v>906088.40765371127</v>
      </c>
      <c r="R569" s="76">
        <f t="shared" si="795"/>
        <v>1035220.4243153695</v>
      </c>
      <c r="S569" s="76">
        <f t="shared" si="795"/>
        <v>1214879.3365964284</v>
      </c>
      <c r="T569" s="76">
        <f t="shared" si="795"/>
        <v>1455858.1105157982</v>
      </c>
      <c r="U569" s="76">
        <f t="shared" si="795"/>
        <v>1577390.5684690203</v>
      </c>
      <c r="V569" s="76">
        <f t="shared" si="795"/>
        <v>1664962.5249679321</v>
      </c>
      <c r="W569" s="76">
        <f t="shared" si="795"/>
        <v>1549309.8018119605</v>
      </c>
      <c r="X569" s="76">
        <f t="shared" si="795"/>
        <v>1684608.9785280009</v>
      </c>
      <c r="Y569" s="76">
        <f t="shared" si="795"/>
        <v>1839765.0917676496</v>
      </c>
      <c r="Z569" s="76">
        <f t="shared" si="795"/>
        <v>1998775.986254069</v>
      </c>
      <c r="AA569" s="76">
        <f t="shared" si="795"/>
        <v>2198499.6164247221</v>
      </c>
      <c r="AB569" s="76">
        <f t="shared" ref="AB569" si="796">AB556-AB563</f>
        <v>2411320.5185310924</v>
      </c>
    </row>
    <row r="570" spans="1:28" x14ac:dyDescent="0.2">
      <c r="A570" s="25"/>
      <c r="B570" t="s">
        <v>139</v>
      </c>
      <c r="C570" s="38">
        <f t="shared" ref="C570:K571" si="797">C557-C564</f>
        <v>219853.408</v>
      </c>
      <c r="D570" s="38">
        <f t="shared" si="797"/>
        <v>227440.280615436</v>
      </c>
      <c r="E570" s="38">
        <f t="shared" si="797"/>
        <v>428932.82852233684</v>
      </c>
      <c r="F570" s="38">
        <f t="shared" si="797"/>
        <v>441282.51713281521</v>
      </c>
      <c r="G570" s="38">
        <f t="shared" si="797"/>
        <v>528648.81047750218</v>
      </c>
      <c r="H570" s="38">
        <f t="shared" si="797"/>
        <v>4426.1730019981042</v>
      </c>
      <c r="I570" s="38">
        <f t="shared" si="797"/>
        <v>424272.37920006004</v>
      </c>
      <c r="J570" s="38">
        <f t="shared" si="797"/>
        <v>873456.77290914045</v>
      </c>
      <c r="K570" s="251">
        <f t="shared" si="797"/>
        <v>734556.30861689185</v>
      </c>
      <c r="L570" s="76">
        <f t="shared" ref="L570:AA570" si="798">L557-L564</f>
        <v>1016441.5380022095</v>
      </c>
      <c r="M570" s="76">
        <f t="shared" si="798"/>
        <v>1342634.8645109418</v>
      </c>
      <c r="N570" s="76">
        <f t="shared" si="798"/>
        <v>1719576.936073404</v>
      </c>
      <c r="O570" s="76">
        <f t="shared" si="798"/>
        <v>1935090.1187929097</v>
      </c>
      <c r="P570" s="390">
        <f t="shared" si="798"/>
        <v>1694070.8758044685</v>
      </c>
      <c r="Q570" s="76">
        <f t="shared" si="798"/>
        <v>1518071.4241590877</v>
      </c>
      <c r="R570" s="76">
        <f t="shared" si="798"/>
        <v>1783049.3785645626</v>
      </c>
      <c r="S570" s="76">
        <f t="shared" si="798"/>
        <v>2171453.3508146987</v>
      </c>
      <c r="T570" s="76">
        <f t="shared" si="798"/>
        <v>2578301.2922457852</v>
      </c>
      <c r="U570" s="76">
        <f t="shared" si="798"/>
        <v>2768137.5626420132</v>
      </c>
      <c r="V570" s="76">
        <f t="shared" si="798"/>
        <v>2948621.8462214908</v>
      </c>
      <c r="W570" s="76">
        <f t="shared" si="798"/>
        <v>2811688.5476878919</v>
      </c>
      <c r="X570" s="76">
        <f t="shared" si="798"/>
        <v>3085801.8305157926</v>
      </c>
      <c r="Y570" s="76">
        <f t="shared" si="798"/>
        <v>3401803.3765757522</v>
      </c>
      <c r="Z570" s="76">
        <f t="shared" si="798"/>
        <v>3730687.4760788251</v>
      </c>
      <c r="AA570" s="76">
        <f t="shared" si="798"/>
        <v>4109614.0610027397</v>
      </c>
      <c r="AB570" s="76">
        <f t="shared" ref="AB570" si="799">AB557-AB564</f>
        <v>4514186.3632833883</v>
      </c>
    </row>
    <row r="571" spans="1:28" x14ac:dyDescent="0.2">
      <c r="A571" s="25"/>
      <c r="B571" t="s">
        <v>140</v>
      </c>
      <c r="C571" s="38">
        <f t="shared" si="797"/>
        <v>80035.102835085039</v>
      </c>
      <c r="D571" s="38">
        <f t="shared" si="797"/>
        <v>88387.874750281044</v>
      </c>
      <c r="E571" s="38">
        <f t="shared" si="797"/>
        <v>105264.63138201745</v>
      </c>
      <c r="F571" s="38">
        <f t="shared" si="797"/>
        <v>75320.978725384819</v>
      </c>
      <c r="G571" s="38">
        <f t="shared" si="797"/>
        <v>142463.83087758615</v>
      </c>
      <c r="H571" s="38">
        <f t="shared" si="797"/>
        <v>86.620500499582704</v>
      </c>
      <c r="I571" s="38">
        <f t="shared" si="797"/>
        <v>0</v>
      </c>
      <c r="J571" s="38">
        <f t="shared" si="797"/>
        <v>19038.819839737582</v>
      </c>
      <c r="K571" s="251">
        <f t="shared" si="797"/>
        <v>483983.16073900933</v>
      </c>
      <c r="L571" s="76">
        <f t="shared" ref="L571:AA571" si="800">L558-L565</f>
        <v>806494.77278917143</v>
      </c>
      <c r="M571" s="76">
        <f t="shared" si="800"/>
        <v>1252752.5490893251</v>
      </c>
      <c r="N571" s="76">
        <f t="shared" si="800"/>
        <v>1822064.6298903648</v>
      </c>
      <c r="O571" s="76">
        <f t="shared" si="800"/>
        <v>176323.45071909419</v>
      </c>
      <c r="P571" s="390">
        <f t="shared" si="800"/>
        <v>904053.90257757052</v>
      </c>
      <c r="Q571" s="76">
        <f t="shared" si="800"/>
        <v>1036310.1024368461</v>
      </c>
      <c r="R571" s="76">
        <f t="shared" si="800"/>
        <v>936596.80945655773</v>
      </c>
      <c r="S571" s="76">
        <f t="shared" si="800"/>
        <v>1086867.732907888</v>
      </c>
      <c r="T571" s="76">
        <f t="shared" si="800"/>
        <v>1301657.4875251187</v>
      </c>
      <c r="U571" s="76">
        <f t="shared" si="800"/>
        <v>1384906.3396836263</v>
      </c>
      <c r="V571" s="76">
        <f t="shared" si="800"/>
        <v>1381551.0357272108</v>
      </c>
      <c r="W571" s="76">
        <f t="shared" si="800"/>
        <v>1359045.2775162267</v>
      </c>
      <c r="X571" s="76">
        <f t="shared" si="800"/>
        <v>965971.83234064723</v>
      </c>
      <c r="Y571" s="76">
        <f t="shared" si="800"/>
        <v>913513.54060102347</v>
      </c>
      <c r="Z571" s="76">
        <f t="shared" si="800"/>
        <v>1135355.159235795</v>
      </c>
      <c r="AA571" s="76">
        <f t="shared" si="800"/>
        <v>1169003.7547218055</v>
      </c>
      <c r="AB571" s="76">
        <f t="shared" ref="AB571" si="801">AB558-AB565</f>
        <v>391301.15903889365</v>
      </c>
    </row>
    <row r="572" spans="1:28" s="25" customFormat="1" x14ac:dyDescent="0.2">
      <c r="B572"/>
      <c r="K572" s="249"/>
      <c r="L572" s="84"/>
      <c r="P572" s="388"/>
    </row>
    <row r="573" spans="1:28" x14ac:dyDescent="0.2">
      <c r="A573" s="151" t="s">
        <v>98</v>
      </c>
      <c r="B573" t="s">
        <v>144</v>
      </c>
      <c r="C573" s="163">
        <f>C554-C566</f>
        <v>432340.11583508505</v>
      </c>
      <c r="D573" s="163">
        <f t="shared" ref="D573:K573" si="802">D554-D566</f>
        <v>484128.97599848686</v>
      </c>
      <c r="E573" s="163">
        <f t="shared" si="802"/>
        <v>759502.40493950341</v>
      </c>
      <c r="F573" s="163">
        <f t="shared" si="802"/>
        <v>750583.79172992287</v>
      </c>
      <c r="G573" s="163">
        <f t="shared" si="802"/>
        <v>920622.85923151369</v>
      </c>
      <c r="H573" s="163">
        <f t="shared" si="802"/>
        <v>0</v>
      </c>
      <c r="I573" s="163">
        <f t="shared" si="802"/>
        <v>0</v>
      </c>
      <c r="J573" s="163">
        <f t="shared" si="802"/>
        <v>973253.4682171254</v>
      </c>
      <c r="K573" s="270">
        <f t="shared" si="802"/>
        <v>915318.57941642054</v>
      </c>
      <c r="L573" s="229">
        <f t="shared" ref="L573:AA573" si="803">L554-L566</f>
        <v>941881.16051340941</v>
      </c>
      <c r="M573" s="229">
        <f t="shared" si="803"/>
        <v>1029271.6187601804</v>
      </c>
      <c r="N573" s="229">
        <f t="shared" si="803"/>
        <v>1167941.6255578455</v>
      </c>
      <c r="O573" s="229">
        <f t="shared" si="803"/>
        <v>961760.50889279926</v>
      </c>
      <c r="P573" s="414">
        <f t="shared" si="803"/>
        <v>1872068.5087928725</v>
      </c>
      <c r="Q573" s="229">
        <f t="shared" si="803"/>
        <v>2744054.0939083928</v>
      </c>
      <c r="R573" s="229">
        <f t="shared" si="803"/>
        <v>2906926.6571876332</v>
      </c>
      <c r="S573" s="229">
        <f t="shared" si="803"/>
        <v>3067276.3977863081</v>
      </c>
      <c r="T573" s="229">
        <f t="shared" si="803"/>
        <v>3217067.7410364421</v>
      </c>
      <c r="U573" s="229">
        <f t="shared" si="803"/>
        <v>3702229.0279122107</v>
      </c>
      <c r="V573" s="229">
        <f t="shared" si="803"/>
        <v>4278124.3586783968</v>
      </c>
      <c r="W573" s="229">
        <f t="shared" si="803"/>
        <v>5456075.9213980623</v>
      </c>
      <c r="X573" s="229">
        <f t="shared" si="803"/>
        <v>5736382.6413844414</v>
      </c>
      <c r="Y573" s="229">
        <f t="shared" si="803"/>
        <v>6155082.0089444257</v>
      </c>
      <c r="Z573" s="229">
        <f t="shared" si="803"/>
        <v>6864818.6215686891</v>
      </c>
      <c r="AA573" s="229">
        <f t="shared" si="803"/>
        <v>7477117.4321492687</v>
      </c>
      <c r="AB573" s="229">
        <f t="shared" ref="AB573" si="804">AB554-AB566</f>
        <v>7316808.0408533756</v>
      </c>
    </row>
    <row r="574" spans="1:28" x14ac:dyDescent="0.2">
      <c r="A574" s="25"/>
      <c r="B574" t="s">
        <v>138</v>
      </c>
      <c r="C574" s="27">
        <f>MIN(C573,C569)</f>
        <v>132451.60500000001</v>
      </c>
      <c r="D574" s="27">
        <f t="shared" ref="D574:K574" si="805">MIN(D573,D569)</f>
        <v>168300.82063276978</v>
      </c>
      <c r="E574" s="27">
        <f t="shared" si="805"/>
        <v>225304.94503514905</v>
      </c>
      <c r="F574" s="27">
        <f t="shared" si="805"/>
        <v>233980.29587172283</v>
      </c>
      <c r="G574" s="27">
        <f t="shared" si="805"/>
        <v>249510.21787642533</v>
      </c>
      <c r="H574" s="27">
        <f t="shared" si="805"/>
        <v>0</v>
      </c>
      <c r="I574" s="27">
        <f t="shared" si="805"/>
        <v>0</v>
      </c>
      <c r="J574" s="27">
        <f t="shared" si="805"/>
        <v>567289.47948358231</v>
      </c>
      <c r="K574" s="252">
        <f t="shared" si="805"/>
        <v>460374.74288296606</v>
      </c>
      <c r="L574" s="27">
        <f t="shared" ref="L574:AA574" si="806">MIN(L573,L569)</f>
        <v>642631.17504869727</v>
      </c>
      <c r="M574" s="27">
        <f t="shared" si="806"/>
        <v>845234.79978852766</v>
      </c>
      <c r="N574" s="27">
        <f t="shared" si="806"/>
        <v>1073358.7843778711</v>
      </c>
      <c r="O574" s="27">
        <f t="shared" si="806"/>
        <v>961760.50889279926</v>
      </c>
      <c r="P574" s="391">
        <f t="shared" si="806"/>
        <v>1029689.8361000695</v>
      </c>
      <c r="Q574" s="27">
        <f t="shared" si="806"/>
        <v>906088.40765371127</v>
      </c>
      <c r="R574" s="27">
        <f t="shared" si="806"/>
        <v>1035220.4243153695</v>
      </c>
      <c r="S574" s="27">
        <f t="shared" si="806"/>
        <v>1214879.3365964284</v>
      </c>
      <c r="T574" s="27">
        <f t="shared" si="806"/>
        <v>1455858.1105157982</v>
      </c>
      <c r="U574" s="27">
        <f t="shared" si="806"/>
        <v>1577390.5684690203</v>
      </c>
      <c r="V574" s="27">
        <f t="shared" si="806"/>
        <v>1664962.5249679321</v>
      </c>
      <c r="W574" s="27">
        <f t="shared" si="806"/>
        <v>1549309.8018119605</v>
      </c>
      <c r="X574" s="27">
        <f t="shared" si="806"/>
        <v>1684608.9785280009</v>
      </c>
      <c r="Y574" s="27">
        <f t="shared" si="806"/>
        <v>1839765.0917676496</v>
      </c>
      <c r="Z574" s="27">
        <f t="shared" si="806"/>
        <v>1998775.986254069</v>
      </c>
      <c r="AA574" s="27">
        <f t="shared" si="806"/>
        <v>2198499.6164247221</v>
      </c>
      <c r="AB574" s="27">
        <f t="shared" ref="AB574" si="807">MIN(AB573,AB569)</f>
        <v>2411320.5185310924</v>
      </c>
    </row>
    <row r="575" spans="1:28" x14ac:dyDescent="0.2">
      <c r="A575" s="25"/>
      <c r="B575" t="s">
        <v>139</v>
      </c>
      <c r="C575" s="77">
        <f>MIN(C573-C574,C570)</f>
        <v>219853.408</v>
      </c>
      <c r="D575" s="77">
        <f t="shared" ref="D575:K575" si="808">MIN(D573-D574,D570)</f>
        <v>227440.280615436</v>
      </c>
      <c r="E575" s="77">
        <f t="shared" si="808"/>
        <v>428932.82852233684</v>
      </c>
      <c r="F575" s="77">
        <f t="shared" si="808"/>
        <v>441282.51713281521</v>
      </c>
      <c r="G575" s="77">
        <f t="shared" si="808"/>
        <v>528648.81047750218</v>
      </c>
      <c r="H575" s="77">
        <f t="shared" si="808"/>
        <v>0</v>
      </c>
      <c r="I575" s="77">
        <f t="shared" si="808"/>
        <v>0</v>
      </c>
      <c r="J575" s="77">
        <f t="shared" si="808"/>
        <v>405963.98873354308</v>
      </c>
      <c r="K575" s="257">
        <f t="shared" si="808"/>
        <v>454943.83653345448</v>
      </c>
      <c r="L575" s="77">
        <f t="shared" ref="L575:AA575" si="809">MIN(L573-L574,L570)</f>
        <v>299249.98546471214</v>
      </c>
      <c r="M575" s="77">
        <f t="shared" si="809"/>
        <v>184036.81897165277</v>
      </c>
      <c r="N575" s="77">
        <f t="shared" si="809"/>
        <v>94582.841179974377</v>
      </c>
      <c r="O575" s="77">
        <f t="shared" si="809"/>
        <v>0</v>
      </c>
      <c r="P575" s="396">
        <f t="shared" si="809"/>
        <v>842378.67269280308</v>
      </c>
      <c r="Q575" s="77">
        <f t="shared" si="809"/>
        <v>1518071.4241590877</v>
      </c>
      <c r="R575" s="77">
        <f t="shared" si="809"/>
        <v>1783049.3785645626</v>
      </c>
      <c r="S575" s="77">
        <f t="shared" si="809"/>
        <v>1852397.0611898797</v>
      </c>
      <c r="T575" s="77">
        <f t="shared" si="809"/>
        <v>1761209.6305206439</v>
      </c>
      <c r="U575" s="77">
        <f t="shared" si="809"/>
        <v>2124838.4594431901</v>
      </c>
      <c r="V575" s="77">
        <f t="shared" si="809"/>
        <v>2613161.8337104646</v>
      </c>
      <c r="W575" s="77">
        <f t="shared" si="809"/>
        <v>2811688.5476878919</v>
      </c>
      <c r="X575" s="77">
        <f t="shared" si="809"/>
        <v>3085801.8305157926</v>
      </c>
      <c r="Y575" s="77">
        <f t="shared" si="809"/>
        <v>3401803.3765757522</v>
      </c>
      <c r="Z575" s="77">
        <f t="shared" si="809"/>
        <v>3730687.4760788251</v>
      </c>
      <c r="AA575" s="77">
        <f t="shared" si="809"/>
        <v>4109614.0610027397</v>
      </c>
      <c r="AB575" s="77">
        <f t="shared" ref="AB575" si="810">MIN(AB573-AB574,AB570)</f>
        <v>4514186.3632833883</v>
      </c>
    </row>
    <row r="576" spans="1:28" x14ac:dyDescent="0.2">
      <c r="A576" s="25"/>
      <c r="B576" t="s">
        <v>140</v>
      </c>
      <c r="C576" s="27">
        <f>MIN(C573-C574-C575,C571)</f>
        <v>80035.102835085039</v>
      </c>
      <c r="D576" s="27">
        <f t="shared" ref="D576:K576" si="811">MIN(D573-D574-D575,D571)</f>
        <v>88387.874750281044</v>
      </c>
      <c r="E576" s="27">
        <f t="shared" si="811"/>
        <v>105264.63138201745</v>
      </c>
      <c r="F576" s="27">
        <f t="shared" si="811"/>
        <v>75320.978725384804</v>
      </c>
      <c r="G576" s="27">
        <f t="shared" si="811"/>
        <v>142463.83087758615</v>
      </c>
      <c r="H576" s="27">
        <f t="shared" si="811"/>
        <v>0</v>
      </c>
      <c r="I576" s="27">
        <f t="shared" si="811"/>
        <v>0</v>
      </c>
      <c r="J576" s="27">
        <f t="shared" si="811"/>
        <v>0</v>
      </c>
      <c r="K576" s="252">
        <f t="shared" si="811"/>
        <v>0</v>
      </c>
      <c r="L576" s="27">
        <f t="shared" ref="L576:AA576" si="812">MIN(L573-L574-L575,L571)</f>
        <v>0</v>
      </c>
      <c r="M576" s="27">
        <f t="shared" si="812"/>
        <v>0</v>
      </c>
      <c r="N576" s="27">
        <f t="shared" si="812"/>
        <v>0</v>
      </c>
      <c r="O576" s="27">
        <f t="shared" si="812"/>
        <v>0</v>
      </c>
      <c r="P576" s="391">
        <f t="shared" si="812"/>
        <v>0</v>
      </c>
      <c r="Q576" s="27">
        <f t="shared" si="812"/>
        <v>319894.26209559385</v>
      </c>
      <c r="R576" s="27">
        <f t="shared" si="812"/>
        <v>88656.854307701113</v>
      </c>
      <c r="S576" s="27">
        <f t="shared" si="812"/>
        <v>0</v>
      </c>
      <c r="T576" s="27">
        <f t="shared" si="812"/>
        <v>0</v>
      </c>
      <c r="U576" s="27">
        <f t="shared" si="812"/>
        <v>0</v>
      </c>
      <c r="V576" s="27">
        <f t="shared" si="812"/>
        <v>0</v>
      </c>
      <c r="W576" s="27">
        <f t="shared" si="812"/>
        <v>1095077.5718982099</v>
      </c>
      <c r="X576" s="27">
        <f t="shared" si="812"/>
        <v>965971.83234064723</v>
      </c>
      <c r="Y576" s="27">
        <f t="shared" si="812"/>
        <v>913513.54060102347</v>
      </c>
      <c r="Z576" s="27">
        <f t="shared" si="812"/>
        <v>1135355.159235795</v>
      </c>
      <c r="AA576" s="27">
        <f t="shared" si="812"/>
        <v>1169003.7547218055</v>
      </c>
      <c r="AB576" s="27">
        <f t="shared" ref="AB576" si="813">MIN(AB573-AB574-AB575,AB571)</f>
        <v>391301.15903889365</v>
      </c>
    </row>
    <row r="577" spans="1:28" x14ac:dyDescent="0.2">
      <c r="A577" s="25"/>
      <c r="C577" s="27"/>
      <c r="D577" s="27"/>
      <c r="E577" s="27"/>
      <c r="F577" s="27"/>
      <c r="G577" s="27"/>
      <c r="H577" s="27"/>
      <c r="I577" s="27"/>
      <c r="J577" s="27"/>
      <c r="K577" s="252"/>
      <c r="M577" s="76"/>
      <c r="N577" s="76"/>
      <c r="O577" s="76"/>
      <c r="P577" s="390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</row>
    <row r="578" spans="1:28" x14ac:dyDescent="0.2">
      <c r="A578" s="25"/>
      <c r="B578" s="159" t="s">
        <v>146</v>
      </c>
      <c r="C578" s="27"/>
      <c r="D578" s="27"/>
      <c r="E578" s="27"/>
      <c r="F578" s="27"/>
      <c r="G578" s="27"/>
      <c r="H578" s="27"/>
      <c r="I578" s="27"/>
      <c r="J578" s="27"/>
      <c r="K578" s="252"/>
      <c r="M578" s="76"/>
      <c r="N578" s="76"/>
      <c r="O578" s="76"/>
      <c r="P578" s="390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</row>
    <row r="579" spans="1:28" x14ac:dyDescent="0.2">
      <c r="A579" s="25"/>
      <c r="B579" t="s">
        <v>138</v>
      </c>
      <c r="C579" s="27">
        <f>C563+C574</f>
        <v>264903.21000000002</v>
      </c>
      <c r="D579" s="27">
        <f t="shared" ref="D579:K579" si="814">D563+D574</f>
        <v>336601.64126553951</v>
      </c>
      <c r="E579" s="27">
        <f t="shared" si="814"/>
        <v>450609.8900702981</v>
      </c>
      <c r="F579" s="27">
        <f t="shared" si="814"/>
        <v>467960.59174344566</v>
      </c>
      <c r="G579" s="27">
        <f t="shared" si="814"/>
        <v>499020.43575285078</v>
      </c>
      <c r="H579" s="27">
        <f t="shared" si="814"/>
        <v>582523.11151806987</v>
      </c>
      <c r="I579" s="27">
        <f t="shared" si="814"/>
        <v>468595.82903692796</v>
      </c>
      <c r="J579" s="27">
        <f t="shared" si="814"/>
        <v>852611.55282000604</v>
      </c>
      <c r="K579" s="252">
        <f t="shared" si="814"/>
        <v>926497.78696357703</v>
      </c>
      <c r="L579" s="27">
        <f t="shared" ref="L579:AA579" si="815">L563+L574</f>
        <v>1098548.7336038675</v>
      </c>
      <c r="M579" s="27">
        <f t="shared" si="815"/>
        <v>1314821.3943265604</v>
      </c>
      <c r="N579" s="27">
        <f t="shared" si="815"/>
        <v>1577833.7575232035</v>
      </c>
      <c r="O579" s="27">
        <f t="shared" si="815"/>
        <v>1608120.2029626579</v>
      </c>
      <c r="P579" s="391">
        <f t="shared" si="815"/>
        <v>2016488.1301078256</v>
      </c>
      <c r="Q579" s="27">
        <f t="shared" si="815"/>
        <v>2240449.8206653004</v>
      </c>
      <c r="R579" s="27">
        <f t="shared" si="815"/>
        <v>2523613.7189976783</v>
      </c>
      <c r="S579" s="27">
        <f t="shared" si="815"/>
        <v>2761960.1974385912</v>
      </c>
      <c r="T579" s="27">
        <f t="shared" si="815"/>
        <v>3085993.4064173033</v>
      </c>
      <c r="U579" s="27">
        <f t="shared" si="815"/>
        <v>3469996.8758005616</v>
      </c>
      <c r="V579" s="27">
        <f t="shared" si="815"/>
        <v>3871463.8026477625</v>
      </c>
      <c r="W579" s="27">
        <f t="shared" si="815"/>
        <v>4293818.7082739938</v>
      </c>
      <c r="X579" s="27">
        <f t="shared" si="815"/>
        <v>4813168.5100800022</v>
      </c>
      <c r="Y579" s="27">
        <f t="shared" si="815"/>
        <v>5256471.6907647131</v>
      </c>
      <c r="Z579" s="27">
        <f t="shared" si="815"/>
        <v>5710788.5321544837</v>
      </c>
      <c r="AA579" s="27">
        <f t="shared" si="815"/>
        <v>6281427.4754992062</v>
      </c>
      <c r="AB579" s="27">
        <f t="shared" ref="AB579" si="816">AB563+AB574</f>
        <v>6889487.1958031207</v>
      </c>
    </row>
    <row r="580" spans="1:28" x14ac:dyDescent="0.2">
      <c r="A580" s="25"/>
      <c r="B580" t="s">
        <v>139</v>
      </c>
      <c r="C580" s="27">
        <f t="shared" ref="C580:K581" si="817">C564+C575</f>
        <v>439706.81599999999</v>
      </c>
      <c r="D580" s="27">
        <f t="shared" si="817"/>
        <v>454880.56123087194</v>
      </c>
      <c r="E580" s="27">
        <f t="shared" si="817"/>
        <v>857865.65704467369</v>
      </c>
      <c r="F580" s="27">
        <f t="shared" si="817"/>
        <v>882565.03426563041</v>
      </c>
      <c r="G580" s="27">
        <f t="shared" si="817"/>
        <v>1057297.6209550046</v>
      </c>
      <c r="H580" s="27">
        <f t="shared" si="817"/>
        <v>1135250.8594430126</v>
      </c>
      <c r="I580" s="27">
        <f t="shared" si="817"/>
        <v>855157.74262660451</v>
      </c>
      <c r="J580" s="27">
        <f t="shared" si="817"/>
        <v>845274.96915758657</v>
      </c>
      <c r="K580" s="252">
        <f t="shared" si="817"/>
        <v>1198671.9143966744</v>
      </c>
      <c r="L580" s="27">
        <f t="shared" ref="L580:AA580" si="818">L564+L575</f>
        <v>1020368.9762838441</v>
      </c>
      <c r="M580" s="27">
        <f t="shared" si="818"/>
        <v>929963.67135807755</v>
      </c>
      <c r="N580" s="27">
        <f t="shared" si="818"/>
        <v>902778.14481254783</v>
      </c>
      <c r="O580" s="27">
        <f t="shared" si="818"/>
        <v>1044585.4019935898</v>
      </c>
      <c r="P580" s="391">
        <f t="shared" si="818"/>
        <v>2465883.3355179029</v>
      </c>
      <c r="Q580" s="27">
        <f t="shared" si="818"/>
        <v>3753676.5963285575</v>
      </c>
      <c r="R580" s="27">
        <f t="shared" si="818"/>
        <v>4346637.4577874616</v>
      </c>
      <c r="S580" s="27">
        <f t="shared" si="818"/>
        <v>4617621.4073942043</v>
      </c>
      <c r="T580" s="27">
        <f t="shared" si="818"/>
        <v>4648153.0143571608</v>
      </c>
      <c r="U580" s="27">
        <f t="shared" si="818"/>
        <v>5446143.0972048342</v>
      </c>
      <c r="V580" s="27">
        <f t="shared" si="818"/>
        <v>6520840.0988460071</v>
      </c>
      <c r="W580" s="27">
        <f t="shared" si="818"/>
        <v>7792425.2940131389</v>
      </c>
      <c r="X580" s="27">
        <f t="shared" si="818"/>
        <v>8816576.6586165521</v>
      </c>
      <c r="Y580" s="27">
        <f t="shared" si="818"/>
        <v>9719438.2187878639</v>
      </c>
      <c r="Z580" s="27">
        <f t="shared" si="818"/>
        <v>10659107.07451093</v>
      </c>
      <c r="AA580" s="27">
        <f t="shared" si="818"/>
        <v>11741754.46000783</v>
      </c>
      <c r="AB580" s="27">
        <f t="shared" ref="AB580" si="819">AB564+AB575</f>
        <v>12897675.323666824</v>
      </c>
    </row>
    <row r="581" spans="1:28" x14ac:dyDescent="0.2">
      <c r="A581" s="25"/>
      <c r="B581" t="s">
        <v>140</v>
      </c>
      <c r="C581" s="27">
        <f t="shared" si="817"/>
        <v>160070.20567017008</v>
      </c>
      <c r="D581" s="27">
        <f t="shared" si="817"/>
        <v>176775.74950056206</v>
      </c>
      <c r="E581" s="27">
        <f t="shared" si="817"/>
        <v>210529.26276403491</v>
      </c>
      <c r="F581" s="27">
        <f t="shared" si="817"/>
        <v>150641.95745076961</v>
      </c>
      <c r="G581" s="27">
        <f t="shared" si="817"/>
        <v>284927.66175517236</v>
      </c>
      <c r="H581" s="27">
        <f t="shared" si="817"/>
        <v>22216.934944283141</v>
      </c>
      <c r="I581" s="27">
        <f t="shared" si="817"/>
        <v>0</v>
      </c>
      <c r="J581" s="27">
        <f t="shared" si="817"/>
        <v>9575.7029647326253</v>
      </c>
      <c r="K581" s="252">
        <f t="shared" si="817"/>
        <v>490026.23982952168</v>
      </c>
      <c r="L581" s="27">
        <f t="shared" ref="L581:AA581" si="820">L565+L576</f>
        <v>572171.32015060191</v>
      </c>
      <c r="M581" s="27">
        <f t="shared" si="820"/>
        <v>695990.98791587725</v>
      </c>
      <c r="N581" s="27">
        <f t="shared" si="820"/>
        <v>856364.17068666429</v>
      </c>
      <c r="O581" s="27">
        <f t="shared" si="820"/>
        <v>95181.563308893659</v>
      </c>
      <c r="P581" s="391">
        <f t="shared" si="820"/>
        <v>866395.70235390856</v>
      </c>
      <c r="Q581" s="27">
        <f t="shared" si="820"/>
        <v>1846028.1370301219</v>
      </c>
      <c r="R581" s="27">
        <f t="shared" si="820"/>
        <v>1435253.5580366729</v>
      </c>
      <c r="S581" s="27">
        <f t="shared" si="820"/>
        <v>1384065.2459852272</v>
      </c>
      <c r="T581" s="27">
        <f t="shared" si="820"/>
        <v>1457475.6964725128</v>
      </c>
      <c r="U581" s="27">
        <f t="shared" si="820"/>
        <v>1661657.2496009227</v>
      </c>
      <c r="V581" s="27">
        <f t="shared" si="820"/>
        <v>1830908.5518730804</v>
      </c>
      <c r="W581" s="27">
        <f t="shared" si="820"/>
        <v>3502544.3445644742</v>
      </c>
      <c r="X581" s="27">
        <f t="shared" si="820"/>
        <v>2759919.5209732777</v>
      </c>
      <c r="Y581" s="27">
        <f t="shared" si="820"/>
        <v>2610038.6874314961</v>
      </c>
      <c r="Z581" s="27">
        <f t="shared" si="820"/>
        <v>3243871.8835308435</v>
      </c>
      <c r="AA581" s="27">
        <f t="shared" si="820"/>
        <v>3340010.727776587</v>
      </c>
      <c r="AB581" s="27">
        <f t="shared" ref="AB581" si="821">AB565+AB576</f>
        <v>1118003.3115396963</v>
      </c>
    </row>
    <row r="582" spans="1:28" x14ac:dyDescent="0.2">
      <c r="A582" s="25"/>
      <c r="C582" s="27"/>
      <c r="D582" s="27"/>
      <c r="E582" s="27"/>
      <c r="F582" s="27"/>
      <c r="G582" s="27"/>
      <c r="H582" s="27"/>
      <c r="I582" s="27"/>
      <c r="J582" s="27"/>
      <c r="K582" s="252"/>
    </row>
    <row r="583" spans="1:28" x14ac:dyDescent="0.2">
      <c r="A583" s="25"/>
      <c r="C583" s="27"/>
      <c r="D583" s="27"/>
      <c r="E583" s="27"/>
      <c r="F583" s="27"/>
      <c r="G583" s="27"/>
      <c r="H583" s="27"/>
      <c r="I583" s="27"/>
      <c r="J583" s="27"/>
      <c r="K583" s="252"/>
    </row>
    <row r="584" spans="1:28" x14ac:dyDescent="0.2">
      <c r="A584" s="157">
        <v>6</v>
      </c>
      <c r="B584" s="158" t="s">
        <v>1</v>
      </c>
      <c r="C584" s="27"/>
      <c r="D584" s="27"/>
      <c r="E584" s="27"/>
      <c r="F584" s="27"/>
      <c r="G584" s="27"/>
      <c r="H584" s="27"/>
      <c r="I584" s="27"/>
      <c r="J584" s="27"/>
      <c r="K584" s="252"/>
    </row>
    <row r="585" spans="1:28" x14ac:dyDescent="0.2">
      <c r="A585" s="25"/>
      <c r="B585" s="25" t="s">
        <v>136</v>
      </c>
      <c r="C585" s="27">
        <f>C422</f>
        <v>880487.74519669008</v>
      </c>
      <c r="D585" s="27">
        <f t="shared" ref="D585:K585" si="822">D422</f>
        <v>958683.96820074646</v>
      </c>
      <c r="E585" s="27">
        <f t="shared" si="822"/>
        <v>822786.78041201213</v>
      </c>
      <c r="F585" s="27">
        <f t="shared" si="822"/>
        <v>1205315.3835036871</v>
      </c>
      <c r="G585" s="27">
        <f t="shared" si="822"/>
        <v>2138533.906269154</v>
      </c>
      <c r="H585" s="27">
        <f t="shared" si="822"/>
        <v>2644118.0593053289</v>
      </c>
      <c r="I585" s="27">
        <f t="shared" si="822"/>
        <v>4094518.8842976405</v>
      </c>
      <c r="J585" s="27">
        <f t="shared" si="822"/>
        <v>3552181.154839376</v>
      </c>
      <c r="K585" s="252">
        <f t="shared" si="822"/>
        <v>2920870.082070143</v>
      </c>
      <c r="L585" s="27">
        <f t="shared" ref="L585:AA585" si="823">L422</f>
        <v>5868372.334886685</v>
      </c>
      <c r="M585" s="27">
        <f t="shared" si="823"/>
        <v>3446743.8440001966</v>
      </c>
      <c r="N585" s="27">
        <f t="shared" si="823"/>
        <v>7335781.5198523905</v>
      </c>
      <c r="O585" s="27">
        <f t="shared" si="823"/>
        <v>7361227.6339074457</v>
      </c>
      <c r="P585" s="391">
        <f t="shared" si="823"/>
        <v>21174541.145432256</v>
      </c>
      <c r="Q585" s="27">
        <f t="shared" si="823"/>
        <v>10665616.577831279</v>
      </c>
      <c r="R585" s="27">
        <f t="shared" si="823"/>
        <v>23057032.344557345</v>
      </c>
      <c r="S585" s="27">
        <f t="shared" si="823"/>
        <v>8849888.9575857818</v>
      </c>
      <c r="T585" s="27">
        <f t="shared" si="823"/>
        <v>13974457.166904977</v>
      </c>
      <c r="U585" s="27">
        <f t="shared" si="823"/>
        <v>15829095.117340855</v>
      </c>
      <c r="V585" s="27">
        <f t="shared" si="823"/>
        <v>32523997.195297673</v>
      </c>
      <c r="W585" s="27">
        <f t="shared" si="823"/>
        <v>17117263.677874334</v>
      </c>
      <c r="X585" s="27">
        <f t="shared" si="823"/>
        <v>35894092.1825504</v>
      </c>
      <c r="Y585" s="27">
        <f t="shared" si="823"/>
        <v>30645609.022191986</v>
      </c>
      <c r="Z585" s="27">
        <f t="shared" si="823"/>
        <v>34988577.910646141</v>
      </c>
      <c r="AA585" s="27">
        <f t="shared" si="823"/>
        <v>37638113.858379543</v>
      </c>
      <c r="AB585" s="27">
        <f t="shared" ref="AB585" si="824">AB422</f>
        <v>30764878.134105999</v>
      </c>
    </row>
    <row r="586" spans="1:28" x14ac:dyDescent="0.2">
      <c r="A586" s="25"/>
      <c r="B586" s="137" t="s">
        <v>137</v>
      </c>
      <c r="C586" s="27">
        <f>SUM(C587:C589)</f>
        <v>880487.74519669008</v>
      </c>
      <c r="D586" s="27">
        <f t="shared" ref="D586:K586" si="825">SUM(D587:D589)</f>
        <v>958683.96820074646</v>
      </c>
      <c r="E586" s="27">
        <f t="shared" si="825"/>
        <v>822786.78041201201</v>
      </c>
      <c r="F586" s="27">
        <f t="shared" si="825"/>
        <v>1205315.3835036871</v>
      </c>
      <c r="G586" s="27">
        <f t="shared" si="825"/>
        <v>2138533.906269154</v>
      </c>
      <c r="H586" s="27">
        <f t="shared" si="825"/>
        <v>2644118.0593053289</v>
      </c>
      <c r="I586" s="27">
        <f t="shared" si="825"/>
        <v>4094518.8842976401</v>
      </c>
      <c r="J586" s="27">
        <f t="shared" si="825"/>
        <v>3552181.154839376</v>
      </c>
      <c r="K586" s="252">
        <f t="shared" si="825"/>
        <v>6148179.0179580096</v>
      </c>
      <c r="L586" s="27">
        <f t="shared" ref="L586:AA586" si="826">SUM(L587:L589)</f>
        <v>9709034.2504997067</v>
      </c>
      <c r="M586" s="27">
        <f t="shared" si="826"/>
        <v>12353736.867343014</v>
      </c>
      <c r="N586" s="27">
        <f t="shared" si="826"/>
        <v>18161055.10713926</v>
      </c>
      <c r="O586" s="27">
        <f t="shared" si="826"/>
        <v>20086611.663404297</v>
      </c>
      <c r="P586" s="391">
        <f t="shared" si="826"/>
        <v>25306780.98072603</v>
      </c>
      <c r="Q586" s="27">
        <f t="shared" si="826"/>
        <v>18391084.097142804</v>
      </c>
      <c r="R586" s="27">
        <f t="shared" si="826"/>
        <v>23057032.344557345</v>
      </c>
      <c r="S586" s="27">
        <f t="shared" si="826"/>
        <v>16900803.76224307</v>
      </c>
      <c r="T586" s="27">
        <f t="shared" si="826"/>
        <v>23743970.463297743</v>
      </c>
      <c r="U586" s="27">
        <f t="shared" si="826"/>
        <v>28565336.083152011</v>
      </c>
      <c r="V586" s="27">
        <f t="shared" si="826"/>
        <v>33493079.127580013</v>
      </c>
      <c r="W586" s="27">
        <f t="shared" si="826"/>
        <v>26538366.049812853</v>
      </c>
      <c r="X586" s="27">
        <f t="shared" si="826"/>
        <v>35894092.1825504</v>
      </c>
      <c r="Y586" s="27">
        <f t="shared" si="826"/>
        <v>30645609.022191986</v>
      </c>
      <c r="Z586" s="27">
        <f t="shared" si="826"/>
        <v>34988577.910646148</v>
      </c>
      <c r="AA586" s="27">
        <f t="shared" si="826"/>
        <v>37638113.858379543</v>
      </c>
      <c r="AB586" s="27">
        <f t="shared" ref="AB586" si="827">SUM(AB587:AB589)</f>
        <v>30764878.134105999</v>
      </c>
    </row>
    <row r="587" spans="1:28" x14ac:dyDescent="0.2">
      <c r="A587" s="25"/>
      <c r="B587" t="s">
        <v>138</v>
      </c>
      <c r="C587" s="27">
        <f>C29</f>
        <v>229111.63199999998</v>
      </c>
      <c r="D587" s="27">
        <f t="shared" ref="D587:K587" si="828">D29</f>
        <v>250894.00262151388</v>
      </c>
      <c r="E587" s="27">
        <f t="shared" si="828"/>
        <v>323698.45984680468</v>
      </c>
      <c r="F587" s="27">
        <f t="shared" si="828"/>
        <v>341087.77471131715</v>
      </c>
      <c r="G587" s="27">
        <f t="shared" si="828"/>
        <v>356084.55919162557</v>
      </c>
      <c r="H587" s="27">
        <f t="shared" si="828"/>
        <v>413655.43343651976</v>
      </c>
      <c r="I587" s="27">
        <f t="shared" si="828"/>
        <v>473875.59760997968</v>
      </c>
      <c r="J587" s="27">
        <f t="shared" si="828"/>
        <v>539237.30055822025</v>
      </c>
      <c r="K587" s="252">
        <f t="shared" si="828"/>
        <v>610751.87932366738</v>
      </c>
      <c r="L587" s="27">
        <f t="shared" ref="L587:AA587" si="829">L29</f>
        <v>703563.00706638023</v>
      </c>
      <c r="M587" s="27">
        <f t="shared" si="829"/>
        <v>850453.28427519382</v>
      </c>
      <c r="N587" s="27">
        <f t="shared" si="829"/>
        <v>994963.70007085754</v>
      </c>
      <c r="O587" s="27">
        <f t="shared" si="829"/>
        <v>1162785.392688324</v>
      </c>
      <c r="P587" s="391">
        <f t="shared" si="829"/>
        <v>1312236.4114660809</v>
      </c>
      <c r="Q587" s="27">
        <f t="shared" si="829"/>
        <v>1621434.6224281604</v>
      </c>
      <c r="R587" s="27">
        <f t="shared" si="829"/>
        <v>1756705.2883305603</v>
      </c>
      <c r="S587" s="27">
        <f t="shared" si="829"/>
        <v>2025709.8891618024</v>
      </c>
      <c r="T587" s="27">
        <f t="shared" si="829"/>
        <v>2194346.8577915006</v>
      </c>
      <c r="U587" s="27">
        <f t="shared" si="829"/>
        <v>2432814.1793114296</v>
      </c>
      <c r="V587" s="27">
        <f t="shared" si="829"/>
        <v>2678796.0591992647</v>
      </c>
      <c r="W587" s="27">
        <f t="shared" si="829"/>
        <v>3111475.1036189357</v>
      </c>
      <c r="X587" s="27">
        <f t="shared" si="829"/>
        <v>3327202.3463351787</v>
      </c>
      <c r="Y587" s="27">
        <f t="shared" si="829"/>
        <v>3710820.5225115828</v>
      </c>
      <c r="Z587" s="27">
        <f t="shared" si="829"/>
        <v>4023562.907454561</v>
      </c>
      <c r="AA587" s="27">
        <f t="shared" si="829"/>
        <v>4416645.0616576308</v>
      </c>
      <c r="AB587" s="27">
        <f t="shared" ref="AB587" si="830">AB29</f>
        <v>4837618.8205196485</v>
      </c>
    </row>
    <row r="588" spans="1:28" x14ac:dyDescent="0.2">
      <c r="A588" s="25"/>
      <c r="B588" t="s">
        <v>139</v>
      </c>
      <c r="C588" s="27">
        <f>C15</f>
        <v>309721.45</v>
      </c>
      <c r="D588" s="27">
        <f t="shared" ref="D588:K588" si="831">D15</f>
        <v>365177.11183625</v>
      </c>
      <c r="E588" s="27">
        <f t="shared" si="831"/>
        <v>218329.04604963408</v>
      </c>
      <c r="F588" s="27">
        <f t="shared" si="831"/>
        <v>330170.93010414159</v>
      </c>
      <c r="G588" s="27">
        <f t="shared" si="831"/>
        <v>535675.99723214877</v>
      </c>
      <c r="H588" s="27">
        <f t="shared" si="831"/>
        <v>692414.86148757057</v>
      </c>
      <c r="I588" s="27">
        <f t="shared" si="831"/>
        <v>1761537.3524741437</v>
      </c>
      <c r="J588" s="27">
        <f t="shared" si="831"/>
        <v>2034440.3163366984</v>
      </c>
      <c r="K588" s="252">
        <f t="shared" si="831"/>
        <v>2325010.3127770172</v>
      </c>
      <c r="L588" s="27">
        <f t="shared" ref="L588:AA588" si="832">L15</f>
        <v>2655033.9512657141</v>
      </c>
      <c r="M588" s="27">
        <f t="shared" si="832"/>
        <v>3223127.4701578221</v>
      </c>
      <c r="N588" s="27">
        <f t="shared" si="832"/>
        <v>3803035.687981457</v>
      </c>
      <c r="O588" s="27">
        <f t="shared" si="832"/>
        <v>4483484.9977517631</v>
      </c>
      <c r="P588" s="391">
        <f t="shared" si="832"/>
        <v>5150906.9255590765</v>
      </c>
      <c r="Q588" s="27">
        <f t="shared" si="832"/>
        <v>6481380.8455274953</v>
      </c>
      <c r="R588" s="27">
        <f t="shared" si="832"/>
        <v>7218981.2734570177</v>
      </c>
      <c r="S588" s="27">
        <f t="shared" si="832"/>
        <v>8638554.4434751533</v>
      </c>
      <c r="T588" s="27">
        <f t="shared" si="832"/>
        <v>9271849.2326909881</v>
      </c>
      <c r="U588" s="27">
        <f t="shared" si="832"/>
        <v>10186003.829788724</v>
      </c>
      <c r="V588" s="27">
        <f t="shared" si="832"/>
        <v>11318809.10159296</v>
      </c>
      <c r="W588" s="27">
        <f t="shared" si="832"/>
        <v>13472299.896671062</v>
      </c>
      <c r="X588" s="27">
        <f t="shared" si="832"/>
        <v>14541010.995605186</v>
      </c>
      <c r="Y588" s="27">
        <f t="shared" si="832"/>
        <v>16370549.276674926</v>
      </c>
      <c r="Z588" s="27">
        <f t="shared" si="832"/>
        <v>17917689.64644593</v>
      </c>
      <c r="AA588" s="27">
        <f t="shared" si="832"/>
        <v>19686557.772159137</v>
      </c>
      <c r="AB588" s="27">
        <f t="shared" ref="AB588" si="833">AB15</f>
        <v>21583158.70656161</v>
      </c>
    </row>
    <row r="589" spans="1:28" x14ac:dyDescent="0.2">
      <c r="A589" s="25"/>
      <c r="B589" t="s">
        <v>140</v>
      </c>
      <c r="C589" s="27">
        <f>C104</f>
        <v>341654.66319669015</v>
      </c>
      <c r="D589" s="27">
        <f t="shared" ref="D589:K589" si="834">D104</f>
        <v>342612.85374298261</v>
      </c>
      <c r="E589" s="27">
        <f t="shared" si="834"/>
        <v>280759.27451557334</v>
      </c>
      <c r="F589" s="27">
        <f t="shared" si="834"/>
        <v>534056.67868822848</v>
      </c>
      <c r="G589" s="27">
        <f t="shared" si="834"/>
        <v>1246773.3498453796</v>
      </c>
      <c r="H589" s="27">
        <f t="shared" si="834"/>
        <v>1538047.7643812387</v>
      </c>
      <c r="I589" s="27">
        <f t="shared" si="834"/>
        <v>1859105.934213517</v>
      </c>
      <c r="J589" s="27">
        <f t="shared" si="834"/>
        <v>978503.53794445773</v>
      </c>
      <c r="K589" s="252">
        <f t="shared" si="834"/>
        <v>3212416.8258573245</v>
      </c>
      <c r="L589" s="27">
        <f t="shared" ref="L589:AA589" si="835">L104</f>
        <v>6350437.2921676124</v>
      </c>
      <c r="M589" s="27">
        <f t="shared" si="835"/>
        <v>8280156.1129099978</v>
      </c>
      <c r="N589" s="27">
        <f t="shared" si="835"/>
        <v>13363055.719086943</v>
      </c>
      <c r="O589" s="27">
        <f t="shared" si="835"/>
        <v>14440341.272964209</v>
      </c>
      <c r="P589" s="391">
        <f t="shared" si="835"/>
        <v>18843637.643700872</v>
      </c>
      <c r="Q589" s="27">
        <f t="shared" si="835"/>
        <v>10288268.62918715</v>
      </c>
      <c r="R589" s="27">
        <f t="shared" si="835"/>
        <v>14081345.782769768</v>
      </c>
      <c r="S589" s="27">
        <f t="shared" si="835"/>
        <v>6236539.4296061136</v>
      </c>
      <c r="T589" s="27">
        <f t="shared" si="835"/>
        <v>12277774.372815255</v>
      </c>
      <c r="U589" s="27">
        <f t="shared" si="835"/>
        <v>15946518.074051859</v>
      </c>
      <c r="V589" s="27">
        <f t="shared" si="835"/>
        <v>19495473.966787789</v>
      </c>
      <c r="W589" s="27">
        <f t="shared" si="835"/>
        <v>9954591.0495228525</v>
      </c>
      <c r="X589" s="27">
        <f t="shared" si="835"/>
        <v>18025878.840610038</v>
      </c>
      <c r="Y589" s="27">
        <f t="shared" si="835"/>
        <v>10564239.223005475</v>
      </c>
      <c r="Z589" s="27">
        <f t="shared" si="835"/>
        <v>13047325.356745655</v>
      </c>
      <c r="AA589" s="27">
        <f t="shared" si="835"/>
        <v>13534911.024562776</v>
      </c>
      <c r="AB589" s="27">
        <f t="shared" ref="AB589" si="836">AB104</f>
        <v>4344100.6070247404</v>
      </c>
    </row>
    <row r="590" spans="1:28" x14ac:dyDescent="0.2">
      <c r="A590" s="25"/>
      <c r="C590" s="27"/>
      <c r="D590" s="27"/>
      <c r="E590" s="27"/>
      <c r="F590" s="27"/>
      <c r="G590" s="27"/>
      <c r="H590" s="27"/>
      <c r="I590" s="27"/>
      <c r="J590" s="27"/>
      <c r="K590" s="252"/>
    </row>
    <row r="591" spans="1:28" x14ac:dyDescent="0.2">
      <c r="A591" s="25"/>
      <c r="B591" s="66" t="s">
        <v>141</v>
      </c>
      <c r="C591" s="206">
        <f t="shared" ref="C591:K591" si="837">INDEX(Doli_Prop_st,$A584,C$416)</f>
        <v>0.5</v>
      </c>
      <c r="D591" s="206">
        <f t="shared" si="837"/>
        <v>0.5</v>
      </c>
      <c r="E591" s="206">
        <f t="shared" si="837"/>
        <v>0.5</v>
      </c>
      <c r="F591" s="206">
        <f t="shared" si="837"/>
        <v>0.5</v>
      </c>
      <c r="G591" s="206">
        <f t="shared" si="837"/>
        <v>0.5</v>
      </c>
      <c r="H591" s="206">
        <f t="shared" si="837"/>
        <v>0.5</v>
      </c>
      <c r="I591" s="206">
        <f t="shared" si="837"/>
        <v>0.5</v>
      </c>
      <c r="J591" s="206">
        <f t="shared" si="837"/>
        <v>0.5</v>
      </c>
      <c r="K591" s="268">
        <f t="shared" si="837"/>
        <v>0.5</v>
      </c>
      <c r="L591" s="247">
        <f t="shared" ref="L591:AA591" si="838">INDEX(Doli_Prop_st,$A584,L$416)</f>
        <v>0.5</v>
      </c>
      <c r="M591" s="247">
        <f t="shared" si="838"/>
        <v>0.5</v>
      </c>
      <c r="N591" s="247">
        <f t="shared" si="838"/>
        <v>0.5</v>
      </c>
      <c r="O591" s="247">
        <f t="shared" si="838"/>
        <v>0.5</v>
      </c>
      <c r="P591" s="412">
        <f t="shared" si="838"/>
        <v>0.5</v>
      </c>
      <c r="Q591" s="247">
        <f t="shared" si="838"/>
        <v>0.5</v>
      </c>
      <c r="R591" s="247">
        <f t="shared" si="838"/>
        <v>0.5</v>
      </c>
      <c r="S591" s="247">
        <f t="shared" si="838"/>
        <v>0.5</v>
      </c>
      <c r="T591" s="247">
        <f t="shared" si="838"/>
        <v>0.5</v>
      </c>
      <c r="U591" s="247">
        <f t="shared" si="838"/>
        <v>0.5</v>
      </c>
      <c r="V591" s="247">
        <f t="shared" si="838"/>
        <v>0.5</v>
      </c>
      <c r="W591" s="247">
        <f t="shared" si="838"/>
        <v>0.5</v>
      </c>
      <c r="X591" s="247">
        <f t="shared" si="838"/>
        <v>0.5</v>
      </c>
      <c r="Y591" s="247">
        <f t="shared" si="838"/>
        <v>0.5</v>
      </c>
      <c r="Z591" s="247">
        <f t="shared" si="838"/>
        <v>0.5</v>
      </c>
      <c r="AA591" s="247">
        <f t="shared" si="838"/>
        <v>0.5</v>
      </c>
      <c r="AB591" s="247">
        <f t="shared" ref="AB591" si="839">INDEX(Doli_Prop_st,$A584,AB$416)</f>
        <v>0.5</v>
      </c>
    </row>
    <row r="592" spans="1:28" x14ac:dyDescent="0.2">
      <c r="A592" s="25"/>
      <c r="B592" t="s">
        <v>142</v>
      </c>
      <c r="C592" s="38">
        <f>C585/C586</f>
        <v>1</v>
      </c>
      <c r="D592" s="38">
        <f t="shared" ref="D592:K592" si="840">D585/D586</f>
        <v>1</v>
      </c>
      <c r="E592" s="38">
        <f t="shared" si="840"/>
        <v>1.0000000000000002</v>
      </c>
      <c r="F592" s="38">
        <f t="shared" si="840"/>
        <v>1</v>
      </c>
      <c r="G592" s="38">
        <f t="shared" si="840"/>
        <v>1</v>
      </c>
      <c r="H592" s="38">
        <f t="shared" si="840"/>
        <v>1</v>
      </c>
      <c r="I592" s="38">
        <f t="shared" si="840"/>
        <v>1.0000000000000002</v>
      </c>
      <c r="J592" s="38">
        <f t="shared" si="840"/>
        <v>1</v>
      </c>
      <c r="K592" s="251">
        <f t="shared" si="840"/>
        <v>0.47507889304112189</v>
      </c>
      <c r="L592" s="76">
        <f t="shared" ref="L592:AA592" si="841">L585/L586</f>
        <v>0.60442389876054359</v>
      </c>
      <c r="M592" s="76">
        <f t="shared" si="841"/>
        <v>0.27900414919081135</v>
      </c>
      <c r="N592" s="76">
        <f t="shared" si="841"/>
        <v>0.40392925832644133</v>
      </c>
      <c r="O592" s="76">
        <f t="shared" si="841"/>
        <v>0.36647433411175223</v>
      </c>
      <c r="P592" s="390">
        <f t="shared" si="841"/>
        <v>0.83671412660342137</v>
      </c>
      <c r="Q592" s="76">
        <f t="shared" si="841"/>
        <v>0.57993408770765531</v>
      </c>
      <c r="R592" s="76">
        <f t="shared" si="841"/>
        <v>1</v>
      </c>
      <c r="S592" s="76">
        <f t="shared" si="841"/>
        <v>0.52363716436710028</v>
      </c>
      <c r="T592" s="76">
        <f t="shared" si="841"/>
        <v>0.58854761416191959</v>
      </c>
      <c r="U592" s="76">
        <f t="shared" si="841"/>
        <v>0.55413649155967537</v>
      </c>
      <c r="V592" s="76">
        <f t="shared" si="841"/>
        <v>0.97106620360012386</v>
      </c>
      <c r="W592" s="76">
        <f t="shared" si="841"/>
        <v>0.64500066227683384</v>
      </c>
      <c r="X592" s="76">
        <f t="shared" si="841"/>
        <v>1</v>
      </c>
      <c r="Y592" s="76">
        <f t="shared" si="841"/>
        <v>1</v>
      </c>
      <c r="Z592" s="76">
        <f t="shared" si="841"/>
        <v>0.99999999999999978</v>
      </c>
      <c r="AA592" s="76">
        <f t="shared" si="841"/>
        <v>1</v>
      </c>
      <c r="AB592" s="76">
        <f t="shared" ref="AB592" si="842">AB585/AB586</f>
        <v>1</v>
      </c>
    </row>
    <row r="593" spans="1:28" x14ac:dyDescent="0.2">
      <c r="A593" s="25"/>
      <c r="C593" s="27"/>
      <c r="D593" s="27"/>
      <c r="E593" s="27"/>
      <c r="F593" s="27"/>
      <c r="G593" s="27"/>
      <c r="H593" s="27"/>
      <c r="I593" s="27"/>
      <c r="J593" s="27"/>
      <c r="K593" s="252"/>
    </row>
    <row r="594" spans="1:28" x14ac:dyDescent="0.2">
      <c r="A594" s="151" t="s">
        <v>143</v>
      </c>
      <c r="B594" t="s">
        <v>138</v>
      </c>
      <c r="C594" s="27">
        <f>C587*C$591*C$592</f>
        <v>114555.81599999999</v>
      </c>
      <c r="D594" s="27">
        <f t="shared" ref="D594:K594" si="843">D587*D$591*D$592</f>
        <v>125447.00131075694</v>
      </c>
      <c r="E594" s="27">
        <f t="shared" si="843"/>
        <v>161849.22992340237</v>
      </c>
      <c r="F594" s="27">
        <f t="shared" si="843"/>
        <v>170543.88735565857</v>
      </c>
      <c r="G594" s="27">
        <f t="shared" si="843"/>
        <v>178042.27959581278</v>
      </c>
      <c r="H594" s="27">
        <f t="shared" si="843"/>
        <v>206827.71671825988</v>
      </c>
      <c r="I594" s="27">
        <f t="shared" si="843"/>
        <v>236937.7988049899</v>
      </c>
      <c r="J594" s="27">
        <f t="shared" si="843"/>
        <v>269618.65027911012</v>
      </c>
      <c r="K594" s="252">
        <f t="shared" si="843"/>
        <v>145077.66337593639</v>
      </c>
      <c r="L594" s="27">
        <f t="shared" ref="L594:AA594" si="844">L587*L$591*L$592</f>
        <v>212625.1478773767</v>
      </c>
      <c r="M594" s="27">
        <f t="shared" si="844"/>
        <v>118639.99750286584</v>
      </c>
      <c r="N594" s="27">
        <f t="shared" si="844"/>
        <v>200947.47471567665</v>
      </c>
      <c r="O594" s="27">
        <f t="shared" si="844"/>
        <v>213065.50125016292</v>
      </c>
      <c r="P594" s="391">
        <f t="shared" si="844"/>
        <v>548983.37145852484</v>
      </c>
      <c r="Q594" s="27">
        <f t="shared" si="844"/>
        <v>470162.60426774085</v>
      </c>
      <c r="R594" s="27">
        <f t="shared" si="844"/>
        <v>878352.64416528016</v>
      </c>
      <c r="S594" s="27">
        <f t="shared" si="844"/>
        <v>530368.49109553965</v>
      </c>
      <c r="T594" s="27">
        <f t="shared" si="844"/>
        <v>645738.80389844638</v>
      </c>
      <c r="U594" s="27">
        <f t="shared" si="844"/>
        <v>674055.55697013333</v>
      </c>
      <c r="V594" s="27">
        <f t="shared" si="844"/>
        <v>1300644.1597128012</v>
      </c>
      <c r="W594" s="27">
        <f t="shared" si="844"/>
        <v>1003451.7512460469</v>
      </c>
      <c r="X594" s="27">
        <f t="shared" si="844"/>
        <v>1663601.1731675894</v>
      </c>
      <c r="Y594" s="27">
        <f t="shared" si="844"/>
        <v>1855410.2612557914</v>
      </c>
      <c r="Z594" s="27">
        <f t="shared" si="844"/>
        <v>2011781.45372728</v>
      </c>
      <c r="AA594" s="27">
        <f t="shared" si="844"/>
        <v>2208322.5308288154</v>
      </c>
      <c r="AB594" s="27">
        <f t="shared" ref="AB594" si="845">AB587*AB$591*AB$592</f>
        <v>2418809.4102598242</v>
      </c>
    </row>
    <row r="595" spans="1:28" x14ac:dyDescent="0.2">
      <c r="A595" s="25"/>
      <c r="B595" t="s">
        <v>139</v>
      </c>
      <c r="C595" s="27">
        <f t="shared" ref="C595:K596" si="846">C588*C$591*C$592</f>
        <v>154860.72500000001</v>
      </c>
      <c r="D595" s="27">
        <f t="shared" si="846"/>
        <v>182588.555918125</v>
      </c>
      <c r="E595" s="27">
        <f t="shared" si="846"/>
        <v>109164.52302481707</v>
      </c>
      <c r="F595" s="27">
        <f t="shared" si="846"/>
        <v>165085.46505207079</v>
      </c>
      <c r="G595" s="27">
        <f t="shared" si="846"/>
        <v>267837.99861607439</v>
      </c>
      <c r="H595" s="27">
        <f t="shared" si="846"/>
        <v>346207.43074378528</v>
      </c>
      <c r="I595" s="27">
        <f t="shared" si="846"/>
        <v>880768.6762370721</v>
      </c>
      <c r="J595" s="27">
        <f t="shared" si="846"/>
        <v>1017220.1581683492</v>
      </c>
      <c r="K595" s="252">
        <f t="shared" si="846"/>
        <v>552281.66285164899</v>
      </c>
      <c r="L595" s="27">
        <f t="shared" ref="L595:AA595" si="847">L588*L$591*L$592</f>
        <v>802382.98608281696</v>
      </c>
      <c r="M595" s="27">
        <f t="shared" si="847"/>
        <v>449632.96877245768</v>
      </c>
      <c r="N595" s="27">
        <f t="shared" si="847"/>
        <v>768078.69241766876</v>
      </c>
      <c r="O595" s="27">
        <f t="shared" si="847"/>
        <v>821541.08952555421</v>
      </c>
      <c r="P595" s="391">
        <f t="shared" si="847"/>
        <v>2154918.2947173384</v>
      </c>
      <c r="Q595" s="27">
        <f t="shared" si="847"/>
        <v>1879386.8438684298</v>
      </c>
      <c r="R595" s="27">
        <f t="shared" si="847"/>
        <v>3609490.6367285089</v>
      </c>
      <c r="S595" s="27">
        <f t="shared" si="847"/>
        <v>2261734.0765060717</v>
      </c>
      <c r="T595" s="27">
        <f t="shared" si="847"/>
        <v>2728462.372384653</v>
      </c>
      <c r="U595" s="27">
        <f t="shared" si="847"/>
        <v>2822218.21262627</v>
      </c>
      <c r="V595" s="27">
        <f t="shared" si="847"/>
        <v>5495656.4917792017</v>
      </c>
      <c r="W595" s="27">
        <f t="shared" si="847"/>
        <v>4344821.177872478</v>
      </c>
      <c r="X595" s="27">
        <f t="shared" si="847"/>
        <v>7270505.4978025928</v>
      </c>
      <c r="Y595" s="27">
        <f t="shared" si="847"/>
        <v>8185274.6383374631</v>
      </c>
      <c r="Z595" s="27">
        <f t="shared" si="847"/>
        <v>8958844.8232229631</v>
      </c>
      <c r="AA595" s="27">
        <f t="shared" si="847"/>
        <v>9843278.8860795684</v>
      </c>
      <c r="AB595" s="27">
        <f t="shared" ref="AB595" si="848">AB588*AB$591*AB$592</f>
        <v>10791579.353280805</v>
      </c>
    </row>
    <row r="596" spans="1:28" x14ac:dyDescent="0.2">
      <c r="A596" s="25"/>
      <c r="B596" t="s">
        <v>140</v>
      </c>
      <c r="C596" s="27">
        <f t="shared" si="846"/>
        <v>170827.33159834507</v>
      </c>
      <c r="D596" s="27">
        <f t="shared" si="846"/>
        <v>171306.42687149131</v>
      </c>
      <c r="E596" s="27">
        <f t="shared" si="846"/>
        <v>140379.6372577867</v>
      </c>
      <c r="F596" s="27">
        <f t="shared" si="846"/>
        <v>267028.33934411424</v>
      </c>
      <c r="G596" s="27">
        <f t="shared" si="846"/>
        <v>623386.6749226898</v>
      </c>
      <c r="H596" s="27">
        <f t="shared" si="846"/>
        <v>769023.88219061936</v>
      </c>
      <c r="I596" s="27">
        <f t="shared" si="846"/>
        <v>929552.96710675873</v>
      </c>
      <c r="J596" s="27">
        <f t="shared" si="846"/>
        <v>489251.76897222886</v>
      </c>
      <c r="K596" s="252">
        <f t="shared" si="846"/>
        <v>763075.71480748605</v>
      </c>
      <c r="L596" s="27">
        <f t="shared" ref="L596:AA596" si="849">L589*L$591*L$592</f>
        <v>1919178.0334831488</v>
      </c>
      <c r="M596" s="27">
        <f t="shared" si="849"/>
        <v>1155098.9557247749</v>
      </c>
      <c r="N596" s="27">
        <f t="shared" si="849"/>
        <v>2698864.5927928495</v>
      </c>
      <c r="O596" s="27">
        <f t="shared" si="849"/>
        <v>2646007.2261780058</v>
      </c>
      <c r="P596" s="391">
        <f t="shared" si="849"/>
        <v>7883368.9065402644</v>
      </c>
      <c r="Q596" s="27">
        <f t="shared" si="849"/>
        <v>2983258.8407794698</v>
      </c>
      <c r="R596" s="27">
        <f t="shared" si="849"/>
        <v>7040672.8913848838</v>
      </c>
      <c r="S596" s="27">
        <f t="shared" si="849"/>
        <v>1632841.9111912791</v>
      </c>
      <c r="T596" s="27">
        <f t="shared" si="849"/>
        <v>3613027.4071693886</v>
      </c>
      <c r="U596" s="27">
        <f t="shared" si="849"/>
        <v>4418273.7890740242</v>
      </c>
      <c r="V596" s="27">
        <f t="shared" si="849"/>
        <v>9465697.9461568333</v>
      </c>
      <c r="W596" s="27">
        <f t="shared" si="849"/>
        <v>3210358.9098186414</v>
      </c>
      <c r="X596" s="27">
        <f t="shared" si="849"/>
        <v>9012939.4203050192</v>
      </c>
      <c r="Y596" s="27">
        <f t="shared" si="849"/>
        <v>5282119.6115027377</v>
      </c>
      <c r="Z596" s="27">
        <f t="shared" si="849"/>
        <v>6523662.6783728255</v>
      </c>
      <c r="AA596" s="27">
        <f t="shared" si="849"/>
        <v>6767455.512281388</v>
      </c>
      <c r="AB596" s="27">
        <f t="shared" ref="AB596" si="850">AB589*AB$591*AB$592</f>
        <v>2172050.3035123702</v>
      </c>
    </row>
    <row r="597" spans="1:28" x14ac:dyDescent="0.2">
      <c r="A597" s="25"/>
      <c r="B597" s="161" t="s">
        <v>145</v>
      </c>
      <c r="C597" s="27">
        <f>SUM(C594:C596)</f>
        <v>440243.87259834504</v>
      </c>
      <c r="D597" s="27">
        <f t="shared" ref="D597:K597" si="851">SUM(D594:D596)</f>
        <v>479341.98410037323</v>
      </c>
      <c r="E597" s="27">
        <f t="shared" si="851"/>
        <v>411393.39020600612</v>
      </c>
      <c r="F597" s="27">
        <f t="shared" si="851"/>
        <v>602657.69175184355</v>
      </c>
      <c r="G597" s="27">
        <f t="shared" si="851"/>
        <v>1069266.953134577</v>
      </c>
      <c r="H597" s="27">
        <f t="shared" si="851"/>
        <v>1322059.0296526644</v>
      </c>
      <c r="I597" s="27">
        <f t="shared" si="851"/>
        <v>2047259.4421488205</v>
      </c>
      <c r="J597" s="27">
        <f t="shared" si="851"/>
        <v>1776090.577419688</v>
      </c>
      <c r="K597" s="252">
        <f t="shared" si="851"/>
        <v>1460435.0410350715</v>
      </c>
      <c r="L597" s="27">
        <f t="shared" ref="L597:AA597" si="852">SUM(L594:L596)</f>
        <v>2934186.1674433425</v>
      </c>
      <c r="M597" s="27">
        <f t="shared" si="852"/>
        <v>1723371.9220000985</v>
      </c>
      <c r="N597" s="27">
        <f t="shared" si="852"/>
        <v>3667890.7599261948</v>
      </c>
      <c r="O597" s="27">
        <f t="shared" si="852"/>
        <v>3680613.8169537229</v>
      </c>
      <c r="P597" s="391">
        <f t="shared" si="852"/>
        <v>10587270.572716128</v>
      </c>
      <c r="Q597" s="27">
        <f t="shared" si="852"/>
        <v>5332808.2889156397</v>
      </c>
      <c r="R597" s="27">
        <f t="shared" si="852"/>
        <v>11528516.172278672</v>
      </c>
      <c r="S597" s="27">
        <f t="shared" si="852"/>
        <v>4424944.4787928909</v>
      </c>
      <c r="T597" s="27">
        <f t="shared" si="852"/>
        <v>6987228.5834524874</v>
      </c>
      <c r="U597" s="27">
        <f t="shared" si="852"/>
        <v>7914547.5586704277</v>
      </c>
      <c r="V597" s="27">
        <f t="shared" si="852"/>
        <v>16261998.597648837</v>
      </c>
      <c r="W597" s="27">
        <f t="shared" si="852"/>
        <v>8558631.8389371671</v>
      </c>
      <c r="X597" s="27">
        <f t="shared" si="852"/>
        <v>17947046.0912752</v>
      </c>
      <c r="Y597" s="27">
        <f t="shared" si="852"/>
        <v>15322804.511095993</v>
      </c>
      <c r="Z597" s="27">
        <f t="shared" si="852"/>
        <v>17494288.95532307</v>
      </c>
      <c r="AA597" s="27">
        <f t="shared" si="852"/>
        <v>18819056.929189771</v>
      </c>
      <c r="AB597" s="27">
        <f t="shared" ref="AB597" si="853">SUM(AB594:AB596)</f>
        <v>15382439.067053</v>
      </c>
    </row>
    <row r="598" spans="1:28" x14ac:dyDescent="0.2">
      <c r="A598" s="25"/>
      <c r="C598" s="27"/>
      <c r="D598" s="27"/>
      <c r="E598" s="27"/>
      <c r="F598" s="27"/>
      <c r="G598" s="27"/>
      <c r="H598" s="27"/>
      <c r="I598" s="27"/>
      <c r="J598" s="27"/>
      <c r="K598" s="252"/>
    </row>
    <row r="599" spans="1:28" x14ac:dyDescent="0.2">
      <c r="A599" s="25"/>
      <c r="B599" s="137" t="s">
        <v>97</v>
      </c>
      <c r="C599" s="27">
        <f>SUM(C600:C602)</f>
        <v>440243.87259834504</v>
      </c>
      <c r="D599" s="27">
        <f t="shared" ref="D599:K599" si="854">SUM(D600:D602)</f>
        <v>479341.98410037323</v>
      </c>
      <c r="E599" s="27">
        <f t="shared" si="854"/>
        <v>411393.39020600595</v>
      </c>
      <c r="F599" s="27">
        <f t="shared" si="854"/>
        <v>602657.69175184355</v>
      </c>
      <c r="G599" s="27">
        <f t="shared" si="854"/>
        <v>1069266.953134577</v>
      </c>
      <c r="H599" s="27">
        <f t="shared" si="854"/>
        <v>1322059.0296526644</v>
      </c>
      <c r="I599" s="27">
        <f t="shared" si="854"/>
        <v>2047259.4421488196</v>
      </c>
      <c r="J599" s="27">
        <f t="shared" si="854"/>
        <v>1776090.577419688</v>
      </c>
      <c r="K599" s="252">
        <f t="shared" si="854"/>
        <v>4687743.9769229377</v>
      </c>
      <c r="L599" s="27">
        <f t="shared" ref="L599:AA599" si="855">SUM(L600:L602)</f>
        <v>6774848.0830563642</v>
      </c>
      <c r="M599" s="27">
        <f t="shared" si="855"/>
        <v>10630364.945342915</v>
      </c>
      <c r="N599" s="27">
        <f t="shared" si="855"/>
        <v>14493164.347213063</v>
      </c>
      <c r="O599" s="27">
        <f t="shared" si="855"/>
        <v>16405997.846450575</v>
      </c>
      <c r="P599" s="391">
        <f t="shared" si="855"/>
        <v>14719510.408009902</v>
      </c>
      <c r="Q599" s="27">
        <f t="shared" si="855"/>
        <v>13058275.808227165</v>
      </c>
      <c r="R599" s="27">
        <f t="shared" si="855"/>
        <v>11528516.172278672</v>
      </c>
      <c r="S599" s="27">
        <f t="shared" si="855"/>
        <v>12475859.283450179</v>
      </c>
      <c r="T599" s="27">
        <f t="shared" si="855"/>
        <v>16756741.879845256</v>
      </c>
      <c r="U599" s="27">
        <f t="shared" si="855"/>
        <v>20650788.524481587</v>
      </c>
      <c r="V599" s="27">
        <f t="shared" si="855"/>
        <v>17231080.529931176</v>
      </c>
      <c r="W599" s="27">
        <f t="shared" si="855"/>
        <v>17979734.210875683</v>
      </c>
      <c r="X599" s="27">
        <f t="shared" si="855"/>
        <v>17947046.0912752</v>
      </c>
      <c r="Y599" s="27">
        <f t="shared" si="855"/>
        <v>15322804.511095993</v>
      </c>
      <c r="Z599" s="27">
        <f t="shared" si="855"/>
        <v>17494288.955323078</v>
      </c>
      <c r="AA599" s="27">
        <f t="shared" si="855"/>
        <v>18819056.929189771</v>
      </c>
      <c r="AB599" s="27">
        <f t="shared" ref="AB599" si="856">SUM(AB600:AB602)</f>
        <v>15382439.067053</v>
      </c>
    </row>
    <row r="600" spans="1:28" x14ac:dyDescent="0.2">
      <c r="A600" s="25"/>
      <c r="B600" t="s">
        <v>138</v>
      </c>
      <c r="C600" s="27">
        <f>C587-C594</f>
        <v>114555.81599999999</v>
      </c>
      <c r="D600" s="27">
        <f t="shared" ref="D600:K600" si="857">D587-D594</f>
        <v>125447.00131075694</v>
      </c>
      <c r="E600" s="27">
        <f t="shared" si="857"/>
        <v>161849.22992340231</v>
      </c>
      <c r="F600" s="27">
        <f t="shared" si="857"/>
        <v>170543.88735565857</v>
      </c>
      <c r="G600" s="27">
        <f t="shared" si="857"/>
        <v>178042.27959581278</v>
      </c>
      <c r="H600" s="27">
        <f t="shared" si="857"/>
        <v>206827.71671825988</v>
      </c>
      <c r="I600" s="27">
        <f t="shared" si="857"/>
        <v>236937.79880498978</v>
      </c>
      <c r="J600" s="27">
        <f t="shared" si="857"/>
        <v>269618.65027911012</v>
      </c>
      <c r="K600" s="252">
        <f t="shared" si="857"/>
        <v>465674.21594773099</v>
      </c>
      <c r="L600" s="27">
        <f t="shared" ref="L600:AA600" si="858">L587-L594</f>
        <v>490937.85918900353</v>
      </c>
      <c r="M600" s="27">
        <f t="shared" si="858"/>
        <v>731813.28677232796</v>
      </c>
      <c r="N600" s="27">
        <f t="shared" si="858"/>
        <v>794016.22535518091</v>
      </c>
      <c r="O600" s="27">
        <f t="shared" si="858"/>
        <v>949719.89143816102</v>
      </c>
      <c r="P600" s="391">
        <f t="shared" si="858"/>
        <v>763253.04000755609</v>
      </c>
      <c r="Q600" s="27">
        <f t="shared" si="858"/>
        <v>1151272.0181604195</v>
      </c>
      <c r="R600" s="27">
        <f t="shared" si="858"/>
        <v>878352.64416528016</v>
      </c>
      <c r="S600" s="27">
        <f t="shared" si="858"/>
        <v>1495341.3980662627</v>
      </c>
      <c r="T600" s="27">
        <f t="shared" si="858"/>
        <v>1548608.0538930544</v>
      </c>
      <c r="U600" s="27">
        <f t="shared" si="858"/>
        <v>1758758.6223412962</v>
      </c>
      <c r="V600" s="27">
        <f t="shared" si="858"/>
        <v>1378151.8994864635</v>
      </c>
      <c r="W600" s="27">
        <f t="shared" si="858"/>
        <v>2108023.3523728889</v>
      </c>
      <c r="X600" s="27">
        <f t="shared" si="858"/>
        <v>1663601.1731675894</v>
      </c>
      <c r="Y600" s="27">
        <f t="shared" si="858"/>
        <v>1855410.2612557914</v>
      </c>
      <c r="Z600" s="27">
        <f t="shared" si="858"/>
        <v>2011781.453727281</v>
      </c>
      <c r="AA600" s="27">
        <f t="shared" si="858"/>
        <v>2208322.5308288154</v>
      </c>
      <c r="AB600" s="27">
        <f t="shared" ref="AB600" si="859">AB587-AB594</f>
        <v>2418809.4102598242</v>
      </c>
    </row>
    <row r="601" spans="1:28" x14ac:dyDescent="0.2">
      <c r="A601" s="25"/>
      <c r="B601" t="s">
        <v>139</v>
      </c>
      <c r="C601" s="27">
        <f t="shared" ref="C601:K602" si="860">C588-C595</f>
        <v>154860.72500000001</v>
      </c>
      <c r="D601" s="27">
        <f t="shared" si="860"/>
        <v>182588.555918125</v>
      </c>
      <c r="E601" s="27">
        <f t="shared" si="860"/>
        <v>109164.52302481701</v>
      </c>
      <c r="F601" s="27">
        <f t="shared" si="860"/>
        <v>165085.46505207079</v>
      </c>
      <c r="G601" s="27">
        <f t="shared" si="860"/>
        <v>267837.99861607439</v>
      </c>
      <c r="H601" s="27">
        <f t="shared" si="860"/>
        <v>346207.43074378528</v>
      </c>
      <c r="I601" s="27">
        <f t="shared" si="860"/>
        <v>880768.67623707163</v>
      </c>
      <c r="J601" s="27">
        <f t="shared" si="860"/>
        <v>1017220.1581683492</v>
      </c>
      <c r="K601" s="252">
        <f t="shared" si="860"/>
        <v>1772728.6499253684</v>
      </c>
      <c r="L601" s="27">
        <f t="shared" ref="L601:AA601" si="861">L588-L595</f>
        <v>1852650.9651828972</v>
      </c>
      <c r="M601" s="27">
        <f t="shared" si="861"/>
        <v>2773494.5013853647</v>
      </c>
      <c r="N601" s="27">
        <f t="shared" si="861"/>
        <v>3034956.9955637883</v>
      </c>
      <c r="O601" s="27">
        <f t="shared" si="861"/>
        <v>3661943.9082262088</v>
      </c>
      <c r="P601" s="391">
        <f t="shared" si="861"/>
        <v>2995988.6308417381</v>
      </c>
      <c r="Q601" s="27">
        <f t="shared" si="861"/>
        <v>4601994.0016590655</v>
      </c>
      <c r="R601" s="27">
        <f t="shared" si="861"/>
        <v>3609490.6367285089</v>
      </c>
      <c r="S601" s="27">
        <f t="shared" si="861"/>
        <v>6376820.3669690816</v>
      </c>
      <c r="T601" s="27">
        <f t="shared" si="861"/>
        <v>6543386.8603063356</v>
      </c>
      <c r="U601" s="27">
        <f t="shared" si="861"/>
        <v>7363785.6171624539</v>
      </c>
      <c r="V601" s="27">
        <f t="shared" si="861"/>
        <v>5823152.6098137582</v>
      </c>
      <c r="W601" s="27">
        <f t="shared" si="861"/>
        <v>9127478.7187985852</v>
      </c>
      <c r="X601" s="27">
        <f t="shared" si="861"/>
        <v>7270505.4978025928</v>
      </c>
      <c r="Y601" s="27">
        <f t="shared" si="861"/>
        <v>8185274.6383374631</v>
      </c>
      <c r="Z601" s="27">
        <f t="shared" si="861"/>
        <v>8958844.8232229669</v>
      </c>
      <c r="AA601" s="27">
        <f t="shared" si="861"/>
        <v>9843278.8860795684</v>
      </c>
      <c r="AB601" s="27">
        <f t="shared" ref="AB601" si="862">AB588-AB595</f>
        <v>10791579.353280805</v>
      </c>
    </row>
    <row r="602" spans="1:28" x14ac:dyDescent="0.2">
      <c r="A602" s="25"/>
      <c r="B602" t="s">
        <v>140</v>
      </c>
      <c r="C602" s="27">
        <f t="shared" si="860"/>
        <v>170827.33159834507</v>
      </c>
      <c r="D602" s="27">
        <f t="shared" si="860"/>
        <v>171306.42687149131</v>
      </c>
      <c r="E602" s="27">
        <f t="shared" si="860"/>
        <v>140379.63725778664</v>
      </c>
      <c r="F602" s="27">
        <f t="shared" si="860"/>
        <v>267028.33934411424</v>
      </c>
      <c r="G602" s="27">
        <f t="shared" si="860"/>
        <v>623386.6749226898</v>
      </c>
      <c r="H602" s="27">
        <f t="shared" si="860"/>
        <v>769023.88219061936</v>
      </c>
      <c r="I602" s="27">
        <f t="shared" si="860"/>
        <v>929552.96710675827</v>
      </c>
      <c r="J602" s="27">
        <f t="shared" si="860"/>
        <v>489251.76897222886</v>
      </c>
      <c r="K602" s="252">
        <f t="shared" si="860"/>
        <v>2449341.1110498384</v>
      </c>
      <c r="L602" s="27">
        <f t="shared" ref="L602:AA602" si="863">L589-L596</f>
        <v>4431259.2586844638</v>
      </c>
      <c r="M602" s="27">
        <f t="shared" si="863"/>
        <v>7125057.157185223</v>
      </c>
      <c r="N602" s="27">
        <f t="shared" si="863"/>
        <v>10664191.126294093</v>
      </c>
      <c r="O602" s="27">
        <f t="shared" si="863"/>
        <v>11794334.046786204</v>
      </c>
      <c r="P602" s="391">
        <f t="shared" si="863"/>
        <v>10960268.737160608</v>
      </c>
      <c r="Q602" s="27">
        <f t="shared" si="863"/>
        <v>7305009.7884076796</v>
      </c>
      <c r="R602" s="27">
        <f t="shared" si="863"/>
        <v>7040672.8913848838</v>
      </c>
      <c r="S602" s="27">
        <f t="shared" si="863"/>
        <v>4603697.5184148345</v>
      </c>
      <c r="T602" s="27">
        <f t="shared" si="863"/>
        <v>8664746.9656458665</v>
      </c>
      <c r="U602" s="27">
        <f t="shared" si="863"/>
        <v>11528244.284977835</v>
      </c>
      <c r="V602" s="27">
        <f t="shared" si="863"/>
        <v>10029776.020630956</v>
      </c>
      <c r="W602" s="27">
        <f t="shared" si="863"/>
        <v>6744232.1397042107</v>
      </c>
      <c r="X602" s="27">
        <f t="shared" si="863"/>
        <v>9012939.4203050192</v>
      </c>
      <c r="Y602" s="27">
        <f t="shared" si="863"/>
        <v>5282119.6115027377</v>
      </c>
      <c r="Z602" s="27">
        <f t="shared" si="863"/>
        <v>6523662.6783728292</v>
      </c>
      <c r="AA602" s="27">
        <f t="shared" si="863"/>
        <v>6767455.512281388</v>
      </c>
      <c r="AB602" s="27">
        <f t="shared" ref="AB602" si="864">AB589-AB596</f>
        <v>2172050.3035123702</v>
      </c>
    </row>
    <row r="603" spans="1:28" x14ac:dyDescent="0.2">
      <c r="A603" s="25"/>
      <c r="C603" s="27"/>
      <c r="D603" s="27"/>
      <c r="E603" s="27"/>
      <c r="F603" s="27"/>
      <c r="G603" s="27"/>
      <c r="H603" s="27"/>
      <c r="I603" s="27"/>
      <c r="J603" s="27"/>
      <c r="K603" s="252"/>
    </row>
    <row r="604" spans="1:28" x14ac:dyDescent="0.2">
      <c r="A604" s="151" t="s">
        <v>98</v>
      </c>
      <c r="B604" t="s">
        <v>144</v>
      </c>
      <c r="C604" s="27">
        <f>C585-C597</f>
        <v>440243.87259834504</v>
      </c>
      <c r="D604" s="27">
        <f t="shared" ref="D604:K604" si="865">D585-D597</f>
        <v>479341.98410037323</v>
      </c>
      <c r="E604" s="27">
        <f t="shared" si="865"/>
        <v>411393.39020600601</v>
      </c>
      <c r="F604" s="27">
        <f t="shared" si="865"/>
        <v>602657.69175184355</v>
      </c>
      <c r="G604" s="27">
        <f t="shared" si="865"/>
        <v>1069266.953134577</v>
      </c>
      <c r="H604" s="27">
        <f t="shared" si="865"/>
        <v>1322059.0296526644</v>
      </c>
      <c r="I604" s="27">
        <f t="shared" si="865"/>
        <v>2047259.44214882</v>
      </c>
      <c r="J604" s="27">
        <f t="shared" si="865"/>
        <v>1776090.577419688</v>
      </c>
      <c r="K604" s="252">
        <f t="shared" si="865"/>
        <v>1460435.0410350715</v>
      </c>
      <c r="L604" s="27">
        <f t="shared" ref="L604:AA604" si="866">L585-L597</f>
        <v>2934186.1674433425</v>
      </c>
      <c r="M604" s="27">
        <f t="shared" si="866"/>
        <v>1723371.922000098</v>
      </c>
      <c r="N604" s="27">
        <f t="shared" si="866"/>
        <v>3667890.7599261957</v>
      </c>
      <c r="O604" s="27">
        <f t="shared" si="866"/>
        <v>3680613.8169537229</v>
      </c>
      <c r="P604" s="391">
        <f t="shared" si="866"/>
        <v>10587270.572716128</v>
      </c>
      <c r="Q604" s="27">
        <f t="shared" si="866"/>
        <v>5332808.2889156397</v>
      </c>
      <c r="R604" s="27">
        <f t="shared" si="866"/>
        <v>11528516.172278672</v>
      </c>
      <c r="S604" s="27">
        <f t="shared" si="866"/>
        <v>4424944.4787928909</v>
      </c>
      <c r="T604" s="27">
        <f t="shared" si="866"/>
        <v>6987228.5834524892</v>
      </c>
      <c r="U604" s="27">
        <f t="shared" si="866"/>
        <v>7914547.5586704277</v>
      </c>
      <c r="V604" s="27">
        <f t="shared" si="866"/>
        <v>16261998.597648837</v>
      </c>
      <c r="W604" s="27">
        <f t="shared" si="866"/>
        <v>8558631.8389371671</v>
      </c>
      <c r="X604" s="27">
        <f t="shared" si="866"/>
        <v>17947046.0912752</v>
      </c>
      <c r="Y604" s="27">
        <f t="shared" si="866"/>
        <v>15322804.511095993</v>
      </c>
      <c r="Z604" s="27">
        <f t="shared" si="866"/>
        <v>17494288.95532307</v>
      </c>
      <c r="AA604" s="27">
        <f t="shared" si="866"/>
        <v>18819056.929189771</v>
      </c>
      <c r="AB604" s="27">
        <f t="shared" ref="AB604" si="867">AB585-AB597</f>
        <v>15382439.067053</v>
      </c>
    </row>
    <row r="605" spans="1:28" x14ac:dyDescent="0.2">
      <c r="A605" s="25"/>
      <c r="B605" t="s">
        <v>138</v>
      </c>
      <c r="C605" s="27">
        <f>MIN(C604,C600)</f>
        <v>114555.81599999999</v>
      </c>
      <c r="D605" s="27">
        <f t="shared" ref="D605:K605" si="868">MIN(D604,D600)</f>
        <v>125447.00131075694</v>
      </c>
      <c r="E605" s="27">
        <f t="shared" si="868"/>
        <v>161849.22992340231</v>
      </c>
      <c r="F605" s="27">
        <f t="shared" si="868"/>
        <v>170543.88735565857</v>
      </c>
      <c r="G605" s="27">
        <f t="shared" si="868"/>
        <v>178042.27959581278</v>
      </c>
      <c r="H605" s="27">
        <f t="shared" si="868"/>
        <v>206827.71671825988</v>
      </c>
      <c r="I605" s="27">
        <f t="shared" si="868"/>
        <v>236937.79880498978</v>
      </c>
      <c r="J605" s="27">
        <f t="shared" si="868"/>
        <v>269618.65027911012</v>
      </c>
      <c r="K605" s="252">
        <f t="shared" si="868"/>
        <v>465674.21594773099</v>
      </c>
      <c r="L605" s="27">
        <f t="shared" ref="L605:AA605" si="869">MIN(L604,L600)</f>
        <v>490937.85918900353</v>
      </c>
      <c r="M605" s="27">
        <f t="shared" si="869"/>
        <v>731813.28677232796</v>
      </c>
      <c r="N605" s="27">
        <f t="shared" si="869"/>
        <v>794016.22535518091</v>
      </c>
      <c r="O605" s="27">
        <f t="shared" si="869"/>
        <v>949719.89143816102</v>
      </c>
      <c r="P605" s="391">
        <f t="shared" si="869"/>
        <v>763253.04000755609</v>
      </c>
      <c r="Q605" s="27">
        <f t="shared" si="869"/>
        <v>1151272.0181604195</v>
      </c>
      <c r="R605" s="27">
        <f t="shared" si="869"/>
        <v>878352.64416528016</v>
      </c>
      <c r="S605" s="27">
        <f t="shared" si="869"/>
        <v>1495341.3980662627</v>
      </c>
      <c r="T605" s="27">
        <f t="shared" si="869"/>
        <v>1548608.0538930544</v>
      </c>
      <c r="U605" s="27">
        <f t="shared" si="869"/>
        <v>1758758.6223412962</v>
      </c>
      <c r="V605" s="27">
        <f t="shared" si="869"/>
        <v>1378151.8994864635</v>
      </c>
      <c r="W605" s="27">
        <f t="shared" si="869"/>
        <v>2108023.3523728889</v>
      </c>
      <c r="X605" s="27">
        <f t="shared" si="869"/>
        <v>1663601.1731675894</v>
      </c>
      <c r="Y605" s="27">
        <f t="shared" si="869"/>
        <v>1855410.2612557914</v>
      </c>
      <c r="Z605" s="27">
        <f t="shared" si="869"/>
        <v>2011781.453727281</v>
      </c>
      <c r="AA605" s="27">
        <f t="shared" si="869"/>
        <v>2208322.5308288154</v>
      </c>
      <c r="AB605" s="27">
        <f t="shared" ref="AB605" si="870">MIN(AB604,AB600)</f>
        <v>2418809.4102598242</v>
      </c>
    </row>
    <row r="606" spans="1:28" x14ac:dyDescent="0.2">
      <c r="A606" s="25"/>
      <c r="B606" t="s">
        <v>139</v>
      </c>
      <c r="C606" s="27">
        <f>MIN(C604-C605,C601)</f>
        <v>154860.72500000001</v>
      </c>
      <c r="D606" s="27">
        <f t="shared" ref="D606:K606" si="871">MIN(D604-D605,D601)</f>
        <v>182588.555918125</v>
      </c>
      <c r="E606" s="27">
        <f t="shared" si="871"/>
        <v>109164.52302481701</v>
      </c>
      <c r="F606" s="27">
        <f t="shared" si="871"/>
        <v>165085.46505207079</v>
      </c>
      <c r="G606" s="27">
        <f t="shared" si="871"/>
        <v>267837.99861607439</v>
      </c>
      <c r="H606" s="27">
        <f t="shared" si="871"/>
        <v>346207.43074378528</v>
      </c>
      <c r="I606" s="27">
        <f t="shared" si="871"/>
        <v>880768.67623707163</v>
      </c>
      <c r="J606" s="27">
        <f t="shared" si="871"/>
        <v>1017220.1581683492</v>
      </c>
      <c r="K606" s="252">
        <f t="shared" si="871"/>
        <v>994760.82508734055</v>
      </c>
      <c r="L606" s="27">
        <f t="shared" ref="L606:AA606" si="872">MIN(L604-L605,L601)</f>
        <v>1852650.9651828972</v>
      </c>
      <c r="M606" s="27">
        <f t="shared" si="872"/>
        <v>991558.63522777008</v>
      </c>
      <c r="N606" s="27">
        <f t="shared" si="872"/>
        <v>2873874.5345710148</v>
      </c>
      <c r="O606" s="27">
        <f t="shared" si="872"/>
        <v>2730893.9255155618</v>
      </c>
      <c r="P606" s="391">
        <f t="shared" si="872"/>
        <v>2995988.6308417381</v>
      </c>
      <c r="Q606" s="27">
        <f t="shared" si="872"/>
        <v>4181536.2707552202</v>
      </c>
      <c r="R606" s="27">
        <f t="shared" si="872"/>
        <v>3609490.6367285089</v>
      </c>
      <c r="S606" s="27">
        <f t="shared" si="872"/>
        <v>2929603.0807266282</v>
      </c>
      <c r="T606" s="27">
        <f t="shared" si="872"/>
        <v>5438620.5295594353</v>
      </c>
      <c r="U606" s="27">
        <f t="shared" si="872"/>
        <v>6155788.9363291319</v>
      </c>
      <c r="V606" s="27">
        <f t="shared" si="872"/>
        <v>5823152.6098137582</v>
      </c>
      <c r="W606" s="27">
        <f t="shared" si="872"/>
        <v>6450608.4865642786</v>
      </c>
      <c r="X606" s="27">
        <f t="shared" si="872"/>
        <v>7270505.4978025928</v>
      </c>
      <c r="Y606" s="27">
        <f t="shared" si="872"/>
        <v>8185274.6383374631</v>
      </c>
      <c r="Z606" s="27">
        <f t="shared" si="872"/>
        <v>8958844.8232229669</v>
      </c>
      <c r="AA606" s="27">
        <f t="shared" si="872"/>
        <v>9843278.8860795684</v>
      </c>
      <c r="AB606" s="27">
        <f t="shared" ref="AB606" si="873">MIN(AB604-AB605,AB601)</f>
        <v>10791579.353280805</v>
      </c>
    </row>
    <row r="607" spans="1:28" x14ac:dyDescent="0.2">
      <c r="A607" s="25"/>
      <c r="B607" t="s">
        <v>140</v>
      </c>
      <c r="C607" s="27">
        <f>MIN(C604-C605-C606,C602)</f>
        <v>170827.33159834504</v>
      </c>
      <c r="D607" s="27">
        <f t="shared" ref="D607:K607" si="874">MIN(D604-D605-D606,D602)</f>
        <v>171306.42687149128</v>
      </c>
      <c r="E607" s="27">
        <f t="shared" si="874"/>
        <v>140379.63725778664</v>
      </c>
      <c r="F607" s="27">
        <f t="shared" si="874"/>
        <v>267028.33934411418</v>
      </c>
      <c r="G607" s="27">
        <f t="shared" si="874"/>
        <v>623386.6749226898</v>
      </c>
      <c r="H607" s="27">
        <f t="shared" si="874"/>
        <v>769023.88219061913</v>
      </c>
      <c r="I607" s="27">
        <f t="shared" si="874"/>
        <v>929552.96710675827</v>
      </c>
      <c r="J607" s="27">
        <f t="shared" si="874"/>
        <v>489251.76897222875</v>
      </c>
      <c r="K607" s="252">
        <f t="shared" si="874"/>
        <v>0</v>
      </c>
      <c r="L607" s="27">
        <f t="shared" ref="L607:AA607" si="875">MIN(L604-L605-L606,L602)</f>
        <v>590597.34307144163</v>
      </c>
      <c r="M607" s="27">
        <f t="shared" si="875"/>
        <v>0</v>
      </c>
      <c r="N607" s="27">
        <f t="shared" si="875"/>
        <v>0</v>
      </c>
      <c r="O607" s="27">
        <f t="shared" si="875"/>
        <v>0</v>
      </c>
      <c r="P607" s="391">
        <f t="shared" si="875"/>
        <v>6828028.9018668346</v>
      </c>
      <c r="Q607" s="27">
        <f t="shared" si="875"/>
        <v>0</v>
      </c>
      <c r="R607" s="27">
        <f t="shared" si="875"/>
        <v>7040672.8913848838</v>
      </c>
      <c r="S607" s="27">
        <f t="shared" si="875"/>
        <v>0</v>
      </c>
      <c r="T607" s="27">
        <f t="shared" si="875"/>
        <v>0</v>
      </c>
      <c r="U607" s="27">
        <f t="shared" si="875"/>
        <v>0</v>
      </c>
      <c r="V607" s="27">
        <f t="shared" si="875"/>
        <v>9060694.0883486159</v>
      </c>
      <c r="W607" s="27">
        <f t="shared" si="875"/>
        <v>0</v>
      </c>
      <c r="X607" s="27">
        <f t="shared" si="875"/>
        <v>9012939.4203050174</v>
      </c>
      <c r="Y607" s="27">
        <f t="shared" si="875"/>
        <v>5282119.6115027377</v>
      </c>
      <c r="Z607" s="27">
        <f t="shared" si="875"/>
        <v>6523662.6783728227</v>
      </c>
      <c r="AA607" s="27">
        <f t="shared" si="875"/>
        <v>6767455.512281388</v>
      </c>
      <c r="AB607" s="27">
        <f t="shared" ref="AB607" si="876">MIN(AB604-AB605-AB606,AB602)</f>
        <v>2172050.3035123702</v>
      </c>
    </row>
    <row r="608" spans="1:28" x14ac:dyDescent="0.2">
      <c r="A608" s="25"/>
      <c r="C608" s="27"/>
      <c r="D608" s="27"/>
      <c r="E608" s="27"/>
      <c r="F608" s="27"/>
      <c r="G608" s="27"/>
      <c r="H608" s="27"/>
      <c r="I608" s="27"/>
      <c r="J608" s="27"/>
      <c r="K608" s="252"/>
    </row>
    <row r="609" spans="1:28" x14ac:dyDescent="0.2">
      <c r="A609" s="25"/>
      <c r="B609" s="159" t="s">
        <v>146</v>
      </c>
    </row>
    <row r="610" spans="1:28" s="25" customFormat="1" x14ac:dyDescent="0.2">
      <c r="B610" t="s">
        <v>138</v>
      </c>
      <c r="C610" s="164">
        <f>C594+C605</f>
        <v>229111.63199999998</v>
      </c>
      <c r="D610" s="164">
        <f t="shared" ref="D610:K610" si="877">D594+D605</f>
        <v>250894.00262151388</v>
      </c>
      <c r="E610" s="164">
        <f t="shared" si="877"/>
        <v>323698.45984680468</v>
      </c>
      <c r="F610" s="164">
        <f t="shared" si="877"/>
        <v>341087.77471131715</v>
      </c>
      <c r="G610" s="164">
        <f t="shared" si="877"/>
        <v>356084.55919162557</v>
      </c>
      <c r="H610" s="164">
        <f t="shared" si="877"/>
        <v>413655.43343651976</v>
      </c>
      <c r="I610" s="164">
        <f t="shared" si="877"/>
        <v>473875.59760997968</v>
      </c>
      <c r="J610" s="164">
        <f t="shared" si="877"/>
        <v>539237.30055822025</v>
      </c>
      <c r="K610" s="271">
        <f t="shared" si="877"/>
        <v>610751.87932366738</v>
      </c>
      <c r="L610" s="300">
        <f t="shared" ref="L610:AA610" si="878">L594+L605</f>
        <v>703563.00706638023</v>
      </c>
      <c r="M610" s="300">
        <f t="shared" si="878"/>
        <v>850453.28427519382</v>
      </c>
      <c r="N610" s="300">
        <f t="shared" si="878"/>
        <v>994963.70007085754</v>
      </c>
      <c r="O610" s="300">
        <f t="shared" si="878"/>
        <v>1162785.392688324</v>
      </c>
      <c r="P610" s="415">
        <f t="shared" si="878"/>
        <v>1312236.4114660809</v>
      </c>
      <c r="Q610" s="300">
        <f t="shared" si="878"/>
        <v>1621434.6224281604</v>
      </c>
      <c r="R610" s="300">
        <f t="shared" si="878"/>
        <v>1756705.2883305603</v>
      </c>
      <c r="S610" s="300">
        <f t="shared" si="878"/>
        <v>2025709.8891618024</v>
      </c>
      <c r="T610" s="300">
        <f t="shared" si="878"/>
        <v>2194346.8577915006</v>
      </c>
      <c r="U610" s="300">
        <f t="shared" si="878"/>
        <v>2432814.1793114296</v>
      </c>
      <c r="V610" s="300">
        <f t="shared" si="878"/>
        <v>2678796.0591992647</v>
      </c>
      <c r="W610" s="300">
        <f t="shared" si="878"/>
        <v>3111475.1036189357</v>
      </c>
      <c r="X610" s="300">
        <f t="shared" si="878"/>
        <v>3327202.3463351787</v>
      </c>
      <c r="Y610" s="300">
        <f t="shared" si="878"/>
        <v>3710820.5225115828</v>
      </c>
      <c r="Z610" s="300">
        <f t="shared" si="878"/>
        <v>4023562.907454561</v>
      </c>
      <c r="AA610" s="300">
        <f t="shared" si="878"/>
        <v>4416645.0616576308</v>
      </c>
      <c r="AB610" s="300">
        <f t="shared" ref="AB610" si="879">AB594+AB605</f>
        <v>4837618.8205196485</v>
      </c>
    </row>
    <row r="611" spans="1:28" x14ac:dyDescent="0.2">
      <c r="A611" s="25"/>
      <c r="B611" t="s">
        <v>139</v>
      </c>
      <c r="C611" s="164">
        <f t="shared" ref="C611:K612" si="880">C595+C606</f>
        <v>309721.45</v>
      </c>
      <c r="D611" s="164">
        <f t="shared" si="880"/>
        <v>365177.11183625</v>
      </c>
      <c r="E611" s="164">
        <f t="shared" si="880"/>
        <v>218329.04604963408</v>
      </c>
      <c r="F611" s="164">
        <f t="shared" si="880"/>
        <v>330170.93010414159</v>
      </c>
      <c r="G611" s="164">
        <f t="shared" si="880"/>
        <v>535675.99723214877</v>
      </c>
      <c r="H611" s="164">
        <f t="shared" si="880"/>
        <v>692414.86148757057</v>
      </c>
      <c r="I611" s="164">
        <f t="shared" si="880"/>
        <v>1761537.3524741437</v>
      </c>
      <c r="J611" s="164">
        <f t="shared" si="880"/>
        <v>2034440.3163366984</v>
      </c>
      <c r="K611" s="271">
        <f t="shared" si="880"/>
        <v>1547042.4879389894</v>
      </c>
      <c r="L611" s="300">
        <f t="shared" ref="L611:AA611" si="881">L595+L606</f>
        <v>2655033.9512657141</v>
      </c>
      <c r="M611" s="300">
        <f t="shared" si="881"/>
        <v>1441191.6040002278</v>
      </c>
      <c r="N611" s="300">
        <f t="shared" si="881"/>
        <v>3641953.2269886835</v>
      </c>
      <c r="O611" s="300">
        <f t="shared" si="881"/>
        <v>3552435.0150411162</v>
      </c>
      <c r="P611" s="415">
        <f t="shared" si="881"/>
        <v>5150906.9255590765</v>
      </c>
      <c r="Q611" s="300">
        <f t="shared" si="881"/>
        <v>6060923.11462365</v>
      </c>
      <c r="R611" s="300">
        <f t="shared" si="881"/>
        <v>7218981.2734570177</v>
      </c>
      <c r="S611" s="300">
        <f t="shared" si="881"/>
        <v>5191337.1572326999</v>
      </c>
      <c r="T611" s="300">
        <f t="shared" si="881"/>
        <v>8167082.9019440878</v>
      </c>
      <c r="U611" s="300">
        <f t="shared" si="881"/>
        <v>8978007.148955401</v>
      </c>
      <c r="V611" s="300">
        <f t="shared" si="881"/>
        <v>11318809.10159296</v>
      </c>
      <c r="W611" s="300">
        <f t="shared" si="881"/>
        <v>10795429.664436758</v>
      </c>
      <c r="X611" s="300">
        <f t="shared" si="881"/>
        <v>14541010.995605186</v>
      </c>
      <c r="Y611" s="300">
        <f t="shared" si="881"/>
        <v>16370549.276674926</v>
      </c>
      <c r="Z611" s="300">
        <f t="shared" si="881"/>
        <v>17917689.64644593</v>
      </c>
      <c r="AA611" s="300">
        <f t="shared" si="881"/>
        <v>19686557.772159137</v>
      </c>
      <c r="AB611" s="300">
        <f t="shared" ref="AB611" si="882">AB595+AB606</f>
        <v>21583158.70656161</v>
      </c>
    </row>
    <row r="612" spans="1:28" x14ac:dyDescent="0.2">
      <c r="A612" s="25"/>
      <c r="B612" t="s">
        <v>140</v>
      </c>
      <c r="C612" s="164">
        <f t="shared" si="880"/>
        <v>341654.66319669015</v>
      </c>
      <c r="D612" s="164">
        <f t="shared" si="880"/>
        <v>342612.85374298261</v>
      </c>
      <c r="E612" s="164">
        <f t="shared" si="880"/>
        <v>280759.27451557334</v>
      </c>
      <c r="F612" s="164">
        <f t="shared" si="880"/>
        <v>534056.67868822836</v>
      </c>
      <c r="G612" s="164">
        <f t="shared" si="880"/>
        <v>1246773.3498453796</v>
      </c>
      <c r="H612" s="164">
        <f t="shared" si="880"/>
        <v>1538047.7643812385</v>
      </c>
      <c r="I612" s="164">
        <f t="shared" si="880"/>
        <v>1859105.934213517</v>
      </c>
      <c r="J612" s="164">
        <f t="shared" si="880"/>
        <v>978503.53794445761</v>
      </c>
      <c r="K612" s="271">
        <f t="shared" si="880"/>
        <v>763075.71480748605</v>
      </c>
      <c r="L612" s="300">
        <f t="shared" ref="L612:AA612" si="883">L596+L607</f>
        <v>2509775.3765545906</v>
      </c>
      <c r="M612" s="300">
        <f t="shared" si="883"/>
        <v>1155098.9557247749</v>
      </c>
      <c r="N612" s="300">
        <f t="shared" si="883"/>
        <v>2698864.5927928495</v>
      </c>
      <c r="O612" s="300">
        <f t="shared" si="883"/>
        <v>2646007.2261780058</v>
      </c>
      <c r="P612" s="415">
        <f t="shared" si="883"/>
        <v>14711397.808407098</v>
      </c>
      <c r="Q612" s="300">
        <f t="shared" si="883"/>
        <v>2983258.8407794698</v>
      </c>
      <c r="R612" s="300">
        <f t="shared" si="883"/>
        <v>14081345.782769768</v>
      </c>
      <c r="S612" s="300">
        <f t="shared" si="883"/>
        <v>1632841.9111912791</v>
      </c>
      <c r="T612" s="300">
        <f t="shared" si="883"/>
        <v>3613027.4071693886</v>
      </c>
      <c r="U612" s="300">
        <f t="shared" si="883"/>
        <v>4418273.7890740242</v>
      </c>
      <c r="V612" s="300">
        <f t="shared" si="883"/>
        <v>18526392.034505449</v>
      </c>
      <c r="W612" s="300">
        <f t="shared" si="883"/>
        <v>3210358.9098186414</v>
      </c>
      <c r="X612" s="300">
        <f t="shared" si="883"/>
        <v>18025878.840610035</v>
      </c>
      <c r="Y612" s="300">
        <f t="shared" si="883"/>
        <v>10564239.223005475</v>
      </c>
      <c r="Z612" s="300">
        <f t="shared" si="883"/>
        <v>13047325.356745649</v>
      </c>
      <c r="AA612" s="300">
        <f t="shared" si="883"/>
        <v>13534911.024562776</v>
      </c>
      <c r="AB612" s="300">
        <f t="shared" ref="AB612" si="884">AB596+AB607</f>
        <v>4344100.6070247404</v>
      </c>
    </row>
    <row r="613" spans="1:28" s="25" customFormat="1" x14ac:dyDescent="0.2">
      <c r="B613"/>
      <c r="K613" s="249"/>
      <c r="L613" s="84"/>
      <c r="P613" s="388"/>
    </row>
    <row r="614" spans="1:28" s="25" customFormat="1" x14ac:dyDescent="0.2">
      <c r="B614"/>
      <c r="K614" s="249"/>
      <c r="L614" s="84"/>
      <c r="P614" s="388"/>
    </row>
    <row r="615" spans="1:28" s="25" customFormat="1" x14ac:dyDescent="0.2">
      <c r="A615" s="157">
        <v>7</v>
      </c>
      <c r="B615" s="158" t="s">
        <v>2</v>
      </c>
      <c r="K615" s="249"/>
      <c r="L615" s="84"/>
      <c r="P615" s="388"/>
    </row>
    <row r="616" spans="1:28" s="25" customFormat="1" x14ac:dyDescent="0.2">
      <c r="B616" s="25" t="s">
        <v>136</v>
      </c>
      <c r="C616" s="172">
        <f>C423</f>
        <v>758910.74359669024</v>
      </c>
      <c r="D616" s="105">
        <f t="shared" ref="D616:K616" si="885">D423</f>
        <v>513318.55129845877</v>
      </c>
      <c r="E616" s="105">
        <f t="shared" si="885"/>
        <v>690558.62089973374</v>
      </c>
      <c r="F616" s="105">
        <f t="shared" si="885"/>
        <v>1665226.7061201779</v>
      </c>
      <c r="G616" s="105">
        <f t="shared" si="885"/>
        <v>2019767.5894093912</v>
      </c>
      <c r="H616" s="105">
        <f t="shared" si="885"/>
        <v>2235788.3766548266</v>
      </c>
      <c r="I616" s="105">
        <f t="shared" si="885"/>
        <v>2646844.5217387695</v>
      </c>
      <c r="J616" s="105">
        <f t="shared" si="885"/>
        <v>3051096.6625172729</v>
      </c>
      <c r="K616" s="272">
        <f t="shared" si="885"/>
        <v>2144877.7071538703</v>
      </c>
      <c r="L616" s="299">
        <f t="shared" ref="L616:AA616" si="886">L423</f>
        <v>2590391.0593904965</v>
      </c>
      <c r="M616" s="299">
        <f t="shared" si="886"/>
        <v>2970333.4353161389</v>
      </c>
      <c r="N616" s="299">
        <f t="shared" si="886"/>
        <v>3486459.9897534759</v>
      </c>
      <c r="O616" s="299">
        <f t="shared" si="886"/>
        <v>12001723.785579454</v>
      </c>
      <c r="P616" s="416">
        <f t="shared" si="886"/>
        <v>7626823.4781170189</v>
      </c>
      <c r="Q616" s="299">
        <f t="shared" si="886"/>
        <v>14216811.54610366</v>
      </c>
      <c r="R616" s="299">
        <f t="shared" si="886"/>
        <v>8020778.8885989711</v>
      </c>
      <c r="S616" s="299">
        <f t="shared" si="886"/>
        <v>9278405.0993980989</v>
      </c>
      <c r="T616" s="299">
        <f t="shared" si="886"/>
        <v>17377155.753681559</v>
      </c>
      <c r="U616" s="299">
        <f t="shared" si="886"/>
        <v>6340572.3827880593</v>
      </c>
      <c r="V616" s="299">
        <f t="shared" si="886"/>
        <v>11359463.894708009</v>
      </c>
      <c r="W616" s="299">
        <f t="shared" si="886"/>
        <v>19818993.250283327</v>
      </c>
      <c r="X616" s="299">
        <f t="shared" si="886"/>
        <v>20974866.258446489</v>
      </c>
      <c r="Y616" s="299">
        <f t="shared" si="886"/>
        <v>18284233.236133389</v>
      </c>
      <c r="Z616" s="299">
        <f t="shared" si="886"/>
        <v>21525136.787183672</v>
      </c>
      <c r="AA616" s="299">
        <f t="shared" si="886"/>
        <v>22798489.263187617</v>
      </c>
      <c r="AB616" s="299">
        <f t="shared" ref="AB616" si="887">AB423</f>
        <v>14991849.056417227</v>
      </c>
    </row>
    <row r="617" spans="1:28" s="25" customFormat="1" x14ac:dyDescent="0.2">
      <c r="B617" s="137" t="s">
        <v>137</v>
      </c>
      <c r="C617" s="173">
        <f>SUM(C618:C620)</f>
        <v>758910.74359669012</v>
      </c>
      <c r="D617" s="165">
        <f t="shared" ref="D617:K617" si="888">SUM(D618:D620)</f>
        <v>513318.55129845871</v>
      </c>
      <c r="E617" s="165">
        <f t="shared" si="888"/>
        <v>690558.62089973385</v>
      </c>
      <c r="F617" s="165">
        <f t="shared" si="888"/>
        <v>1665226.7061201776</v>
      </c>
      <c r="G617" s="165">
        <f t="shared" si="888"/>
        <v>2019767.5894093909</v>
      </c>
      <c r="H617" s="165">
        <f t="shared" si="888"/>
        <v>2235788.3766548266</v>
      </c>
      <c r="I617" s="165">
        <f t="shared" si="888"/>
        <v>2646844.5217387695</v>
      </c>
      <c r="J617" s="165">
        <f t="shared" si="888"/>
        <v>3051096.6625172729</v>
      </c>
      <c r="K617" s="273">
        <f t="shared" si="888"/>
        <v>4418209.3275961662</v>
      </c>
      <c r="L617" s="296">
        <f t="shared" ref="L617:AA617" si="889">SUM(L618:L620)</f>
        <v>7277402.5127487853</v>
      </c>
      <c r="M617" s="296">
        <f t="shared" si="889"/>
        <v>10899043.897270456</v>
      </c>
      <c r="N617" s="296">
        <f t="shared" si="889"/>
        <v>15631012.321971139</v>
      </c>
      <c r="O617" s="296">
        <f t="shared" si="889"/>
        <v>18342113.506730437</v>
      </c>
      <c r="P617" s="417">
        <f t="shared" si="889"/>
        <v>15191885.390780367</v>
      </c>
      <c r="Q617" s="296">
        <f t="shared" si="889"/>
        <v>17147768.004125465</v>
      </c>
      <c r="R617" s="296">
        <f t="shared" si="889"/>
        <v>12859229.304617111</v>
      </c>
      <c r="S617" s="296">
        <f t="shared" si="889"/>
        <v>15497470.927601624</v>
      </c>
      <c r="T617" s="296">
        <f t="shared" si="889"/>
        <v>17377155.753681559</v>
      </c>
      <c r="U617" s="296">
        <f t="shared" si="889"/>
        <v>11389441.73352091</v>
      </c>
      <c r="V617" s="296">
        <f t="shared" si="889"/>
        <v>17898746.778004959</v>
      </c>
      <c r="W617" s="296">
        <f t="shared" si="889"/>
        <v>22441228.265964177</v>
      </c>
      <c r="X617" s="296">
        <f t="shared" si="889"/>
        <v>19853971.759248052</v>
      </c>
      <c r="Y617" s="296">
        <f t="shared" si="889"/>
        <v>18284233.236133389</v>
      </c>
      <c r="Z617" s="296">
        <f t="shared" si="889"/>
        <v>21525136.787183672</v>
      </c>
      <c r="AA617" s="296">
        <f t="shared" si="889"/>
        <v>22798489.263187613</v>
      </c>
      <c r="AB617" s="296">
        <f t="shared" ref="AB617" si="890">SUM(AB618:AB620)</f>
        <v>14991849.056417229</v>
      </c>
    </row>
    <row r="618" spans="1:28" s="25" customFormat="1" x14ac:dyDescent="0.2">
      <c r="B618" t="s">
        <v>138</v>
      </c>
      <c r="C618" s="165">
        <f>C30</f>
        <v>188331.53039999999</v>
      </c>
      <c r="D618" s="165">
        <f t="shared" ref="D618:K618" si="891">D30</f>
        <v>237092.95404071725</v>
      </c>
      <c r="E618" s="165">
        <f t="shared" si="891"/>
        <v>306239.87459491414</v>
      </c>
      <c r="F618" s="165">
        <f t="shared" si="891"/>
        <v>320213.90182467608</v>
      </c>
      <c r="G618" s="165">
        <f t="shared" si="891"/>
        <v>422937.57205575565</v>
      </c>
      <c r="H618" s="165">
        <f t="shared" si="891"/>
        <v>462310.65059320448</v>
      </c>
      <c r="I618" s="165">
        <f t="shared" si="891"/>
        <v>518711.50757054106</v>
      </c>
      <c r="J618" s="165">
        <f t="shared" si="891"/>
        <v>617296.76131680701</v>
      </c>
      <c r="K618" s="273">
        <f t="shared" si="891"/>
        <v>721461.87230315071</v>
      </c>
      <c r="L618" s="296">
        <f t="shared" ref="L618:AA618" si="892">L30</f>
        <v>836156.77768202929</v>
      </c>
      <c r="M618" s="296">
        <f t="shared" si="892"/>
        <v>983810.22950519598</v>
      </c>
      <c r="N618" s="296">
        <f t="shared" si="892"/>
        <v>1160792.6502760076</v>
      </c>
      <c r="O618" s="296">
        <f t="shared" si="892"/>
        <v>1333557.6158050664</v>
      </c>
      <c r="P618" s="417">
        <f t="shared" si="892"/>
        <v>1622924.7161485292</v>
      </c>
      <c r="Q618" s="296">
        <f t="shared" si="892"/>
        <v>1827065.1251004054</v>
      </c>
      <c r="R618" s="296">
        <f t="shared" si="892"/>
        <v>2101687.9706618222</v>
      </c>
      <c r="S618" s="296">
        <f t="shared" si="892"/>
        <v>2266970.4509516084</v>
      </c>
      <c r="T618" s="296">
        <f t="shared" si="892"/>
        <v>2519466.4734137668</v>
      </c>
      <c r="U618" s="296">
        <f t="shared" si="892"/>
        <v>2931933.2434086115</v>
      </c>
      <c r="V618" s="296">
        <f t="shared" si="892"/>
        <v>3174354.7619262324</v>
      </c>
      <c r="W618" s="296">
        <f t="shared" si="892"/>
        <v>3483089.4458584166</v>
      </c>
      <c r="X618" s="296">
        <f t="shared" si="892"/>
        <v>3876152.1158559541</v>
      </c>
      <c r="Y618" s="296">
        <f t="shared" si="892"/>
        <v>4240605.503528513</v>
      </c>
      <c r="Z618" s="296">
        <f t="shared" si="892"/>
        <v>4591234.0618349547</v>
      </c>
      <c r="AA618" s="296">
        <f t="shared" si="892"/>
        <v>5037214.9840262309</v>
      </c>
      <c r="AB618" s="296">
        <f t="shared" ref="AB618" si="893">AB30</f>
        <v>5513901.3675731393</v>
      </c>
    </row>
    <row r="619" spans="1:28" s="25" customFormat="1" x14ac:dyDescent="0.2">
      <c r="B619" t="s">
        <v>139</v>
      </c>
      <c r="C619" s="165">
        <f>C16</f>
        <v>228924.55</v>
      </c>
      <c r="D619" s="165">
        <f t="shared" ref="D619:K619" si="894">D16</f>
        <v>248631.22508</v>
      </c>
      <c r="E619" s="165">
        <f t="shared" si="894"/>
        <v>240946.60875437205</v>
      </c>
      <c r="F619" s="165">
        <f t="shared" si="894"/>
        <v>184048.82579989612</v>
      </c>
      <c r="G619" s="165">
        <f t="shared" si="894"/>
        <v>170424.81881318954</v>
      </c>
      <c r="H619" s="165">
        <f t="shared" si="894"/>
        <v>212194.73192509729</v>
      </c>
      <c r="I619" s="165">
        <f t="shared" si="894"/>
        <v>319401.35096192331</v>
      </c>
      <c r="J619" s="165">
        <f t="shared" si="894"/>
        <v>384613.33578931098</v>
      </c>
      <c r="K619" s="273">
        <f t="shared" si="894"/>
        <v>579018.12809965538</v>
      </c>
      <c r="L619" s="296">
        <f t="shared" ref="L619:AA619" si="895">L16</f>
        <v>665232.56630128599</v>
      </c>
      <c r="M619" s="296">
        <f t="shared" si="895"/>
        <v>786062.46298185829</v>
      </c>
      <c r="N619" s="296">
        <f t="shared" si="895"/>
        <v>935398.17670023418</v>
      </c>
      <c r="O619" s="296">
        <f t="shared" si="895"/>
        <v>1084043.3318514989</v>
      </c>
      <c r="P619" s="417">
        <f t="shared" si="895"/>
        <v>1343039.2266391998</v>
      </c>
      <c r="Q619" s="296">
        <f t="shared" si="895"/>
        <v>1539716.741255638</v>
      </c>
      <c r="R619" s="296">
        <f t="shared" si="895"/>
        <v>1820807.1491440234</v>
      </c>
      <c r="S619" s="296">
        <f t="shared" si="895"/>
        <v>2038113.617178482</v>
      </c>
      <c r="T619" s="296">
        <f t="shared" si="895"/>
        <v>2244338.5666639018</v>
      </c>
      <c r="U619" s="296">
        <f t="shared" si="895"/>
        <v>2588020.304922109</v>
      </c>
      <c r="V619" s="296">
        <f t="shared" si="895"/>
        <v>2827712.4905778556</v>
      </c>
      <c r="W619" s="296">
        <f t="shared" si="895"/>
        <v>3179499.3725332217</v>
      </c>
      <c r="X619" s="296">
        <f t="shared" si="895"/>
        <v>3571370.4944505743</v>
      </c>
      <c r="Y619" s="296">
        <f t="shared" si="895"/>
        <v>3944026.9982900545</v>
      </c>
      <c r="Z619" s="296">
        <f t="shared" si="895"/>
        <v>4310417.6531986259</v>
      </c>
      <c r="AA619" s="296">
        <f t="shared" si="895"/>
        <v>4730889.3329343852</v>
      </c>
      <c r="AB619" s="296">
        <f t="shared" ref="AB619" si="896">AB16</f>
        <v>5180523.8688110495</v>
      </c>
    </row>
    <row r="620" spans="1:28" s="25" customFormat="1" x14ac:dyDescent="0.2">
      <c r="B620" t="s">
        <v>140</v>
      </c>
      <c r="C620" s="105">
        <f>C105</f>
        <v>341654.66319669015</v>
      </c>
      <c r="D620" s="105">
        <f t="shared" ref="D620:K620" si="897">D105</f>
        <v>27594.372177741476</v>
      </c>
      <c r="E620" s="105">
        <f t="shared" si="897"/>
        <v>143372.13755044754</v>
      </c>
      <c r="F620" s="105">
        <f t="shared" si="897"/>
        <v>1160963.9784956055</v>
      </c>
      <c r="G620" s="105">
        <f t="shared" si="897"/>
        <v>1426405.1985404459</v>
      </c>
      <c r="H620" s="105">
        <f t="shared" si="897"/>
        <v>1561282.9941365249</v>
      </c>
      <c r="I620" s="105">
        <f t="shared" si="897"/>
        <v>1808731.6632063051</v>
      </c>
      <c r="J620" s="105">
        <f t="shared" si="897"/>
        <v>2049186.5654111546</v>
      </c>
      <c r="K620" s="272">
        <f t="shared" si="897"/>
        <v>3117729.3271933603</v>
      </c>
      <c r="L620" s="299">
        <f t="shared" ref="L620:AA620" si="898">L105</f>
        <v>5776013.1687654695</v>
      </c>
      <c r="M620" s="299">
        <f t="shared" si="898"/>
        <v>9129171.2047834024</v>
      </c>
      <c r="N620" s="299">
        <f t="shared" si="898"/>
        <v>13534821.494994897</v>
      </c>
      <c r="O620" s="299">
        <f t="shared" si="898"/>
        <v>15924512.559073873</v>
      </c>
      <c r="P620" s="416">
        <f t="shared" si="898"/>
        <v>12225921.447992638</v>
      </c>
      <c r="Q620" s="299">
        <f t="shared" si="898"/>
        <v>13780986.137769422</v>
      </c>
      <c r="R620" s="299">
        <f t="shared" si="898"/>
        <v>8936734.1848112643</v>
      </c>
      <c r="S620" s="299">
        <f t="shared" si="898"/>
        <v>11192386.859471533</v>
      </c>
      <c r="T620" s="299">
        <f t="shared" si="898"/>
        <v>12613350.713603891</v>
      </c>
      <c r="U620" s="299">
        <f t="shared" si="898"/>
        <v>5869488.1851901887</v>
      </c>
      <c r="V620" s="299">
        <f t="shared" si="898"/>
        <v>11896679.525500869</v>
      </c>
      <c r="W620" s="299">
        <f t="shared" si="898"/>
        <v>15778639.447572539</v>
      </c>
      <c r="X620" s="299">
        <f t="shared" si="898"/>
        <v>12406449.148941522</v>
      </c>
      <c r="Y620" s="299">
        <f t="shared" si="898"/>
        <v>10099600.734314822</v>
      </c>
      <c r="Z620" s="299">
        <f t="shared" si="898"/>
        <v>12623485.072150093</v>
      </c>
      <c r="AA620" s="299">
        <f t="shared" si="898"/>
        <v>13030384.946226997</v>
      </c>
      <c r="AB620" s="299">
        <f t="shared" ref="AB620" si="899">AB105</f>
        <v>4297423.8200330399</v>
      </c>
    </row>
    <row r="621" spans="1:28" s="25" customFormat="1" x14ac:dyDescent="0.2">
      <c r="B621"/>
      <c r="K621" s="249"/>
      <c r="L621" s="84"/>
      <c r="P621" s="388"/>
    </row>
    <row r="622" spans="1:28" s="25" customFormat="1" x14ac:dyDescent="0.2">
      <c r="B622" s="66" t="s">
        <v>141</v>
      </c>
      <c r="C622" s="206">
        <f t="shared" ref="C622:K622" si="900">INDEX(Doli_Prop_st,$A615,C$416)</f>
        <v>0.5</v>
      </c>
      <c r="D622" s="206">
        <f t="shared" si="900"/>
        <v>0.8</v>
      </c>
      <c r="E622" s="206">
        <f t="shared" si="900"/>
        <v>0.5</v>
      </c>
      <c r="F622" s="206">
        <f t="shared" si="900"/>
        <v>0.5</v>
      </c>
      <c r="G622" s="206">
        <f t="shared" si="900"/>
        <v>0.5</v>
      </c>
      <c r="H622" s="206">
        <f t="shared" si="900"/>
        <v>0.5</v>
      </c>
      <c r="I622" s="206">
        <f t="shared" si="900"/>
        <v>0.5</v>
      </c>
      <c r="J622" s="206">
        <f t="shared" si="900"/>
        <v>0.5</v>
      </c>
      <c r="K622" s="268">
        <f t="shared" si="900"/>
        <v>0.5</v>
      </c>
      <c r="L622" s="247">
        <f t="shared" ref="L622:AA622" si="901">INDEX(Doli_Prop_st,$A615,L$416)</f>
        <v>0.5</v>
      </c>
      <c r="M622" s="247">
        <f t="shared" si="901"/>
        <v>0.5</v>
      </c>
      <c r="N622" s="247">
        <f t="shared" si="901"/>
        <v>0.5</v>
      </c>
      <c r="O622" s="247">
        <f t="shared" si="901"/>
        <v>0.5</v>
      </c>
      <c r="P622" s="412">
        <f t="shared" si="901"/>
        <v>0.5</v>
      </c>
      <c r="Q622" s="247">
        <f t="shared" si="901"/>
        <v>0.5</v>
      </c>
      <c r="R622" s="247">
        <f t="shared" si="901"/>
        <v>0.5</v>
      </c>
      <c r="S622" s="247">
        <f t="shared" si="901"/>
        <v>0.5</v>
      </c>
      <c r="T622" s="247">
        <f t="shared" si="901"/>
        <v>0.5</v>
      </c>
      <c r="U622" s="247">
        <f t="shared" si="901"/>
        <v>0.5</v>
      </c>
      <c r="V622" s="247">
        <f t="shared" si="901"/>
        <v>0.5</v>
      </c>
      <c r="W622" s="247">
        <f t="shared" si="901"/>
        <v>0.5</v>
      </c>
      <c r="X622" s="247">
        <f t="shared" si="901"/>
        <v>0.5</v>
      </c>
      <c r="Y622" s="247">
        <f t="shared" si="901"/>
        <v>0.5</v>
      </c>
      <c r="Z622" s="247">
        <f t="shared" si="901"/>
        <v>0.5</v>
      </c>
      <c r="AA622" s="247">
        <f t="shared" si="901"/>
        <v>0.5</v>
      </c>
      <c r="AB622" s="247">
        <f t="shared" ref="AB622" si="902">INDEX(Doli_Prop_st,$A615,AB$416)</f>
        <v>0.5</v>
      </c>
    </row>
    <row r="623" spans="1:28" s="25" customFormat="1" x14ac:dyDescent="0.2">
      <c r="B623" t="s">
        <v>142</v>
      </c>
      <c r="C623" s="38">
        <f>C616/C617</f>
        <v>1.0000000000000002</v>
      </c>
      <c r="D623" s="38">
        <f t="shared" ref="D623:K623" si="903">D616/D617</f>
        <v>1.0000000000000002</v>
      </c>
      <c r="E623" s="38">
        <f t="shared" si="903"/>
        <v>0.99999999999999978</v>
      </c>
      <c r="F623" s="38">
        <f t="shared" si="903"/>
        <v>1.0000000000000002</v>
      </c>
      <c r="G623" s="38">
        <f t="shared" si="903"/>
        <v>1.0000000000000002</v>
      </c>
      <c r="H623" s="38">
        <f t="shared" si="903"/>
        <v>1</v>
      </c>
      <c r="I623" s="38">
        <f t="shared" si="903"/>
        <v>1</v>
      </c>
      <c r="J623" s="38">
        <f t="shared" si="903"/>
        <v>1</v>
      </c>
      <c r="K623" s="251">
        <f t="shared" si="903"/>
        <v>0.48546312501694955</v>
      </c>
      <c r="L623" s="76">
        <f t="shared" ref="L623:AA623" si="904">L616/L617</f>
        <v>0.35594994984165945</v>
      </c>
      <c r="M623" s="76">
        <f t="shared" si="904"/>
        <v>0.27253155995270612</v>
      </c>
      <c r="N623" s="76">
        <f t="shared" si="904"/>
        <v>0.22304761316404734</v>
      </c>
      <c r="O623" s="76">
        <f t="shared" si="904"/>
        <v>0.65432611030214993</v>
      </c>
      <c r="P623" s="390">
        <f t="shared" si="904"/>
        <v>0.50203271561971996</v>
      </c>
      <c r="Q623" s="76">
        <f t="shared" si="904"/>
        <v>0.82907650387405141</v>
      </c>
      <c r="R623" s="76">
        <f t="shared" si="904"/>
        <v>0.62373713840837319</v>
      </c>
      <c r="S623" s="76">
        <f t="shared" si="904"/>
        <v>0.59870446879644623</v>
      </c>
      <c r="T623" s="76">
        <f t="shared" si="904"/>
        <v>1</v>
      </c>
      <c r="U623" s="76">
        <f t="shared" si="904"/>
        <v>0.55670616094612979</v>
      </c>
      <c r="V623" s="76">
        <f t="shared" si="904"/>
        <v>0.63465135495783376</v>
      </c>
      <c r="W623" s="76">
        <f t="shared" si="904"/>
        <v>0.88315100293962512</v>
      </c>
      <c r="X623" s="76">
        <f t="shared" si="904"/>
        <v>1.0564569403437536</v>
      </c>
      <c r="Y623" s="76">
        <f t="shared" si="904"/>
        <v>1</v>
      </c>
      <c r="Z623" s="76">
        <f t="shared" si="904"/>
        <v>1</v>
      </c>
      <c r="AA623" s="76">
        <f t="shared" si="904"/>
        <v>1.0000000000000002</v>
      </c>
      <c r="AB623" s="76">
        <f t="shared" ref="AB623" si="905">AB616/AB617</f>
        <v>0.99999999999999989</v>
      </c>
    </row>
    <row r="624" spans="1:28" s="25" customFormat="1" x14ac:dyDescent="0.2">
      <c r="B624"/>
      <c r="K624" s="249"/>
      <c r="L624" s="84"/>
      <c r="P624" s="388"/>
    </row>
    <row r="625" spans="1:28" s="25" customFormat="1" x14ac:dyDescent="0.2">
      <c r="A625" s="151" t="s">
        <v>143</v>
      </c>
      <c r="B625" t="s">
        <v>138</v>
      </c>
      <c r="C625" s="63">
        <f>C618*C$622*C$623</f>
        <v>94165.765200000009</v>
      </c>
      <c r="D625" s="63">
        <f t="shared" ref="D625:K625" si="906">D618*D$622*D$623</f>
        <v>189674.36323257384</v>
      </c>
      <c r="E625" s="63">
        <f t="shared" si="906"/>
        <v>153119.93729745704</v>
      </c>
      <c r="F625" s="63">
        <f t="shared" si="906"/>
        <v>160106.95091233807</v>
      </c>
      <c r="G625" s="63">
        <f t="shared" si="906"/>
        <v>211468.78602787788</v>
      </c>
      <c r="H625" s="63">
        <f t="shared" si="906"/>
        <v>231155.32529660224</v>
      </c>
      <c r="I625" s="63">
        <f t="shared" si="906"/>
        <v>259355.75378527053</v>
      </c>
      <c r="J625" s="63">
        <f t="shared" si="906"/>
        <v>308648.3806584035</v>
      </c>
      <c r="K625" s="274">
        <f t="shared" si="906"/>
        <v>175121.56755443348</v>
      </c>
      <c r="L625" s="298">
        <f t="shared" ref="L625:AA625" si="907">L618*L$622*L$623</f>
        <v>148814.98153784097</v>
      </c>
      <c r="M625" s="298">
        <f t="shared" si="907"/>
        <v>134059.66827224044</v>
      </c>
      <c r="N625" s="298">
        <f t="shared" si="907"/>
        <v>129456.01501121612</v>
      </c>
      <c r="O625" s="298">
        <f t="shared" si="907"/>
        <v>436290.783806769</v>
      </c>
      <c r="P625" s="418">
        <f t="shared" si="907"/>
        <v>407380.65124720463</v>
      </c>
      <c r="Q625" s="298">
        <f t="shared" si="907"/>
        <v>757388.38313422527</v>
      </c>
      <c r="R625" s="298">
        <f t="shared" si="907"/>
        <v>655450.42032395303</v>
      </c>
      <c r="S625" s="298">
        <f t="shared" si="907"/>
        <v>678622.66980711138</v>
      </c>
      <c r="T625" s="298">
        <f t="shared" si="907"/>
        <v>1259733.2367068834</v>
      </c>
      <c r="U625" s="298">
        <f t="shared" si="907"/>
        <v>816112.65004417137</v>
      </c>
      <c r="V625" s="298">
        <f t="shared" si="907"/>
        <v>1007304.2753866676</v>
      </c>
      <c r="W625" s="298">
        <f t="shared" si="907"/>
        <v>1538046.9687191418</v>
      </c>
      <c r="X625" s="298">
        <f t="shared" si="907"/>
        <v>2047493.9023120741</v>
      </c>
      <c r="Y625" s="298">
        <f t="shared" si="907"/>
        <v>2120302.7517642565</v>
      </c>
      <c r="Z625" s="298">
        <f t="shared" si="907"/>
        <v>2295617.0309174773</v>
      </c>
      <c r="AA625" s="298">
        <f t="shared" si="907"/>
        <v>2518607.4920131159</v>
      </c>
      <c r="AB625" s="298">
        <f t="shared" ref="AB625" si="908">AB618*AB$622*AB$623</f>
        <v>2756950.6837865692</v>
      </c>
    </row>
    <row r="626" spans="1:28" s="25" customFormat="1" x14ac:dyDescent="0.2">
      <c r="B626" t="s">
        <v>139</v>
      </c>
      <c r="C626" s="63">
        <f t="shared" ref="C626:K627" si="909">C619*C$622*C$623</f>
        <v>114462.27500000002</v>
      </c>
      <c r="D626" s="63">
        <f t="shared" si="909"/>
        <v>198904.98006400006</v>
      </c>
      <c r="E626" s="63">
        <f t="shared" si="909"/>
        <v>120473.304377186</v>
      </c>
      <c r="F626" s="63">
        <f t="shared" si="909"/>
        <v>92024.412899948074</v>
      </c>
      <c r="G626" s="63">
        <f t="shared" si="909"/>
        <v>85212.409406594787</v>
      </c>
      <c r="H626" s="63">
        <f t="shared" si="909"/>
        <v>106097.36596254865</v>
      </c>
      <c r="I626" s="63">
        <f t="shared" si="909"/>
        <v>159700.67548096165</v>
      </c>
      <c r="J626" s="63">
        <f t="shared" si="909"/>
        <v>192306.66789465549</v>
      </c>
      <c r="K626" s="274">
        <f t="shared" si="909"/>
        <v>140545.97495436156</v>
      </c>
      <c r="L626" s="298">
        <f t="shared" ref="L626:AA626" si="910">L619*L$622*L$623</f>
        <v>118394.74930399057</v>
      </c>
      <c r="M626" s="298">
        <f t="shared" si="910"/>
        <v>107113.41462835607</v>
      </c>
      <c r="N626" s="298">
        <f t="shared" si="910"/>
        <v>104319.16533549452</v>
      </c>
      <c r="O626" s="298">
        <f t="shared" si="910"/>
        <v>354658.92836468702</v>
      </c>
      <c r="P626" s="418">
        <f t="shared" si="910"/>
        <v>337124.815066743</v>
      </c>
      <c r="Q626" s="298">
        <f t="shared" si="910"/>
        <v>638271.48639828584</v>
      </c>
      <c r="R626" s="298">
        <f t="shared" si="910"/>
        <v>567852.52040030062</v>
      </c>
      <c r="S626" s="298">
        <f t="shared" si="910"/>
        <v>610113.86525982327</v>
      </c>
      <c r="T626" s="298">
        <f t="shared" si="910"/>
        <v>1122169.2833319509</v>
      </c>
      <c r="U626" s="298">
        <f t="shared" si="910"/>
        <v>720383.4242019098</v>
      </c>
      <c r="V626" s="298">
        <f t="shared" si="910"/>
        <v>897305.78178821341</v>
      </c>
      <c r="W626" s="298">
        <f t="shared" si="910"/>
        <v>1403989.0298493118</v>
      </c>
      <c r="X626" s="298">
        <f t="shared" si="910"/>
        <v>1886499.572700606</v>
      </c>
      <c r="Y626" s="298">
        <f t="shared" si="910"/>
        <v>1972013.4991450273</v>
      </c>
      <c r="Z626" s="298">
        <f t="shared" si="910"/>
        <v>2155208.8265993129</v>
      </c>
      <c r="AA626" s="298">
        <f t="shared" si="910"/>
        <v>2365444.666467193</v>
      </c>
      <c r="AB626" s="298">
        <f t="shared" ref="AB626" si="911">AB619*AB$622*AB$623</f>
        <v>2590261.9344055243</v>
      </c>
    </row>
    <row r="627" spans="1:28" s="25" customFormat="1" x14ac:dyDescent="0.2">
      <c r="B627" t="s">
        <v>140</v>
      </c>
      <c r="C627" s="63">
        <f t="shared" si="909"/>
        <v>170827.3315983451</v>
      </c>
      <c r="D627" s="63">
        <f t="shared" si="909"/>
        <v>22075.497742193187</v>
      </c>
      <c r="E627" s="63">
        <f t="shared" si="909"/>
        <v>71686.068775223757</v>
      </c>
      <c r="F627" s="63">
        <f t="shared" si="909"/>
        <v>580481.98924780288</v>
      </c>
      <c r="G627" s="63">
        <f t="shared" si="909"/>
        <v>713202.59927022306</v>
      </c>
      <c r="H627" s="63">
        <f t="shared" si="909"/>
        <v>780641.49706826243</v>
      </c>
      <c r="I627" s="63">
        <f t="shared" si="909"/>
        <v>904365.83160315256</v>
      </c>
      <c r="J627" s="63">
        <f t="shared" si="909"/>
        <v>1024593.2827055773</v>
      </c>
      <c r="K627" s="274">
        <f t="shared" si="909"/>
        <v>756771.31106814009</v>
      </c>
      <c r="L627" s="298">
        <f t="shared" ref="L627:AA627" si="912">L620*L$622*L$623</f>
        <v>1027985.7988534167</v>
      </c>
      <c r="M627" s="298">
        <f t="shared" si="912"/>
        <v>1243993.6347574731</v>
      </c>
      <c r="N627" s="298">
        <f t="shared" si="912"/>
        <v>1509454.8145300273</v>
      </c>
      <c r="O627" s="298">
        <f t="shared" si="912"/>
        <v>5209912.1806182712</v>
      </c>
      <c r="P627" s="418">
        <f t="shared" si="912"/>
        <v>3068906.2727445615</v>
      </c>
      <c r="Q627" s="298">
        <f t="shared" si="912"/>
        <v>5712745.9035193194</v>
      </c>
      <c r="R627" s="298">
        <f t="shared" si="912"/>
        <v>2787086.5035752319</v>
      </c>
      <c r="S627" s="298">
        <f t="shared" si="912"/>
        <v>3350466.0146321147</v>
      </c>
      <c r="T627" s="298">
        <f t="shared" si="912"/>
        <v>6306675.3568019457</v>
      </c>
      <c r="U627" s="298">
        <f t="shared" si="912"/>
        <v>1633790.1171479481</v>
      </c>
      <c r="V627" s="298">
        <f t="shared" si="912"/>
        <v>3775121.8901791228</v>
      </c>
      <c r="W627" s="298">
        <f t="shared" si="912"/>
        <v>6967460.6265732097</v>
      </c>
      <c r="X627" s="298">
        <f t="shared" si="912"/>
        <v>6553439.6542105628</v>
      </c>
      <c r="Y627" s="298">
        <f t="shared" si="912"/>
        <v>5049800.3671574108</v>
      </c>
      <c r="Z627" s="298">
        <f t="shared" si="912"/>
        <v>6311742.5360750463</v>
      </c>
      <c r="AA627" s="298">
        <f t="shared" si="912"/>
        <v>6515192.4731135005</v>
      </c>
      <c r="AB627" s="298">
        <f t="shared" ref="AB627" si="913">AB620*AB$622*AB$623</f>
        <v>2148711.9100165195</v>
      </c>
    </row>
    <row r="628" spans="1:28" s="25" customFormat="1" x14ac:dyDescent="0.2">
      <c r="B628" s="161" t="s">
        <v>145</v>
      </c>
      <c r="C628" s="63">
        <f>SUM(C625:C627)</f>
        <v>379455.37179834512</v>
      </c>
      <c r="D628" s="63">
        <f t="shared" ref="D628:K628" si="914">SUM(D625:D627)</f>
        <v>410654.84103876707</v>
      </c>
      <c r="E628" s="63">
        <f t="shared" si="914"/>
        <v>345279.31044986675</v>
      </c>
      <c r="F628" s="63">
        <f t="shared" si="914"/>
        <v>832613.35306008905</v>
      </c>
      <c r="G628" s="63">
        <f t="shared" si="914"/>
        <v>1009883.7947046957</v>
      </c>
      <c r="H628" s="63">
        <f t="shared" si="914"/>
        <v>1117894.1883274133</v>
      </c>
      <c r="I628" s="63">
        <f t="shared" si="914"/>
        <v>1323422.2608693847</v>
      </c>
      <c r="J628" s="63">
        <f t="shared" si="914"/>
        <v>1525548.3312586364</v>
      </c>
      <c r="K628" s="274">
        <f t="shared" si="914"/>
        <v>1072438.8535769351</v>
      </c>
      <c r="L628" s="298">
        <f t="shared" ref="L628:AA628" si="915">SUM(L625:L627)</f>
        <v>1295195.5296952482</v>
      </c>
      <c r="M628" s="298">
        <f t="shared" si="915"/>
        <v>1485166.7176580697</v>
      </c>
      <c r="N628" s="298">
        <f t="shared" si="915"/>
        <v>1743229.9948767379</v>
      </c>
      <c r="O628" s="298">
        <f t="shared" si="915"/>
        <v>6000861.8927897271</v>
      </c>
      <c r="P628" s="418">
        <f t="shared" si="915"/>
        <v>3813411.7390585095</v>
      </c>
      <c r="Q628" s="298">
        <f t="shared" si="915"/>
        <v>7108405.77305183</v>
      </c>
      <c r="R628" s="298">
        <f t="shared" si="915"/>
        <v>4010389.4442994855</v>
      </c>
      <c r="S628" s="298">
        <f t="shared" si="915"/>
        <v>4639202.5496990494</v>
      </c>
      <c r="T628" s="298">
        <f t="shared" si="915"/>
        <v>8688577.8768407796</v>
      </c>
      <c r="U628" s="298">
        <f t="shared" si="915"/>
        <v>3170286.1913940292</v>
      </c>
      <c r="V628" s="298">
        <f t="shared" si="915"/>
        <v>5679731.9473540038</v>
      </c>
      <c r="W628" s="298">
        <f t="shared" si="915"/>
        <v>9909496.6251416635</v>
      </c>
      <c r="X628" s="298">
        <f t="shared" si="915"/>
        <v>10487433.129223242</v>
      </c>
      <c r="Y628" s="298">
        <f t="shared" si="915"/>
        <v>9142116.6180666946</v>
      </c>
      <c r="Z628" s="298">
        <f t="shared" si="915"/>
        <v>10762568.393591836</v>
      </c>
      <c r="AA628" s="298">
        <f t="shared" si="915"/>
        <v>11399244.631593809</v>
      </c>
      <c r="AB628" s="298">
        <f t="shared" ref="AB628" si="916">SUM(AB625:AB627)</f>
        <v>7495924.5282086134</v>
      </c>
    </row>
    <row r="629" spans="1:28" s="25" customFormat="1" x14ac:dyDescent="0.2">
      <c r="B629"/>
      <c r="K629" s="249"/>
      <c r="L629" s="84"/>
      <c r="P629" s="388"/>
    </row>
    <row r="630" spans="1:28" s="25" customFormat="1" x14ac:dyDescent="0.2">
      <c r="B630" s="137" t="s">
        <v>97</v>
      </c>
      <c r="C630" s="165">
        <f>SUM(C631:C633)</f>
        <v>379455.371798345</v>
      </c>
      <c r="D630" s="165">
        <f t="shared" ref="D630:AA630" si="917">SUM(D631:D633)</f>
        <v>102663.71025969164</v>
      </c>
      <c r="E630" s="165">
        <f t="shared" si="917"/>
        <v>345279.31044986693</v>
      </c>
      <c r="F630" s="165">
        <f t="shared" si="917"/>
        <v>832613.3530600887</v>
      </c>
      <c r="G630" s="165">
        <f t="shared" si="917"/>
        <v>1009883.7947046953</v>
      </c>
      <c r="H630" s="165">
        <f t="shared" si="917"/>
        <v>1117894.1883274133</v>
      </c>
      <c r="I630" s="165">
        <f t="shared" si="917"/>
        <v>1323422.2608693847</v>
      </c>
      <c r="J630" s="165">
        <f t="shared" si="917"/>
        <v>1525548.3312586364</v>
      </c>
      <c r="K630" s="273">
        <f t="shared" si="917"/>
        <v>3345770.4740192313</v>
      </c>
      <c r="L630" s="296">
        <f t="shared" si="917"/>
        <v>5982206.9830535362</v>
      </c>
      <c r="M630" s="296">
        <f t="shared" si="917"/>
        <v>9413877.179612387</v>
      </c>
      <c r="N630" s="296">
        <f t="shared" si="917"/>
        <v>13887782.3270944</v>
      </c>
      <c r="O630" s="296">
        <f t="shared" si="917"/>
        <v>12341251.613940712</v>
      </c>
      <c r="P630" s="417">
        <f t="shared" si="917"/>
        <v>11378473.651721857</v>
      </c>
      <c r="Q630" s="296">
        <f t="shared" si="917"/>
        <v>10039362.231073635</v>
      </c>
      <c r="R630" s="296">
        <f t="shared" si="917"/>
        <v>8848839.8603176251</v>
      </c>
      <c r="S630" s="296">
        <f t="shared" si="917"/>
        <v>10858268.377902575</v>
      </c>
      <c r="T630" s="296">
        <f t="shared" si="917"/>
        <v>8688577.8768407796</v>
      </c>
      <c r="U630" s="296">
        <f t="shared" si="917"/>
        <v>8219155.54212688</v>
      </c>
      <c r="V630" s="296">
        <f t="shared" si="917"/>
        <v>12219014.830650954</v>
      </c>
      <c r="W630" s="296">
        <f t="shared" si="917"/>
        <v>12531731.640822513</v>
      </c>
      <c r="X630" s="296">
        <f t="shared" si="917"/>
        <v>9366538.6300248075</v>
      </c>
      <c r="Y630" s="296">
        <f t="shared" si="917"/>
        <v>9142116.6180666946</v>
      </c>
      <c r="Z630" s="296">
        <f t="shared" si="917"/>
        <v>10762568.393591836</v>
      </c>
      <c r="AA630" s="296">
        <f t="shared" si="917"/>
        <v>11399244.631593805</v>
      </c>
      <c r="AB630" s="296">
        <f t="shared" ref="AB630" si="918">SUM(AB631:AB633)</f>
        <v>7495924.5282086153</v>
      </c>
    </row>
    <row r="631" spans="1:28" s="25" customFormat="1" x14ac:dyDescent="0.2">
      <c r="B631" t="s">
        <v>138</v>
      </c>
      <c r="C631" s="165">
        <f>C618-C625</f>
        <v>94165.76519999998</v>
      </c>
      <c r="D631" s="165">
        <f t="shared" ref="D631:AA631" si="919">D618-D625</f>
        <v>47418.590808143403</v>
      </c>
      <c r="E631" s="165">
        <f t="shared" si="919"/>
        <v>153119.9372974571</v>
      </c>
      <c r="F631" s="165">
        <f t="shared" si="919"/>
        <v>160106.95091233801</v>
      </c>
      <c r="G631" s="165">
        <f t="shared" si="919"/>
        <v>211468.78602787777</v>
      </c>
      <c r="H631" s="165">
        <f t="shared" si="919"/>
        <v>231155.32529660224</v>
      </c>
      <c r="I631" s="165">
        <f t="shared" si="919"/>
        <v>259355.75378527053</v>
      </c>
      <c r="J631" s="165">
        <f t="shared" si="919"/>
        <v>308648.3806584035</v>
      </c>
      <c r="K631" s="273">
        <f t="shared" si="919"/>
        <v>546340.30474871723</v>
      </c>
      <c r="L631" s="296">
        <f t="shared" si="919"/>
        <v>687341.79614418838</v>
      </c>
      <c r="M631" s="296">
        <f t="shared" si="919"/>
        <v>849750.56123295554</v>
      </c>
      <c r="N631" s="296">
        <f t="shared" si="919"/>
        <v>1031336.6352647914</v>
      </c>
      <c r="O631" s="296">
        <f t="shared" si="919"/>
        <v>897266.83199829748</v>
      </c>
      <c r="P631" s="417">
        <f t="shared" si="919"/>
        <v>1215544.0649013245</v>
      </c>
      <c r="Q631" s="296">
        <f t="shared" si="919"/>
        <v>1069676.74196618</v>
      </c>
      <c r="R631" s="296">
        <f t="shared" si="919"/>
        <v>1446237.5503378692</v>
      </c>
      <c r="S631" s="296">
        <f t="shared" si="919"/>
        <v>1588347.781144497</v>
      </c>
      <c r="T631" s="296">
        <f t="shared" si="919"/>
        <v>1259733.2367068834</v>
      </c>
      <c r="U631" s="296">
        <f t="shared" si="919"/>
        <v>2115820.5933644399</v>
      </c>
      <c r="V631" s="296">
        <f t="shared" si="919"/>
        <v>2167050.486539565</v>
      </c>
      <c r="W631" s="296">
        <f t="shared" si="919"/>
        <v>1945042.4771392748</v>
      </c>
      <c r="X631" s="296">
        <f t="shared" si="919"/>
        <v>1828658.21354388</v>
      </c>
      <c r="Y631" s="296">
        <f t="shared" si="919"/>
        <v>2120302.7517642565</v>
      </c>
      <c r="Z631" s="296">
        <f t="shared" si="919"/>
        <v>2295617.0309174773</v>
      </c>
      <c r="AA631" s="296">
        <f t="shared" si="919"/>
        <v>2518607.492013115</v>
      </c>
      <c r="AB631" s="296">
        <f t="shared" ref="AB631" si="920">AB618-AB625</f>
        <v>2756950.6837865701</v>
      </c>
    </row>
    <row r="632" spans="1:28" s="107" customFormat="1" x14ac:dyDescent="0.2">
      <c r="A632" s="25"/>
      <c r="B632" t="s">
        <v>139</v>
      </c>
      <c r="C632" s="166">
        <f>C619-C626</f>
        <v>114462.27499999997</v>
      </c>
      <c r="D632" s="166">
        <f t="shared" ref="D632:K632" si="921">D619-D626</f>
        <v>49726.245015999943</v>
      </c>
      <c r="E632" s="166">
        <f t="shared" si="921"/>
        <v>120473.30437718605</v>
      </c>
      <c r="F632" s="166">
        <f t="shared" si="921"/>
        <v>92024.412899948045</v>
      </c>
      <c r="G632" s="166">
        <f t="shared" si="921"/>
        <v>85212.409406594757</v>
      </c>
      <c r="H632" s="166">
        <f t="shared" si="921"/>
        <v>106097.36596254865</v>
      </c>
      <c r="I632" s="166">
        <f t="shared" si="921"/>
        <v>159700.67548096165</v>
      </c>
      <c r="J632" s="166">
        <f t="shared" si="921"/>
        <v>192306.66789465549</v>
      </c>
      <c r="K632" s="275">
        <f t="shared" si="921"/>
        <v>438472.15314529382</v>
      </c>
      <c r="L632" s="297">
        <f t="shared" ref="L632:AA632" si="922">L619-L626</f>
        <v>546837.81699729548</v>
      </c>
      <c r="M632" s="297">
        <f t="shared" si="922"/>
        <v>678949.04835350218</v>
      </c>
      <c r="N632" s="297">
        <f t="shared" si="922"/>
        <v>831079.01136473962</v>
      </c>
      <c r="O632" s="297">
        <f t="shared" si="922"/>
        <v>729384.40348681191</v>
      </c>
      <c r="P632" s="419">
        <f t="shared" si="922"/>
        <v>1005914.4115724568</v>
      </c>
      <c r="Q632" s="297">
        <f t="shared" si="922"/>
        <v>901445.25485735212</v>
      </c>
      <c r="R632" s="297">
        <f t="shared" si="922"/>
        <v>1252954.6287437228</v>
      </c>
      <c r="S632" s="297">
        <f t="shared" si="922"/>
        <v>1427999.7519186586</v>
      </c>
      <c r="T632" s="297">
        <f t="shared" si="922"/>
        <v>1122169.2833319509</v>
      </c>
      <c r="U632" s="297">
        <f t="shared" si="922"/>
        <v>1867636.8807201991</v>
      </c>
      <c r="V632" s="297">
        <f t="shared" si="922"/>
        <v>1930406.7087896422</v>
      </c>
      <c r="W632" s="297">
        <f t="shared" si="922"/>
        <v>1775510.3426839099</v>
      </c>
      <c r="X632" s="297">
        <f t="shared" si="922"/>
        <v>1684870.9217499683</v>
      </c>
      <c r="Y632" s="297">
        <f t="shared" si="922"/>
        <v>1972013.4991450273</v>
      </c>
      <c r="Z632" s="297">
        <f t="shared" si="922"/>
        <v>2155208.8265993129</v>
      </c>
      <c r="AA632" s="297">
        <f t="shared" si="922"/>
        <v>2365444.6664671921</v>
      </c>
      <c r="AB632" s="297">
        <f t="shared" ref="AB632" si="923">AB619-AB626</f>
        <v>2590261.9344055252</v>
      </c>
    </row>
    <row r="633" spans="1:28" s="107" customFormat="1" x14ac:dyDescent="0.2">
      <c r="A633" s="25"/>
      <c r="B633" t="s">
        <v>140</v>
      </c>
      <c r="C633" s="104">
        <f>C620-C627</f>
        <v>170827.33159834504</v>
      </c>
      <c r="D633" s="104">
        <f t="shared" ref="D633:K633" si="924">D620-D627</f>
        <v>5518.8744355482886</v>
      </c>
      <c r="E633" s="104">
        <f t="shared" si="924"/>
        <v>71686.068775223786</v>
      </c>
      <c r="F633" s="104">
        <f t="shared" si="924"/>
        <v>580481.98924780264</v>
      </c>
      <c r="G633" s="104">
        <f t="shared" si="924"/>
        <v>713202.59927022282</v>
      </c>
      <c r="H633" s="104">
        <f t="shared" si="924"/>
        <v>780641.49706826243</v>
      </c>
      <c r="I633" s="104">
        <f t="shared" si="924"/>
        <v>904365.83160315256</v>
      </c>
      <c r="J633" s="104">
        <f t="shared" si="924"/>
        <v>1024593.2827055773</v>
      </c>
      <c r="K633" s="276">
        <f t="shared" si="924"/>
        <v>2360958.0161252203</v>
      </c>
      <c r="L633" s="104">
        <f t="shared" ref="L633:AA633" si="925">L620-L627</f>
        <v>4748027.3699120525</v>
      </c>
      <c r="M633" s="104">
        <f t="shared" si="925"/>
        <v>7885177.5700259292</v>
      </c>
      <c r="N633" s="104">
        <f t="shared" si="925"/>
        <v>12025366.680464869</v>
      </c>
      <c r="O633" s="104">
        <f t="shared" si="925"/>
        <v>10714600.378455602</v>
      </c>
      <c r="P633" s="420">
        <f t="shared" si="925"/>
        <v>9157015.1752480753</v>
      </c>
      <c r="Q633" s="104">
        <f t="shared" si="925"/>
        <v>8068240.2342501022</v>
      </c>
      <c r="R633" s="104">
        <f t="shared" si="925"/>
        <v>6149647.6812360324</v>
      </c>
      <c r="S633" s="104">
        <f t="shared" si="925"/>
        <v>7841920.8448394183</v>
      </c>
      <c r="T633" s="104">
        <f t="shared" si="925"/>
        <v>6306675.3568019457</v>
      </c>
      <c r="U633" s="104">
        <f t="shared" si="925"/>
        <v>4235698.068042241</v>
      </c>
      <c r="V633" s="104">
        <f t="shared" si="925"/>
        <v>8121557.6353217466</v>
      </c>
      <c r="W633" s="104">
        <f t="shared" si="925"/>
        <v>8811178.820999328</v>
      </c>
      <c r="X633" s="104">
        <f t="shared" si="925"/>
        <v>5853009.4947309596</v>
      </c>
      <c r="Y633" s="104">
        <f t="shared" si="925"/>
        <v>5049800.3671574108</v>
      </c>
      <c r="Z633" s="104">
        <f t="shared" si="925"/>
        <v>6311742.5360750463</v>
      </c>
      <c r="AA633" s="104">
        <f t="shared" si="925"/>
        <v>6515192.4731134968</v>
      </c>
      <c r="AB633" s="104">
        <f t="shared" ref="AB633" si="926">AB620-AB627</f>
        <v>2148711.9100165204</v>
      </c>
    </row>
    <row r="634" spans="1:28" s="107" customFormat="1" x14ac:dyDescent="0.2">
      <c r="A634" s="25"/>
      <c r="B634"/>
      <c r="C634" s="104"/>
      <c r="D634" s="104"/>
      <c r="E634" s="104"/>
      <c r="F634" s="104"/>
      <c r="G634" s="104"/>
      <c r="H634" s="104"/>
      <c r="I634" s="104"/>
      <c r="J634" s="104"/>
      <c r="K634" s="276"/>
      <c r="L634" s="104"/>
      <c r="M634" s="104"/>
      <c r="N634" s="104"/>
      <c r="O634" s="104"/>
      <c r="P634" s="420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</row>
    <row r="635" spans="1:28" s="107" customFormat="1" x14ac:dyDescent="0.2">
      <c r="A635" s="151" t="s">
        <v>98</v>
      </c>
      <c r="B635" t="s">
        <v>144</v>
      </c>
      <c r="C635" s="104">
        <f>C616-C628</f>
        <v>379455.37179834512</v>
      </c>
      <c r="D635" s="104">
        <f t="shared" ref="D635:AA635" si="927">D616-D628</f>
        <v>102663.7102596917</v>
      </c>
      <c r="E635" s="104">
        <f t="shared" si="927"/>
        <v>345279.31044986699</v>
      </c>
      <c r="F635" s="104">
        <f t="shared" si="927"/>
        <v>832613.35306008882</v>
      </c>
      <c r="G635" s="104">
        <f t="shared" si="927"/>
        <v>1009883.7947046955</v>
      </c>
      <c r="H635" s="104">
        <f t="shared" si="927"/>
        <v>1117894.1883274133</v>
      </c>
      <c r="I635" s="104">
        <f t="shared" si="927"/>
        <v>1323422.2608693847</v>
      </c>
      <c r="J635" s="104">
        <f t="shared" si="927"/>
        <v>1525548.3312586364</v>
      </c>
      <c r="K635" s="276">
        <f t="shared" si="927"/>
        <v>1072438.8535769351</v>
      </c>
      <c r="L635" s="104">
        <f t="shared" si="927"/>
        <v>1295195.5296952482</v>
      </c>
      <c r="M635" s="104">
        <f t="shared" si="927"/>
        <v>1485166.7176580692</v>
      </c>
      <c r="N635" s="104">
        <f t="shared" si="927"/>
        <v>1743229.9948767379</v>
      </c>
      <c r="O635" s="104">
        <f t="shared" si="927"/>
        <v>6000861.8927897271</v>
      </c>
      <c r="P635" s="420">
        <f t="shared" si="927"/>
        <v>3813411.7390585095</v>
      </c>
      <c r="Q635" s="104">
        <f t="shared" si="927"/>
        <v>7108405.77305183</v>
      </c>
      <c r="R635" s="104">
        <f t="shared" si="927"/>
        <v>4010389.4442994855</v>
      </c>
      <c r="S635" s="104">
        <f t="shared" si="927"/>
        <v>4639202.5496990494</v>
      </c>
      <c r="T635" s="104">
        <f t="shared" si="927"/>
        <v>8688577.8768407796</v>
      </c>
      <c r="U635" s="104">
        <f t="shared" si="927"/>
        <v>3170286.1913940301</v>
      </c>
      <c r="V635" s="104">
        <f t="shared" si="927"/>
        <v>5679731.9473540056</v>
      </c>
      <c r="W635" s="104">
        <f t="shared" si="927"/>
        <v>9909496.6251416635</v>
      </c>
      <c r="X635" s="104">
        <f t="shared" si="927"/>
        <v>10487433.129223246</v>
      </c>
      <c r="Y635" s="104">
        <f t="shared" si="927"/>
        <v>9142116.6180666946</v>
      </c>
      <c r="Z635" s="104">
        <f t="shared" si="927"/>
        <v>10762568.393591836</v>
      </c>
      <c r="AA635" s="104">
        <f t="shared" si="927"/>
        <v>11399244.631593809</v>
      </c>
      <c r="AB635" s="104">
        <f t="shared" ref="AB635" si="928">AB616-AB628</f>
        <v>7495924.5282086134</v>
      </c>
    </row>
    <row r="636" spans="1:28" s="107" customFormat="1" x14ac:dyDescent="0.2">
      <c r="A636" s="25"/>
      <c r="B636" t="s">
        <v>138</v>
      </c>
      <c r="C636" s="104">
        <f>MIN(C635,C631)</f>
        <v>94165.76519999998</v>
      </c>
      <c r="D636" s="104">
        <f t="shared" ref="D636:AA636" si="929">MIN(D635,D631)</f>
        <v>47418.590808143403</v>
      </c>
      <c r="E636" s="104">
        <f t="shared" si="929"/>
        <v>153119.9372974571</v>
      </c>
      <c r="F636" s="104">
        <f t="shared" si="929"/>
        <v>160106.95091233801</v>
      </c>
      <c r="G636" s="104">
        <f t="shared" si="929"/>
        <v>211468.78602787777</v>
      </c>
      <c r="H636" s="104">
        <f t="shared" si="929"/>
        <v>231155.32529660224</v>
      </c>
      <c r="I636" s="104">
        <f t="shared" si="929"/>
        <v>259355.75378527053</v>
      </c>
      <c r="J636" s="104">
        <f t="shared" si="929"/>
        <v>308648.3806584035</v>
      </c>
      <c r="K636" s="276">
        <f t="shared" si="929"/>
        <v>546340.30474871723</v>
      </c>
      <c r="L636" s="104">
        <f t="shared" si="929"/>
        <v>687341.79614418838</v>
      </c>
      <c r="M636" s="104">
        <f t="shared" si="929"/>
        <v>849750.56123295554</v>
      </c>
      <c r="N636" s="104">
        <f t="shared" si="929"/>
        <v>1031336.6352647914</v>
      </c>
      <c r="O636" s="104">
        <f t="shared" si="929"/>
        <v>897266.83199829748</v>
      </c>
      <c r="P636" s="420">
        <f t="shared" si="929"/>
        <v>1215544.0649013245</v>
      </c>
      <c r="Q636" s="104">
        <f t="shared" si="929"/>
        <v>1069676.74196618</v>
      </c>
      <c r="R636" s="104">
        <f t="shared" si="929"/>
        <v>1446237.5503378692</v>
      </c>
      <c r="S636" s="104">
        <f t="shared" si="929"/>
        <v>1588347.781144497</v>
      </c>
      <c r="T636" s="104">
        <f t="shared" si="929"/>
        <v>1259733.2367068834</v>
      </c>
      <c r="U636" s="104">
        <f t="shared" si="929"/>
        <v>2115820.5933644399</v>
      </c>
      <c r="V636" s="104">
        <f t="shared" si="929"/>
        <v>2167050.486539565</v>
      </c>
      <c r="W636" s="104">
        <f t="shared" si="929"/>
        <v>1945042.4771392748</v>
      </c>
      <c r="X636" s="104">
        <f t="shared" si="929"/>
        <v>1828658.21354388</v>
      </c>
      <c r="Y636" s="104">
        <f t="shared" si="929"/>
        <v>2120302.7517642565</v>
      </c>
      <c r="Z636" s="104">
        <f t="shared" si="929"/>
        <v>2295617.0309174773</v>
      </c>
      <c r="AA636" s="104">
        <f t="shared" si="929"/>
        <v>2518607.492013115</v>
      </c>
      <c r="AB636" s="104">
        <f t="shared" ref="AB636" si="930">MIN(AB635,AB631)</f>
        <v>2756950.6837865701</v>
      </c>
    </row>
    <row r="637" spans="1:28" s="107" customFormat="1" x14ac:dyDescent="0.2">
      <c r="A637" s="25"/>
      <c r="B637" t="s">
        <v>139</v>
      </c>
      <c r="C637" s="104">
        <f>MIN(C635-C636,C632)</f>
        <v>114462.27499999997</v>
      </c>
      <c r="D637" s="104">
        <f t="shared" ref="D637:AA637" si="931">MIN(D635-D636,D632)</f>
        <v>49726.245015999943</v>
      </c>
      <c r="E637" s="104">
        <f t="shared" si="931"/>
        <v>120473.30437718605</v>
      </c>
      <c r="F637" s="104">
        <f t="shared" si="931"/>
        <v>92024.412899948045</v>
      </c>
      <c r="G637" s="104">
        <f t="shared" si="931"/>
        <v>85212.409406594757</v>
      </c>
      <c r="H637" s="104">
        <f t="shared" si="931"/>
        <v>106097.36596254865</v>
      </c>
      <c r="I637" s="104">
        <f t="shared" si="931"/>
        <v>159700.67548096165</v>
      </c>
      <c r="J637" s="104">
        <f t="shared" si="931"/>
        <v>192306.66789465549</v>
      </c>
      <c r="K637" s="276">
        <f t="shared" si="931"/>
        <v>438472.15314529382</v>
      </c>
      <c r="L637" s="104">
        <f t="shared" si="931"/>
        <v>546837.81699729548</v>
      </c>
      <c r="M637" s="104">
        <f t="shared" si="931"/>
        <v>635416.15642511367</v>
      </c>
      <c r="N637" s="104">
        <f t="shared" si="931"/>
        <v>711893.35961194651</v>
      </c>
      <c r="O637" s="104">
        <f t="shared" si="931"/>
        <v>729384.40348681191</v>
      </c>
      <c r="P637" s="420">
        <f t="shared" si="931"/>
        <v>1005914.4115724568</v>
      </c>
      <c r="Q637" s="104">
        <f t="shared" si="931"/>
        <v>901445.25485735212</v>
      </c>
      <c r="R637" s="104">
        <f t="shared" si="931"/>
        <v>1252954.6287437228</v>
      </c>
      <c r="S637" s="104">
        <f t="shared" si="931"/>
        <v>1427999.7519186586</v>
      </c>
      <c r="T637" s="104">
        <f t="shared" si="931"/>
        <v>1122169.2833319509</v>
      </c>
      <c r="U637" s="104">
        <f t="shared" si="931"/>
        <v>1054465.5980295902</v>
      </c>
      <c r="V637" s="104">
        <f t="shared" si="931"/>
        <v>1930406.7087896422</v>
      </c>
      <c r="W637" s="104">
        <f t="shared" si="931"/>
        <v>1775510.3426839099</v>
      </c>
      <c r="X637" s="104">
        <f t="shared" si="931"/>
        <v>1684870.9217499683</v>
      </c>
      <c r="Y637" s="104">
        <f t="shared" si="931"/>
        <v>1972013.4991450273</v>
      </c>
      <c r="Z637" s="104">
        <f t="shared" si="931"/>
        <v>2155208.8265993129</v>
      </c>
      <c r="AA637" s="104">
        <f t="shared" si="931"/>
        <v>2365444.6664671921</v>
      </c>
      <c r="AB637" s="104">
        <f t="shared" ref="AB637" si="932">MIN(AB635-AB636,AB632)</f>
        <v>2590261.9344055252</v>
      </c>
    </row>
    <row r="638" spans="1:28" s="107" customFormat="1" x14ac:dyDescent="0.2">
      <c r="A638" s="25"/>
      <c r="B638" t="s">
        <v>140</v>
      </c>
      <c r="C638" s="104">
        <f>MIN(C635-C636-C637,C633)</f>
        <v>170827.33159834504</v>
      </c>
      <c r="D638" s="104">
        <f t="shared" ref="D638:AA638" si="933">MIN(D635-D636-D637,D633)</f>
        <v>5518.8744355482886</v>
      </c>
      <c r="E638" s="104">
        <f t="shared" si="933"/>
        <v>71686.068775223786</v>
      </c>
      <c r="F638" s="104">
        <f t="shared" si="933"/>
        <v>580481.98924780264</v>
      </c>
      <c r="G638" s="104">
        <f t="shared" si="933"/>
        <v>713202.59927022282</v>
      </c>
      <c r="H638" s="104">
        <f t="shared" si="933"/>
        <v>780641.49706826243</v>
      </c>
      <c r="I638" s="104">
        <f t="shared" si="933"/>
        <v>904365.83160315256</v>
      </c>
      <c r="J638" s="104">
        <f t="shared" si="933"/>
        <v>1024593.2827055773</v>
      </c>
      <c r="K638" s="276">
        <f t="shared" si="933"/>
        <v>87626.395682924078</v>
      </c>
      <c r="L638" s="104">
        <f t="shared" si="933"/>
        <v>61015.916553764371</v>
      </c>
      <c r="M638" s="104">
        <f t="shared" si="933"/>
        <v>0</v>
      </c>
      <c r="N638" s="104">
        <f t="shared" si="933"/>
        <v>0</v>
      </c>
      <c r="O638" s="104">
        <f t="shared" si="933"/>
        <v>4374210.6573046176</v>
      </c>
      <c r="P638" s="420">
        <f t="shared" si="933"/>
        <v>1591953.2625847282</v>
      </c>
      <c r="Q638" s="104">
        <f t="shared" si="933"/>
        <v>5137283.7762282975</v>
      </c>
      <c r="R638" s="104">
        <f t="shared" si="933"/>
        <v>1311197.2652178935</v>
      </c>
      <c r="S638" s="104">
        <f t="shared" si="933"/>
        <v>1622855.0166358938</v>
      </c>
      <c r="T638" s="104">
        <f t="shared" si="933"/>
        <v>6306675.3568019448</v>
      </c>
      <c r="U638" s="104">
        <f t="shared" si="933"/>
        <v>0</v>
      </c>
      <c r="V638" s="104">
        <f t="shared" si="933"/>
        <v>1582274.7520247984</v>
      </c>
      <c r="W638" s="104">
        <f t="shared" si="933"/>
        <v>6188943.8053184785</v>
      </c>
      <c r="X638" s="104">
        <f t="shared" si="933"/>
        <v>5853009.4947309596</v>
      </c>
      <c r="Y638" s="104">
        <f t="shared" si="933"/>
        <v>5049800.3671574108</v>
      </c>
      <c r="Z638" s="104">
        <f t="shared" si="933"/>
        <v>6311742.5360750463</v>
      </c>
      <c r="AA638" s="104">
        <f t="shared" si="933"/>
        <v>6515192.4731134968</v>
      </c>
      <c r="AB638" s="104">
        <f t="shared" ref="AB638" si="934">MIN(AB635-AB636-AB637,AB633)</f>
        <v>2148711.9100165181</v>
      </c>
    </row>
    <row r="639" spans="1:28" s="107" customFormat="1" x14ac:dyDescent="0.2">
      <c r="A639" s="25"/>
      <c r="B639"/>
      <c r="C639" s="104"/>
      <c r="D639" s="104"/>
      <c r="E639" s="104"/>
      <c r="F639" s="104"/>
      <c r="G639" s="104"/>
      <c r="H639" s="104"/>
      <c r="I639" s="104"/>
      <c r="J639" s="104"/>
      <c r="K639" s="276"/>
      <c r="L639" s="104"/>
      <c r="M639" s="104"/>
      <c r="N639" s="104"/>
      <c r="O639" s="104"/>
      <c r="P639" s="420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</row>
    <row r="640" spans="1:28" x14ac:dyDescent="0.2">
      <c r="A640" s="25"/>
      <c r="B640" s="159" t="s">
        <v>146</v>
      </c>
      <c r="C640">
        <v>1</v>
      </c>
      <c r="D640">
        <v>2</v>
      </c>
      <c r="E640">
        <v>3</v>
      </c>
      <c r="F640">
        <v>4</v>
      </c>
      <c r="G640">
        <v>5</v>
      </c>
      <c r="H640">
        <v>6</v>
      </c>
      <c r="I640">
        <v>7</v>
      </c>
      <c r="J640">
        <v>8</v>
      </c>
      <c r="K640">
        <v>9</v>
      </c>
      <c r="L640">
        <v>10</v>
      </c>
      <c r="M640">
        <v>11</v>
      </c>
      <c r="N640">
        <v>12</v>
      </c>
      <c r="O640">
        <v>13</v>
      </c>
      <c r="P640" s="387">
        <v>14</v>
      </c>
      <c r="Q640">
        <v>15</v>
      </c>
      <c r="R640">
        <v>16</v>
      </c>
      <c r="S640">
        <v>17</v>
      </c>
      <c r="T640">
        <v>18</v>
      </c>
      <c r="U640">
        <v>19</v>
      </c>
      <c r="V640">
        <v>20</v>
      </c>
      <c r="W640">
        <v>21</v>
      </c>
      <c r="X640">
        <v>22</v>
      </c>
      <c r="Y640">
        <v>23</v>
      </c>
      <c r="Z640">
        <v>24</v>
      </c>
      <c r="AA640">
        <v>25</v>
      </c>
      <c r="AB640">
        <v>26</v>
      </c>
    </row>
    <row r="641" spans="1:28" x14ac:dyDescent="0.2">
      <c r="A641" s="25"/>
      <c r="B641" t="s">
        <v>138</v>
      </c>
      <c r="C641" s="83">
        <f>C625+C636</f>
        <v>188331.53039999999</v>
      </c>
      <c r="D641" s="167">
        <f t="shared" ref="D641:AA641" si="935">D625+D636</f>
        <v>237092.95404071725</v>
      </c>
      <c r="E641" s="167">
        <f t="shared" si="935"/>
        <v>306239.87459491414</v>
      </c>
      <c r="F641" s="167">
        <f t="shared" si="935"/>
        <v>320213.90182467608</v>
      </c>
      <c r="G641" s="167">
        <f t="shared" si="935"/>
        <v>422937.57205575565</v>
      </c>
      <c r="H641" s="167">
        <f t="shared" si="935"/>
        <v>462310.65059320448</v>
      </c>
      <c r="I641" s="167">
        <f t="shared" si="935"/>
        <v>518711.50757054106</v>
      </c>
      <c r="J641" s="167">
        <f t="shared" si="935"/>
        <v>617296.76131680701</v>
      </c>
      <c r="K641" s="258">
        <f t="shared" si="935"/>
        <v>721461.87230315071</v>
      </c>
      <c r="L641" s="83">
        <f t="shared" si="935"/>
        <v>836156.77768202941</v>
      </c>
      <c r="M641" s="83">
        <f t="shared" si="935"/>
        <v>983810.22950519598</v>
      </c>
      <c r="N641" s="83">
        <f t="shared" si="935"/>
        <v>1160792.6502760076</v>
      </c>
      <c r="O641" s="83">
        <f t="shared" si="935"/>
        <v>1333557.6158050664</v>
      </c>
      <c r="P641" s="421">
        <f t="shared" si="935"/>
        <v>1622924.7161485292</v>
      </c>
      <c r="Q641" s="83">
        <f t="shared" si="935"/>
        <v>1827065.1251004054</v>
      </c>
      <c r="R641" s="83">
        <f t="shared" si="935"/>
        <v>2101687.9706618222</v>
      </c>
      <c r="S641" s="83">
        <f t="shared" si="935"/>
        <v>2266970.4509516084</v>
      </c>
      <c r="T641" s="83">
        <f t="shared" si="935"/>
        <v>2519466.4734137668</v>
      </c>
      <c r="U641" s="83">
        <f t="shared" si="935"/>
        <v>2931933.243408611</v>
      </c>
      <c r="V641" s="83">
        <f t="shared" si="935"/>
        <v>3174354.7619262328</v>
      </c>
      <c r="W641" s="83">
        <f t="shared" si="935"/>
        <v>3483089.4458584166</v>
      </c>
      <c r="X641" s="83">
        <f t="shared" si="935"/>
        <v>3876152.1158559541</v>
      </c>
      <c r="Y641" s="83">
        <f t="shared" si="935"/>
        <v>4240605.503528513</v>
      </c>
      <c r="Z641" s="83">
        <f t="shared" si="935"/>
        <v>4591234.0618349547</v>
      </c>
      <c r="AA641" s="83">
        <f t="shared" si="935"/>
        <v>5037214.9840262309</v>
      </c>
      <c r="AB641" s="83">
        <f t="shared" ref="AB641" si="936">AB625+AB636</f>
        <v>5513901.3675731393</v>
      </c>
    </row>
    <row r="642" spans="1:28" s="25" customFormat="1" x14ac:dyDescent="0.2">
      <c r="B642" t="s">
        <v>139</v>
      </c>
      <c r="C642" s="83">
        <f t="shared" ref="C642:K643" si="937">C626+C637</f>
        <v>228924.55</v>
      </c>
      <c r="D642" s="167">
        <f t="shared" si="937"/>
        <v>248631.22508</v>
      </c>
      <c r="E642" s="167">
        <f t="shared" si="937"/>
        <v>240946.60875437205</v>
      </c>
      <c r="F642" s="167">
        <f t="shared" si="937"/>
        <v>184048.82579989612</v>
      </c>
      <c r="G642" s="167">
        <f t="shared" si="937"/>
        <v>170424.81881318954</v>
      </c>
      <c r="H642" s="167">
        <f t="shared" si="937"/>
        <v>212194.73192509729</v>
      </c>
      <c r="I642" s="167">
        <f t="shared" si="937"/>
        <v>319401.35096192331</v>
      </c>
      <c r="J642" s="167">
        <f t="shared" si="937"/>
        <v>384613.33578931098</v>
      </c>
      <c r="K642" s="258">
        <f t="shared" si="937"/>
        <v>579018.12809965538</v>
      </c>
      <c r="L642" s="83">
        <f t="shared" ref="L642:AA642" si="938">L626+L637</f>
        <v>665232.56630128599</v>
      </c>
      <c r="M642" s="83">
        <f t="shared" si="938"/>
        <v>742529.57105346979</v>
      </c>
      <c r="N642" s="83">
        <f t="shared" si="938"/>
        <v>816212.52494744107</v>
      </c>
      <c r="O642" s="83">
        <f t="shared" si="938"/>
        <v>1084043.3318514989</v>
      </c>
      <c r="P642" s="421">
        <f t="shared" si="938"/>
        <v>1343039.2266391998</v>
      </c>
      <c r="Q642" s="83">
        <f t="shared" si="938"/>
        <v>1539716.741255638</v>
      </c>
      <c r="R642" s="83">
        <f t="shared" si="938"/>
        <v>1820807.1491440234</v>
      </c>
      <c r="S642" s="83">
        <f t="shared" si="938"/>
        <v>2038113.617178482</v>
      </c>
      <c r="T642" s="83">
        <f t="shared" si="938"/>
        <v>2244338.5666639018</v>
      </c>
      <c r="U642" s="83">
        <f t="shared" si="938"/>
        <v>1774849.0222315001</v>
      </c>
      <c r="V642" s="83">
        <f t="shared" si="938"/>
        <v>2827712.4905778556</v>
      </c>
      <c r="W642" s="83">
        <f t="shared" si="938"/>
        <v>3179499.3725332217</v>
      </c>
      <c r="X642" s="83">
        <f t="shared" si="938"/>
        <v>3571370.4944505743</v>
      </c>
      <c r="Y642" s="83">
        <f t="shared" si="938"/>
        <v>3944026.9982900545</v>
      </c>
      <c r="Z642" s="83">
        <f t="shared" si="938"/>
        <v>4310417.6531986259</v>
      </c>
      <c r="AA642" s="83">
        <f t="shared" si="938"/>
        <v>4730889.3329343852</v>
      </c>
      <c r="AB642" s="83">
        <f t="shared" ref="AB642" si="939">AB626+AB637</f>
        <v>5180523.8688110495</v>
      </c>
    </row>
    <row r="643" spans="1:28" x14ac:dyDescent="0.2">
      <c r="A643" s="25"/>
      <c r="B643" t="s">
        <v>140</v>
      </c>
      <c r="C643" s="83">
        <f t="shared" si="937"/>
        <v>341654.66319669015</v>
      </c>
      <c r="D643" s="167">
        <f t="shared" si="937"/>
        <v>27594.372177741476</v>
      </c>
      <c r="E643" s="167">
        <f t="shared" si="937"/>
        <v>143372.13755044754</v>
      </c>
      <c r="F643" s="167">
        <f t="shared" si="937"/>
        <v>1160963.9784956055</v>
      </c>
      <c r="G643" s="167">
        <f t="shared" si="937"/>
        <v>1426405.1985404459</v>
      </c>
      <c r="H643" s="167">
        <f t="shared" si="937"/>
        <v>1561282.9941365249</v>
      </c>
      <c r="I643" s="167">
        <f t="shared" si="937"/>
        <v>1808731.6632063051</v>
      </c>
      <c r="J643" s="167">
        <f t="shared" si="937"/>
        <v>2049186.5654111546</v>
      </c>
      <c r="K643" s="258">
        <f t="shared" si="937"/>
        <v>844397.70675106416</v>
      </c>
      <c r="L643" s="83">
        <f t="shared" ref="L643:AA643" si="940">L627+L638</f>
        <v>1089001.7154071811</v>
      </c>
      <c r="M643" s="83">
        <f t="shared" si="940"/>
        <v>1243993.6347574731</v>
      </c>
      <c r="N643" s="83">
        <f t="shared" si="940"/>
        <v>1509454.8145300273</v>
      </c>
      <c r="O643" s="83">
        <f t="shared" si="940"/>
        <v>9584122.8379228897</v>
      </c>
      <c r="P643" s="421">
        <f t="shared" si="940"/>
        <v>4660859.5353292897</v>
      </c>
      <c r="Q643" s="83">
        <f t="shared" si="940"/>
        <v>10850029.679747617</v>
      </c>
      <c r="R643" s="83">
        <f t="shared" si="940"/>
        <v>4098283.7687931256</v>
      </c>
      <c r="S643" s="83">
        <f t="shared" si="940"/>
        <v>4973321.0312680081</v>
      </c>
      <c r="T643" s="83">
        <f t="shared" si="940"/>
        <v>12613350.713603891</v>
      </c>
      <c r="U643" s="83">
        <f t="shared" si="940"/>
        <v>1633790.1171479481</v>
      </c>
      <c r="V643" s="83">
        <f t="shared" si="940"/>
        <v>5357396.6422039215</v>
      </c>
      <c r="W643" s="83">
        <f t="shared" si="940"/>
        <v>13156404.431891687</v>
      </c>
      <c r="X643" s="83">
        <f t="shared" si="940"/>
        <v>12406449.148941522</v>
      </c>
      <c r="Y643" s="83">
        <f t="shared" si="940"/>
        <v>10099600.734314822</v>
      </c>
      <c r="Z643" s="83">
        <f t="shared" si="940"/>
        <v>12623485.072150093</v>
      </c>
      <c r="AA643" s="83">
        <f t="shared" si="940"/>
        <v>13030384.946226997</v>
      </c>
      <c r="AB643" s="83">
        <f t="shared" ref="AB643" si="941">AB627+AB638</f>
        <v>4297423.820033038</v>
      </c>
    </row>
    <row r="644" spans="1:28" x14ac:dyDescent="0.2">
      <c r="A644" s="25"/>
      <c r="C644" s="3"/>
    </row>
    <row r="645" spans="1:28" x14ac:dyDescent="0.2">
      <c r="A645" s="25"/>
    </row>
    <row r="646" spans="1:28" x14ac:dyDescent="0.2">
      <c r="A646" s="25"/>
    </row>
    <row r="647" spans="1:28" x14ac:dyDescent="0.2">
      <c r="A647" s="25"/>
    </row>
    <row r="648" spans="1:28" x14ac:dyDescent="0.2">
      <c r="A648" s="25"/>
    </row>
    <row r="649" spans="1:28" x14ac:dyDescent="0.2">
      <c r="A649" s="25"/>
      <c r="C649" s="25"/>
      <c r="D649" s="25"/>
      <c r="E649" s="25"/>
      <c r="F649" s="25"/>
      <c r="G649" s="25"/>
      <c r="H649" s="25"/>
      <c r="I649" s="25"/>
      <c r="J649" s="25"/>
      <c r="K649" s="249"/>
      <c r="L649" s="84"/>
      <c r="M649" s="25"/>
      <c r="N649" s="25"/>
      <c r="O649" s="25"/>
      <c r="P649" s="388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</row>
    <row r="650" spans="1:28" x14ac:dyDescent="0.2">
      <c r="A650" s="25"/>
    </row>
    <row r="651" spans="1:28" x14ac:dyDescent="0.2">
      <c r="C651" s="83"/>
      <c r="D651" s="83"/>
      <c r="E651" s="83"/>
      <c r="F651" s="83"/>
      <c r="G651" s="83"/>
      <c r="H651" s="83"/>
      <c r="I651" s="83"/>
      <c r="J651" s="83"/>
      <c r="K651" s="258"/>
      <c r="L651" s="83"/>
      <c r="M651" s="83"/>
      <c r="N651" s="83"/>
      <c r="O651" s="83"/>
      <c r="P651" s="421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  <c r="AB651" s="83"/>
    </row>
    <row r="652" spans="1:28" x14ac:dyDescent="0.2">
      <c r="C652" s="83"/>
      <c r="D652" s="83"/>
      <c r="E652" s="83"/>
      <c r="F652" s="83"/>
      <c r="G652" s="83"/>
      <c r="H652" s="83"/>
      <c r="I652" s="83"/>
      <c r="J652" s="83"/>
      <c r="K652" s="258"/>
      <c r="L652" s="83"/>
      <c r="M652" s="83"/>
      <c r="N652" s="83"/>
      <c r="O652" s="83"/>
      <c r="P652" s="421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  <c r="AB652" s="83"/>
    </row>
    <row r="653" spans="1:28" x14ac:dyDescent="0.2">
      <c r="C653" s="83"/>
      <c r="D653" s="83"/>
      <c r="E653" s="83"/>
      <c r="F653" s="83"/>
      <c r="G653" s="83"/>
      <c r="H653" s="83"/>
      <c r="I653" s="83"/>
      <c r="J653" s="83"/>
      <c r="K653" s="258"/>
      <c r="L653" s="83"/>
      <c r="M653" s="83"/>
      <c r="N653" s="83"/>
      <c r="O653" s="83"/>
      <c r="P653" s="421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  <c r="AB653" s="83"/>
    </row>
    <row r="654" spans="1:28" x14ac:dyDescent="0.2">
      <c r="C654" s="83"/>
      <c r="D654" s="83"/>
      <c r="E654" s="83"/>
      <c r="F654" s="83"/>
      <c r="G654" s="83"/>
      <c r="H654" s="83"/>
      <c r="I654" s="83"/>
      <c r="J654" s="83"/>
      <c r="K654" s="258"/>
      <c r="L654" s="83"/>
      <c r="M654" s="83"/>
      <c r="N654" s="83"/>
      <c r="O654" s="83"/>
      <c r="P654" s="421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  <c r="AB654" s="83"/>
    </row>
    <row r="655" spans="1:28" x14ac:dyDescent="0.2">
      <c r="C655" s="83"/>
      <c r="D655" s="83"/>
      <c r="E655" s="83"/>
      <c r="F655" s="83"/>
      <c r="G655" s="83"/>
      <c r="H655" s="83"/>
      <c r="I655" s="83"/>
      <c r="J655" s="83"/>
      <c r="K655" s="258"/>
      <c r="L655" s="83"/>
      <c r="M655" s="83"/>
      <c r="N655" s="83"/>
      <c r="O655" s="83"/>
      <c r="P655" s="421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  <c r="AB655" s="83"/>
    </row>
    <row r="656" spans="1:28" x14ac:dyDescent="0.2">
      <c r="C656" s="83"/>
      <c r="D656" s="83"/>
      <c r="E656" s="83"/>
      <c r="F656" s="83"/>
      <c r="G656" s="83"/>
      <c r="H656" s="83"/>
      <c r="I656" s="83"/>
      <c r="J656" s="83"/>
      <c r="K656" s="258"/>
      <c r="L656" s="83"/>
      <c r="M656" s="83"/>
      <c r="N656" s="83"/>
      <c r="O656" s="83"/>
      <c r="P656" s="421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  <c r="AB656" s="83"/>
    </row>
    <row r="657" spans="1:28" x14ac:dyDescent="0.2">
      <c r="C657" s="83"/>
      <c r="D657" s="83"/>
      <c r="E657" s="83"/>
      <c r="F657" s="83"/>
      <c r="G657" s="83"/>
      <c r="H657" s="83"/>
      <c r="I657" s="83"/>
      <c r="J657" s="83"/>
      <c r="K657" s="258"/>
      <c r="L657" s="83"/>
      <c r="M657" s="83"/>
      <c r="N657" s="83"/>
      <c r="O657" s="83"/>
      <c r="P657" s="421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  <c r="AB657" s="83"/>
    </row>
    <row r="658" spans="1:28" x14ac:dyDescent="0.2">
      <c r="C658" s="83"/>
      <c r="D658" s="83"/>
      <c r="E658" s="83"/>
      <c r="F658" s="83"/>
      <c r="G658" s="83"/>
      <c r="H658" s="83"/>
      <c r="I658" s="83"/>
      <c r="J658" s="83"/>
      <c r="K658" s="258"/>
      <c r="L658" s="83"/>
      <c r="M658" s="83"/>
      <c r="N658" s="83"/>
      <c r="O658" s="83"/>
      <c r="P658" s="421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  <c r="AB658" s="83"/>
    </row>
    <row r="659" spans="1:28" s="156" customFormat="1" x14ac:dyDescent="0.2">
      <c r="A659" s="156" t="s">
        <v>152</v>
      </c>
      <c r="C659" s="171"/>
      <c r="D659" s="171"/>
      <c r="E659" s="171"/>
      <c r="F659" s="171"/>
      <c r="G659" s="171"/>
      <c r="H659" s="171"/>
      <c r="I659" s="171"/>
      <c r="J659" s="171"/>
      <c r="M659" s="171"/>
      <c r="N659" s="171"/>
      <c r="O659" s="171"/>
      <c r="P659" s="421"/>
      <c r="Q659" s="171"/>
      <c r="R659" s="171"/>
      <c r="S659" s="171"/>
      <c r="T659" s="171"/>
      <c r="U659" s="171"/>
      <c r="V659" s="171"/>
      <c r="W659" s="171"/>
      <c r="X659" s="171"/>
      <c r="Y659" s="171"/>
      <c r="Z659" s="171"/>
      <c r="AA659" s="171"/>
      <c r="AB659" s="171"/>
    </row>
    <row r="660" spans="1:28" x14ac:dyDescent="0.2">
      <c r="C660" s="83"/>
      <c r="D660" s="83"/>
      <c r="E660" s="83"/>
      <c r="F660" s="83"/>
      <c r="G660" s="83"/>
      <c r="H660" s="83"/>
      <c r="I660" s="83"/>
      <c r="J660" s="83"/>
      <c r="K660" s="258"/>
      <c r="L660" s="83"/>
      <c r="M660" s="83"/>
      <c r="N660" s="83"/>
      <c r="O660" s="83"/>
      <c r="P660" s="421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  <c r="AB660" s="83"/>
    </row>
    <row r="661" spans="1:28" x14ac:dyDescent="0.2">
      <c r="A661" s="25" t="s">
        <v>148</v>
      </c>
      <c r="C661" s="38"/>
      <c r="E661" s="38"/>
      <c r="L661" s="246"/>
    </row>
    <row r="662" spans="1:28" x14ac:dyDescent="0.2">
      <c r="L662" s="246"/>
    </row>
    <row r="663" spans="1:28" x14ac:dyDescent="0.2">
      <c r="A663" s="25" t="s">
        <v>149</v>
      </c>
      <c r="C663" s="38">
        <f>SUM(C666:C672)</f>
        <v>5402426.1729265861</v>
      </c>
      <c r="D663" s="38">
        <f t="shared" ref="D663:AB663" si="942">SUM(D666:D672)</f>
        <v>5900720.7049857499</v>
      </c>
      <c r="E663" s="38">
        <f t="shared" si="942"/>
        <v>7107154.222717775</v>
      </c>
      <c r="F663" s="38">
        <f t="shared" si="942"/>
        <v>7309430.418136551</v>
      </c>
      <c r="G663" s="38">
        <f t="shared" si="942"/>
        <v>7497675.0986040737</v>
      </c>
      <c r="H663" s="38">
        <f t="shared" si="942"/>
        <v>7044330.8882491216</v>
      </c>
      <c r="I663" s="38">
        <f t="shared" si="942"/>
        <v>6817240.110375613</v>
      </c>
      <c r="J663" s="38">
        <f t="shared" si="942"/>
        <v>10555779.010395344</v>
      </c>
      <c r="K663" s="38">
        <f t="shared" si="942"/>
        <v>10504839.304311709</v>
      </c>
      <c r="L663" s="38">
        <f t="shared" si="942"/>
        <v>9565685.5195411108</v>
      </c>
      <c r="M663" s="38">
        <f t="shared" si="942"/>
        <v>11828642.902785622</v>
      </c>
      <c r="N663" s="38">
        <f t="shared" si="942"/>
        <v>11176354.438544318</v>
      </c>
      <c r="O663" s="38">
        <f t="shared" si="942"/>
        <v>14922641.5411488</v>
      </c>
      <c r="P663" s="38">
        <f t="shared" si="942"/>
        <v>22206566.151088454</v>
      </c>
      <c r="Q663" s="38">
        <f t="shared" si="942"/>
        <v>27921906.478345174</v>
      </c>
      <c r="R663" s="38">
        <f t="shared" si="942"/>
        <v>29332941.089458931</v>
      </c>
      <c r="S663" s="38">
        <f t="shared" si="942"/>
        <v>33866652.125611566</v>
      </c>
      <c r="T663" s="38">
        <f t="shared" si="942"/>
        <v>33096085.469794687</v>
      </c>
      <c r="U663" s="38">
        <f t="shared" si="942"/>
        <v>41315212.124307446</v>
      </c>
      <c r="V663" s="38">
        <f t="shared" si="942"/>
        <v>44900332.875368014</v>
      </c>
      <c r="W663" s="38">
        <f t="shared" si="942"/>
        <v>51950997.278487623</v>
      </c>
      <c r="X663" s="38">
        <f t="shared" si="942"/>
        <v>57542520.285438396</v>
      </c>
      <c r="Y663" s="38">
        <f t="shared" si="942"/>
        <v>61815931.308152996</v>
      </c>
      <c r="Z663" s="38">
        <f t="shared" si="942"/>
        <v>66917978.145240486</v>
      </c>
      <c r="AA663" s="38">
        <f t="shared" si="942"/>
        <v>72852981.414227992</v>
      </c>
      <c r="AB663" s="38">
        <f t="shared" si="942"/>
        <v>79362041.172291368</v>
      </c>
    </row>
    <row r="664" spans="1:28" s="25" customFormat="1" x14ac:dyDescent="0.2">
      <c r="B664" s="79"/>
      <c r="C664" s="25">
        <v>2006</v>
      </c>
      <c r="D664" s="25">
        <v>2007</v>
      </c>
      <c r="E664" s="25">
        <v>2008</v>
      </c>
      <c r="F664" s="25">
        <v>2009</v>
      </c>
      <c r="G664" s="25">
        <v>2010</v>
      </c>
      <c r="H664" s="25">
        <v>2011</v>
      </c>
      <c r="I664" s="25">
        <v>2012</v>
      </c>
      <c r="J664" s="25">
        <v>2013</v>
      </c>
      <c r="K664" s="249">
        <v>2014</v>
      </c>
      <c r="L664" s="84">
        <v>2015</v>
      </c>
      <c r="M664" s="25">
        <v>2016</v>
      </c>
      <c r="N664" s="25">
        <v>2017</v>
      </c>
      <c r="O664" s="25">
        <v>2018</v>
      </c>
      <c r="P664" s="388">
        <v>2019</v>
      </c>
      <c r="Q664" s="25">
        <v>2020</v>
      </c>
      <c r="R664" s="25">
        <v>2021</v>
      </c>
      <c r="S664" s="25">
        <v>2022</v>
      </c>
      <c r="T664" s="25">
        <v>2023</v>
      </c>
      <c r="U664" s="25">
        <v>2024</v>
      </c>
      <c r="V664" s="25">
        <v>2025</v>
      </c>
      <c r="W664" s="25">
        <v>2026</v>
      </c>
      <c r="X664" s="25">
        <v>2027</v>
      </c>
      <c r="Y664" s="25">
        <v>2028</v>
      </c>
      <c r="Z664" s="25">
        <v>2029</v>
      </c>
      <c r="AA664" s="25">
        <v>2030</v>
      </c>
      <c r="AB664" s="25">
        <v>2031</v>
      </c>
    </row>
    <row r="665" spans="1:28" x14ac:dyDescent="0.2">
      <c r="B665" s="25"/>
      <c r="C665">
        <v>1</v>
      </c>
      <c r="D665">
        <v>2</v>
      </c>
      <c r="E665">
        <v>3</v>
      </c>
      <c r="F665">
        <v>4</v>
      </c>
      <c r="G665">
        <v>5</v>
      </c>
      <c r="H665">
        <v>6</v>
      </c>
      <c r="I665">
        <v>7</v>
      </c>
      <c r="J665">
        <v>8</v>
      </c>
      <c r="K665" s="248">
        <v>9</v>
      </c>
      <c r="L665" s="3">
        <v>10</v>
      </c>
      <c r="M665" s="3">
        <v>11</v>
      </c>
      <c r="N665" s="3">
        <v>12</v>
      </c>
      <c r="O665" s="3">
        <v>13</v>
      </c>
      <c r="P665" s="387">
        <v>14</v>
      </c>
      <c r="Q665" s="3">
        <v>15</v>
      </c>
      <c r="R665" s="3">
        <v>16</v>
      </c>
      <c r="S665" s="3">
        <v>17</v>
      </c>
      <c r="T665" s="3">
        <v>18</v>
      </c>
      <c r="U665" s="3">
        <v>19</v>
      </c>
      <c r="V665" s="3">
        <v>20</v>
      </c>
      <c r="W665" s="3">
        <v>21</v>
      </c>
      <c r="X665" s="3">
        <v>22</v>
      </c>
      <c r="Y665" s="3">
        <v>23</v>
      </c>
      <c r="Z665" s="3">
        <v>24</v>
      </c>
      <c r="AA665" s="3">
        <v>25</v>
      </c>
      <c r="AB665" s="3">
        <v>26</v>
      </c>
    </row>
    <row r="666" spans="1:28" x14ac:dyDescent="0.2">
      <c r="A666">
        <v>1</v>
      </c>
      <c r="B666" t="s">
        <v>41</v>
      </c>
      <c r="C666" s="27">
        <f>C455</f>
        <v>0</v>
      </c>
      <c r="D666" s="27">
        <f t="shared" ref="D666:K666" si="943">D455</f>
        <v>0</v>
      </c>
      <c r="E666" s="27">
        <f t="shared" si="943"/>
        <v>0</v>
      </c>
      <c r="F666" s="27">
        <f t="shared" si="943"/>
        <v>0</v>
      </c>
      <c r="G666" s="27">
        <f t="shared" si="943"/>
        <v>0</v>
      </c>
      <c r="H666" s="27">
        <f t="shared" si="943"/>
        <v>0</v>
      </c>
      <c r="I666" s="27">
        <f t="shared" si="943"/>
        <v>0</v>
      </c>
      <c r="J666" s="27">
        <f t="shared" si="943"/>
        <v>0</v>
      </c>
      <c r="K666" s="252">
        <f t="shared" si="943"/>
        <v>0</v>
      </c>
      <c r="L666" s="77">
        <f t="shared" ref="L666:AA666" si="944">L455</f>
        <v>0</v>
      </c>
      <c r="M666" s="77">
        <f t="shared" si="944"/>
        <v>0</v>
      </c>
      <c r="N666" s="77">
        <f t="shared" si="944"/>
        <v>0</v>
      </c>
      <c r="O666" s="77">
        <f t="shared" si="944"/>
        <v>0</v>
      </c>
      <c r="P666" s="396">
        <f t="shared" si="944"/>
        <v>0</v>
      </c>
      <c r="Q666" s="77">
        <f t="shared" si="944"/>
        <v>0</v>
      </c>
      <c r="R666" s="77">
        <f t="shared" si="944"/>
        <v>0</v>
      </c>
      <c r="S666" s="77">
        <f t="shared" si="944"/>
        <v>0</v>
      </c>
      <c r="T666" s="77">
        <f t="shared" si="944"/>
        <v>0</v>
      </c>
      <c r="U666" s="77">
        <f t="shared" si="944"/>
        <v>0</v>
      </c>
      <c r="V666" s="77">
        <f t="shared" si="944"/>
        <v>0</v>
      </c>
      <c r="W666" s="77">
        <f t="shared" si="944"/>
        <v>0</v>
      </c>
      <c r="X666" s="77">
        <f t="shared" si="944"/>
        <v>0</v>
      </c>
      <c r="Y666" s="77">
        <f t="shared" si="944"/>
        <v>0</v>
      </c>
      <c r="Z666" s="77">
        <f t="shared" si="944"/>
        <v>0</v>
      </c>
      <c r="AA666" s="77">
        <f t="shared" si="944"/>
        <v>0</v>
      </c>
      <c r="AB666" s="77">
        <f t="shared" ref="AB666" si="945">AB455</f>
        <v>0</v>
      </c>
    </row>
    <row r="667" spans="1:28" x14ac:dyDescent="0.2">
      <c r="A667">
        <v>2</v>
      </c>
      <c r="B667" t="s">
        <v>3</v>
      </c>
      <c r="C667" s="77">
        <f>C486</f>
        <v>332573.28000000003</v>
      </c>
      <c r="D667" s="77">
        <f t="shared" ref="D667:K667" si="946">D486</f>
        <v>408479.33510024438</v>
      </c>
      <c r="E667" s="77">
        <f t="shared" si="946"/>
        <v>526186.66606224701</v>
      </c>
      <c r="F667" s="77">
        <f t="shared" si="946"/>
        <v>585002.48398389819</v>
      </c>
      <c r="G667" s="77">
        <f t="shared" si="946"/>
        <v>625045.08736597991</v>
      </c>
      <c r="H667" s="77">
        <f t="shared" si="946"/>
        <v>642590.41175480734</v>
      </c>
      <c r="I667" s="77">
        <f t="shared" si="946"/>
        <v>906293.26735403202</v>
      </c>
      <c r="J667" s="77">
        <f t="shared" si="946"/>
        <v>1465083.2502922143</v>
      </c>
      <c r="K667" s="257">
        <f t="shared" si="946"/>
        <v>1281548.9791053757</v>
      </c>
      <c r="L667" s="77">
        <f t="shared" ref="L667:AA667" si="947">L486</f>
        <v>1344508.1395802456</v>
      </c>
      <c r="M667" s="77">
        <f t="shared" si="947"/>
        <v>1373835.9441567969</v>
      </c>
      <c r="N667" s="77">
        <f t="shared" si="947"/>
        <v>1457585.9691849097</v>
      </c>
      <c r="O667" s="77">
        <f t="shared" si="947"/>
        <v>1455706.0936366105</v>
      </c>
      <c r="P667" s="396">
        <f t="shared" si="947"/>
        <v>2638348.3815323813</v>
      </c>
      <c r="Q667" s="77">
        <f t="shared" si="947"/>
        <v>3636115.0535113239</v>
      </c>
      <c r="R667" s="77">
        <f t="shared" si="947"/>
        <v>3916868.7724053059</v>
      </c>
      <c r="S667" s="77">
        <f t="shared" si="947"/>
        <v>3861565.6146892272</v>
      </c>
      <c r="T667" s="77">
        <f t="shared" si="947"/>
        <v>3946466.0903708944</v>
      </c>
      <c r="U667" s="77">
        <f t="shared" si="947"/>
        <v>4374463.0066415546</v>
      </c>
      <c r="V667" s="77">
        <f t="shared" si="947"/>
        <v>5352536.527681632</v>
      </c>
      <c r="W667" s="77">
        <f t="shared" si="947"/>
        <v>5808683.177594725</v>
      </c>
      <c r="X667" s="77">
        <f t="shared" si="947"/>
        <v>6152160.4231925989</v>
      </c>
      <c r="Y667" s="77">
        <f t="shared" si="947"/>
        <v>6124020.6432986874</v>
      </c>
      <c r="Z667" s="77">
        <f t="shared" si="947"/>
        <v>6678848.4445332754</v>
      </c>
      <c r="AA667" s="77">
        <f t="shared" si="947"/>
        <v>7005456.6339427857</v>
      </c>
      <c r="AB667" s="77">
        <f t="shared" ref="AB667" si="948">AB486</f>
        <v>7380479.0444676979</v>
      </c>
    </row>
    <row r="668" spans="1:28" x14ac:dyDescent="0.2">
      <c r="A668">
        <v>3</v>
      </c>
      <c r="B668" t="s">
        <v>29</v>
      </c>
      <c r="C668" s="27">
        <f>C517</f>
        <v>2890680.0120000001</v>
      </c>
      <c r="D668" s="27">
        <f t="shared" ref="D668:K668" si="949">D517</f>
        <v>2841236.9321875609</v>
      </c>
      <c r="E668" s="27">
        <f t="shared" si="949"/>
        <v>3364512.5219734255</v>
      </c>
      <c r="F668" s="27">
        <f t="shared" si="949"/>
        <v>3449402.3802874475</v>
      </c>
      <c r="G668" s="27">
        <f t="shared" si="949"/>
        <v>3403998.8557136594</v>
      </c>
      <c r="H668" s="27">
        <f t="shared" si="949"/>
        <v>2718491.0840197993</v>
      </c>
      <c r="I668" s="27">
        <f t="shared" si="949"/>
        <v>1917526.5359821869</v>
      </c>
      <c r="J668" s="27">
        <f t="shared" si="949"/>
        <v>4085960.0071892161</v>
      </c>
      <c r="K668" s="252">
        <f t="shared" si="949"/>
        <v>3385073.5840485515</v>
      </c>
      <c r="L668" s="77">
        <f t="shared" ref="L668:AA668" si="950">L517</f>
        <v>2921515.4818454054</v>
      </c>
      <c r="M668" s="77">
        <f t="shared" si="950"/>
        <v>2815313.7989488845</v>
      </c>
      <c r="N668" s="77">
        <f t="shared" si="950"/>
        <v>2912363.3498363933</v>
      </c>
      <c r="O668" s="77">
        <f t="shared" si="950"/>
        <v>4551670.2275164928</v>
      </c>
      <c r="P668" s="396">
        <f t="shared" si="950"/>
        <v>7121540.9609436188</v>
      </c>
      <c r="Q668" s="77">
        <f t="shared" si="950"/>
        <v>9081688.7266433965</v>
      </c>
      <c r="R668" s="77">
        <f t="shared" si="950"/>
        <v>9918646.9169510994</v>
      </c>
      <c r="S668" s="77">
        <f t="shared" si="950"/>
        <v>10330463.101024393</v>
      </c>
      <c r="T668" s="77">
        <f t="shared" si="950"/>
        <v>10536865.801405348</v>
      </c>
      <c r="U668" s="77">
        <f t="shared" si="950"/>
        <v>12004087.720673647</v>
      </c>
      <c r="V668" s="77">
        <f t="shared" si="950"/>
        <v>14064572.194407959</v>
      </c>
      <c r="W668" s="77">
        <f t="shared" si="950"/>
        <v>15171656.57141502</v>
      </c>
      <c r="X668" s="77">
        <f t="shared" si="950"/>
        <v>16094944.712603997</v>
      </c>
      <c r="Y668" s="77">
        <f t="shared" si="950"/>
        <v>17029783.263087254</v>
      </c>
      <c r="Z668" s="77">
        <f t="shared" si="950"/>
        <v>18135246.176588949</v>
      </c>
      <c r="AA668" s="77">
        <f t="shared" si="950"/>
        <v>19453257.156975418</v>
      </c>
      <c r="AB668" s="77">
        <f t="shared" ref="AB668" si="951">AB517</f>
        <v>21020454.89298987</v>
      </c>
    </row>
    <row r="669" spans="1:28" x14ac:dyDescent="0.2">
      <c r="A669">
        <v>4</v>
      </c>
      <c r="B669" t="s">
        <v>5</v>
      </c>
      <c r="C669" s="27">
        <f>C548</f>
        <v>1496826.5085265862</v>
      </c>
      <c r="D669" s="27">
        <f t="shared" ref="D669:K669" si="952">D548</f>
        <v>1826415.8397701744</v>
      </c>
      <c r="E669" s="27">
        <f t="shared" si="952"/>
        <v>2135906.8101700856</v>
      </c>
      <c r="F669" s="27">
        <f t="shared" si="952"/>
        <v>2145763.2855857657</v>
      </c>
      <c r="G669" s="27">
        <f t="shared" si="952"/>
        <v>2190588.5885242024</v>
      </c>
      <c r="H669" s="27">
        <f t="shared" si="952"/>
        <v>2224760.1969267209</v>
      </c>
      <c r="I669" s="27">
        <f t="shared" si="952"/>
        <v>2532237.3728219452</v>
      </c>
      <c r="J669" s="27">
        <f t="shared" si="952"/>
        <v>2995590.1382188783</v>
      </c>
      <c r="K669" s="252">
        <f t="shared" si="952"/>
        <v>3579505.2025673888</v>
      </c>
      <c r="L669" s="77">
        <f t="shared" ref="L669:AA669" si="953">L548</f>
        <v>2661393.3797631836</v>
      </c>
      <c r="M669" s="77">
        <f t="shared" si="953"/>
        <v>4490408.2515729889</v>
      </c>
      <c r="N669" s="77">
        <f t="shared" si="953"/>
        <v>3072815.011652946</v>
      </c>
      <c r="O669" s="77">
        <f t="shared" si="953"/>
        <v>4810802.0085396469</v>
      </c>
      <c r="P669" s="396">
        <f t="shared" si="953"/>
        <v>7495027.5508900154</v>
      </c>
      <c r="Q669" s="77">
        <f t="shared" si="953"/>
        <v>9515153.1299965922</v>
      </c>
      <c r="R669" s="77">
        <f t="shared" si="953"/>
        <v>9115418.4221124649</v>
      </c>
      <c r="S669" s="77">
        <f t="shared" si="953"/>
        <v>12619982.872345945</v>
      </c>
      <c r="T669" s="77">
        <f t="shared" si="953"/>
        <v>10812946.840395877</v>
      </c>
      <c r="U669" s="77">
        <f t="shared" si="953"/>
        <v>16101917.098471632</v>
      </c>
      <c r="V669" s="77">
        <f t="shared" si="953"/>
        <v>15758609.529505162</v>
      </c>
      <c r="W669" s="77">
        <f t="shared" si="953"/>
        <v>20082274.27172653</v>
      </c>
      <c r="X669" s="77">
        <f t="shared" si="953"/>
        <v>23278892.177370664</v>
      </c>
      <c r="Y669" s="77">
        <f t="shared" si="953"/>
        <v>25454229.68496225</v>
      </c>
      <c r="Z669" s="77">
        <f t="shared" si="953"/>
        <v>27778298.022674266</v>
      </c>
      <c r="AA669" s="77">
        <f t="shared" si="953"/>
        <v>30658980.102126718</v>
      </c>
      <c r="AB669" s="77">
        <f t="shared" ref="AB669" si="954">AB548</f>
        <v>33720099.850937888</v>
      </c>
    </row>
    <row r="670" spans="1:28" x14ac:dyDescent="0.2">
      <c r="A670">
        <v>5</v>
      </c>
      <c r="B670" t="s">
        <v>6</v>
      </c>
      <c r="C670" s="27">
        <f>C579</f>
        <v>264903.21000000002</v>
      </c>
      <c r="D670" s="27">
        <f t="shared" ref="D670:K670" si="955">D579</f>
        <v>336601.64126553951</v>
      </c>
      <c r="E670" s="27">
        <f t="shared" si="955"/>
        <v>450609.8900702981</v>
      </c>
      <c r="F670" s="27">
        <f t="shared" si="955"/>
        <v>467960.59174344566</v>
      </c>
      <c r="G670" s="27">
        <f t="shared" si="955"/>
        <v>499020.43575285078</v>
      </c>
      <c r="H670" s="27">
        <f t="shared" si="955"/>
        <v>582523.11151806987</v>
      </c>
      <c r="I670" s="27">
        <f t="shared" si="955"/>
        <v>468595.82903692796</v>
      </c>
      <c r="J670" s="27">
        <f t="shared" si="955"/>
        <v>852611.55282000604</v>
      </c>
      <c r="K670" s="252">
        <f t="shared" si="955"/>
        <v>926497.78696357703</v>
      </c>
      <c r="L670" s="77">
        <f t="shared" ref="L670:AA670" si="956">L579</f>
        <v>1098548.7336038675</v>
      </c>
      <c r="M670" s="77">
        <f t="shared" si="956"/>
        <v>1314821.3943265604</v>
      </c>
      <c r="N670" s="77">
        <f t="shared" si="956"/>
        <v>1577833.7575232035</v>
      </c>
      <c r="O670" s="77">
        <f t="shared" si="956"/>
        <v>1608120.2029626579</v>
      </c>
      <c r="P670" s="396">
        <f t="shared" si="956"/>
        <v>2016488.1301078256</v>
      </c>
      <c r="Q670" s="77">
        <f t="shared" si="956"/>
        <v>2240449.8206653004</v>
      </c>
      <c r="R670" s="77">
        <f t="shared" si="956"/>
        <v>2523613.7189976783</v>
      </c>
      <c r="S670" s="77">
        <f t="shared" si="956"/>
        <v>2761960.1974385912</v>
      </c>
      <c r="T670" s="77">
        <f t="shared" si="956"/>
        <v>3085993.4064173033</v>
      </c>
      <c r="U670" s="77">
        <f t="shared" si="956"/>
        <v>3469996.8758005616</v>
      </c>
      <c r="V670" s="77">
        <f t="shared" si="956"/>
        <v>3871463.8026477625</v>
      </c>
      <c r="W670" s="77">
        <f t="shared" si="956"/>
        <v>4293818.7082739938</v>
      </c>
      <c r="X670" s="77">
        <f t="shared" si="956"/>
        <v>4813168.5100800022</v>
      </c>
      <c r="Y670" s="77">
        <f t="shared" si="956"/>
        <v>5256471.6907647131</v>
      </c>
      <c r="Z670" s="77">
        <f t="shared" si="956"/>
        <v>5710788.5321544837</v>
      </c>
      <c r="AA670" s="77">
        <f t="shared" si="956"/>
        <v>6281427.4754992062</v>
      </c>
      <c r="AB670" s="77">
        <f t="shared" ref="AB670" si="957">AB579</f>
        <v>6889487.1958031207</v>
      </c>
    </row>
    <row r="671" spans="1:28" x14ac:dyDescent="0.2">
      <c r="A671">
        <v>6</v>
      </c>
      <c r="B671" t="s">
        <v>1</v>
      </c>
      <c r="C671" s="27">
        <f>C610</f>
        <v>229111.63199999998</v>
      </c>
      <c r="D671" s="27">
        <f t="shared" ref="D671:K671" si="958">D610</f>
        <v>250894.00262151388</v>
      </c>
      <c r="E671" s="27">
        <f t="shared" si="958"/>
        <v>323698.45984680468</v>
      </c>
      <c r="F671" s="27">
        <f t="shared" si="958"/>
        <v>341087.77471131715</v>
      </c>
      <c r="G671" s="27">
        <f t="shared" si="958"/>
        <v>356084.55919162557</v>
      </c>
      <c r="H671" s="27">
        <f t="shared" si="958"/>
        <v>413655.43343651976</v>
      </c>
      <c r="I671" s="27">
        <f t="shared" si="958"/>
        <v>473875.59760997968</v>
      </c>
      <c r="J671" s="27">
        <f t="shared" si="958"/>
        <v>539237.30055822025</v>
      </c>
      <c r="K671" s="252">
        <f t="shared" si="958"/>
        <v>610751.87932366738</v>
      </c>
      <c r="L671" s="77">
        <f t="shared" ref="L671:AA671" si="959">L610</f>
        <v>703563.00706638023</v>
      </c>
      <c r="M671" s="77">
        <f t="shared" si="959"/>
        <v>850453.28427519382</v>
      </c>
      <c r="N671" s="77">
        <f t="shared" si="959"/>
        <v>994963.70007085754</v>
      </c>
      <c r="O671" s="77">
        <f t="shared" si="959"/>
        <v>1162785.392688324</v>
      </c>
      <c r="P671" s="396">
        <f t="shared" si="959"/>
        <v>1312236.4114660809</v>
      </c>
      <c r="Q671" s="77">
        <f t="shared" si="959"/>
        <v>1621434.6224281604</v>
      </c>
      <c r="R671" s="77">
        <f t="shared" si="959"/>
        <v>1756705.2883305603</v>
      </c>
      <c r="S671" s="77">
        <f t="shared" si="959"/>
        <v>2025709.8891618024</v>
      </c>
      <c r="T671" s="77">
        <f t="shared" si="959"/>
        <v>2194346.8577915006</v>
      </c>
      <c r="U671" s="77">
        <f t="shared" si="959"/>
        <v>2432814.1793114296</v>
      </c>
      <c r="V671" s="77">
        <f t="shared" si="959"/>
        <v>2678796.0591992647</v>
      </c>
      <c r="W671" s="77">
        <f t="shared" si="959"/>
        <v>3111475.1036189357</v>
      </c>
      <c r="X671" s="77">
        <f t="shared" si="959"/>
        <v>3327202.3463351787</v>
      </c>
      <c r="Y671" s="77">
        <f t="shared" si="959"/>
        <v>3710820.5225115828</v>
      </c>
      <c r="Z671" s="77">
        <f t="shared" si="959"/>
        <v>4023562.907454561</v>
      </c>
      <c r="AA671" s="77">
        <f t="shared" si="959"/>
        <v>4416645.0616576308</v>
      </c>
      <c r="AB671" s="77">
        <f t="shared" ref="AB671" si="960">AB610</f>
        <v>4837618.8205196485</v>
      </c>
    </row>
    <row r="672" spans="1:28" x14ac:dyDescent="0.2">
      <c r="A672">
        <v>7</v>
      </c>
      <c r="B672" t="s">
        <v>2</v>
      </c>
      <c r="C672" s="27">
        <f>C641</f>
        <v>188331.53039999999</v>
      </c>
      <c r="D672" s="27">
        <f t="shared" ref="D672:K672" si="961">D641</f>
        <v>237092.95404071725</v>
      </c>
      <c r="E672" s="27">
        <f t="shared" si="961"/>
        <v>306239.87459491414</v>
      </c>
      <c r="F672" s="27">
        <f t="shared" si="961"/>
        <v>320213.90182467608</v>
      </c>
      <c r="G672" s="27">
        <f t="shared" si="961"/>
        <v>422937.57205575565</v>
      </c>
      <c r="H672" s="27">
        <f t="shared" si="961"/>
        <v>462310.65059320448</v>
      </c>
      <c r="I672" s="27">
        <f t="shared" si="961"/>
        <v>518711.50757054106</v>
      </c>
      <c r="J672" s="27">
        <f t="shared" si="961"/>
        <v>617296.76131680701</v>
      </c>
      <c r="K672" s="252">
        <f t="shared" si="961"/>
        <v>721461.87230315071</v>
      </c>
      <c r="L672" s="77">
        <f t="shared" ref="L672:AA672" si="962">L641</f>
        <v>836156.77768202941</v>
      </c>
      <c r="M672" s="77">
        <f t="shared" si="962"/>
        <v>983810.22950519598</v>
      </c>
      <c r="N672" s="77">
        <f t="shared" si="962"/>
        <v>1160792.6502760076</v>
      </c>
      <c r="O672" s="77">
        <f t="shared" si="962"/>
        <v>1333557.6158050664</v>
      </c>
      <c r="P672" s="396">
        <f t="shared" si="962"/>
        <v>1622924.7161485292</v>
      </c>
      <c r="Q672" s="77">
        <f t="shared" si="962"/>
        <v>1827065.1251004054</v>
      </c>
      <c r="R672" s="77">
        <f t="shared" si="962"/>
        <v>2101687.9706618222</v>
      </c>
      <c r="S672" s="77">
        <f t="shared" si="962"/>
        <v>2266970.4509516084</v>
      </c>
      <c r="T672" s="77">
        <f t="shared" si="962"/>
        <v>2519466.4734137668</v>
      </c>
      <c r="U672" s="77">
        <f t="shared" si="962"/>
        <v>2931933.243408611</v>
      </c>
      <c r="V672" s="77">
        <f t="shared" si="962"/>
        <v>3174354.7619262328</v>
      </c>
      <c r="W672" s="77">
        <f t="shared" si="962"/>
        <v>3483089.4458584166</v>
      </c>
      <c r="X672" s="77">
        <f t="shared" si="962"/>
        <v>3876152.1158559541</v>
      </c>
      <c r="Y672" s="77">
        <f t="shared" si="962"/>
        <v>4240605.503528513</v>
      </c>
      <c r="Z672" s="77">
        <f t="shared" si="962"/>
        <v>4591234.0618349547</v>
      </c>
      <c r="AA672" s="77">
        <f t="shared" si="962"/>
        <v>5037214.9840262309</v>
      </c>
      <c r="AB672" s="77">
        <f t="shared" ref="AB672" si="963">AB641</f>
        <v>5513901.3675731393</v>
      </c>
    </row>
    <row r="674" spans="1:28" x14ac:dyDescent="0.2">
      <c r="A674" s="25" t="s">
        <v>150</v>
      </c>
    </row>
    <row r="675" spans="1:28" s="25" customFormat="1" x14ac:dyDescent="0.2">
      <c r="B675" s="79" t="s">
        <v>151</v>
      </c>
      <c r="C675" s="25">
        <v>2006</v>
      </c>
      <c r="D675" s="25">
        <v>2007</v>
      </c>
      <c r="E675" s="25">
        <v>2008</v>
      </c>
      <c r="F675" s="25">
        <v>2009</v>
      </c>
      <c r="G675" s="25">
        <v>2010</v>
      </c>
      <c r="H675" s="25">
        <v>2011</v>
      </c>
      <c r="I675" s="25">
        <v>2012</v>
      </c>
      <c r="J675" s="25">
        <v>2013</v>
      </c>
      <c r="K675" s="249">
        <v>2014</v>
      </c>
      <c r="L675" s="84">
        <v>2015</v>
      </c>
      <c r="M675" s="25">
        <v>2016</v>
      </c>
      <c r="N675" s="25">
        <v>2017</v>
      </c>
      <c r="O675" s="25">
        <v>2018</v>
      </c>
      <c r="P675" s="388">
        <v>2019</v>
      </c>
      <c r="Q675" s="25">
        <v>2020</v>
      </c>
      <c r="R675" s="25">
        <v>2021</v>
      </c>
      <c r="S675" s="25">
        <v>2022</v>
      </c>
      <c r="T675" s="25">
        <v>2023</v>
      </c>
      <c r="U675" s="25">
        <v>2024</v>
      </c>
      <c r="V675" s="25">
        <v>2025</v>
      </c>
      <c r="W675" s="25">
        <v>2026</v>
      </c>
      <c r="X675" s="25">
        <v>2027</v>
      </c>
      <c r="Y675" s="25">
        <v>2028</v>
      </c>
      <c r="Z675" s="25">
        <v>2029</v>
      </c>
      <c r="AA675" s="25">
        <v>2030</v>
      </c>
      <c r="AB675" s="25">
        <v>2031</v>
      </c>
    </row>
    <row r="676" spans="1:28" ht="13.5" thickBot="1" x14ac:dyDescent="0.25">
      <c r="B676" s="59"/>
      <c r="C676">
        <v>1</v>
      </c>
      <c r="D676">
        <v>2</v>
      </c>
      <c r="E676">
        <v>3</v>
      </c>
      <c r="F676">
        <v>4</v>
      </c>
      <c r="G676">
        <v>5</v>
      </c>
      <c r="H676">
        <v>6</v>
      </c>
      <c r="I676">
        <v>7</v>
      </c>
      <c r="J676">
        <v>8</v>
      </c>
      <c r="K676" s="248">
        <v>9</v>
      </c>
      <c r="L676" s="3">
        <v>10</v>
      </c>
      <c r="M676" s="3">
        <v>11</v>
      </c>
      <c r="N676" s="3">
        <v>12</v>
      </c>
      <c r="O676" s="3">
        <v>13</v>
      </c>
      <c r="P676" s="387">
        <v>14</v>
      </c>
      <c r="Q676" s="3">
        <v>15</v>
      </c>
      <c r="R676" s="3">
        <v>16</v>
      </c>
      <c r="S676" s="3">
        <v>17</v>
      </c>
      <c r="T676" s="3">
        <v>18</v>
      </c>
      <c r="U676" s="3">
        <v>19</v>
      </c>
      <c r="V676" s="3">
        <v>20</v>
      </c>
      <c r="W676" s="3">
        <v>21</v>
      </c>
      <c r="X676" s="3">
        <v>22</v>
      </c>
      <c r="Y676" s="3">
        <v>23</v>
      </c>
      <c r="Z676" s="3">
        <v>24</v>
      </c>
      <c r="AA676" s="3">
        <v>25</v>
      </c>
      <c r="AB676" s="3">
        <v>26</v>
      </c>
    </row>
    <row r="677" spans="1:28" x14ac:dyDescent="0.2">
      <c r="A677">
        <v>1</v>
      </c>
      <c r="B677" t="s">
        <v>41</v>
      </c>
      <c r="C677" s="168">
        <f>C456</f>
        <v>3997723.3119999999</v>
      </c>
      <c r="D677" s="168">
        <f t="shared" ref="D677:J677" si="964">D456</f>
        <v>4889123.3570296699</v>
      </c>
      <c r="E677" s="168">
        <f t="shared" si="964"/>
        <v>5867955.582852996</v>
      </c>
      <c r="F677" s="168">
        <f t="shared" si="964"/>
        <v>7007234.1475985004</v>
      </c>
      <c r="G677" s="168">
        <f t="shared" si="964"/>
        <v>7707776.8012107676</v>
      </c>
      <c r="H677" s="168">
        <f t="shared" si="964"/>
        <v>9130882.7854666337</v>
      </c>
      <c r="I677" s="168">
        <f t="shared" si="964"/>
        <v>8257540.100730177</v>
      </c>
      <c r="J677" s="168">
        <f t="shared" si="964"/>
        <v>10128182.9378621</v>
      </c>
      <c r="K677" s="277">
        <f>K456</f>
        <v>10807613.523875168</v>
      </c>
      <c r="L677" s="168">
        <f>L456</f>
        <v>12210745.232622243</v>
      </c>
      <c r="M677" s="168">
        <f t="shared" ref="M677:AA677" si="965">M456</f>
        <v>13771605.022490077</v>
      </c>
      <c r="N677" s="168">
        <f t="shared" si="965"/>
        <v>15848052.103944901</v>
      </c>
      <c r="O677" s="168">
        <f t="shared" si="965"/>
        <v>23261147.44309843</v>
      </c>
      <c r="P677" s="422">
        <f t="shared" si="965"/>
        <v>26763670.300215431</v>
      </c>
      <c r="Q677" s="168">
        <f t="shared" si="965"/>
        <v>30220165.442651868</v>
      </c>
      <c r="R677" s="168">
        <f t="shared" si="965"/>
        <v>33784529.482887141</v>
      </c>
      <c r="S677" s="168">
        <f t="shared" si="965"/>
        <v>37492059.991663545</v>
      </c>
      <c r="T677" s="168">
        <f t="shared" si="965"/>
        <v>40781093.916084245</v>
      </c>
      <c r="U677" s="168">
        <f t="shared" si="965"/>
        <v>44594551.970814764</v>
      </c>
      <c r="V677" s="168">
        <f t="shared" si="965"/>
        <v>49174628.762843773</v>
      </c>
      <c r="W677" s="168">
        <f t="shared" si="965"/>
        <v>54705987.708984539</v>
      </c>
      <c r="X677" s="168">
        <f t="shared" si="965"/>
        <v>59387583.147415146</v>
      </c>
      <c r="Y677" s="168">
        <f t="shared" si="965"/>
        <v>64154274.478862472</v>
      </c>
      <c r="Z677" s="168">
        <f t="shared" si="965"/>
        <v>69503699.006806448</v>
      </c>
      <c r="AA677" s="168">
        <f t="shared" si="965"/>
        <v>75566834.900154933</v>
      </c>
      <c r="AB677" s="168">
        <f t="shared" ref="AB677" si="966">AB456</f>
        <v>81761033.634278774</v>
      </c>
    </row>
    <row r="678" spans="1:28" x14ac:dyDescent="0.2">
      <c r="A678">
        <v>2</v>
      </c>
      <c r="B678" t="s">
        <v>3</v>
      </c>
      <c r="C678" s="169">
        <f>C487</f>
        <v>517851.25999999995</v>
      </c>
      <c r="D678" s="169">
        <f t="shared" ref="D678:J678" si="967">D487</f>
        <v>574921.54836200003</v>
      </c>
      <c r="E678" s="169">
        <f t="shared" si="967"/>
        <v>833107.02980692452</v>
      </c>
      <c r="F678" s="169">
        <f t="shared" si="967"/>
        <v>961204.41795173066</v>
      </c>
      <c r="G678" s="169">
        <f t="shared" si="967"/>
        <v>707559.91504491819</v>
      </c>
      <c r="H678" s="169">
        <f t="shared" si="967"/>
        <v>1045387.6478586518</v>
      </c>
      <c r="I678" s="169">
        <f t="shared" si="967"/>
        <v>1262301.0564856397</v>
      </c>
      <c r="J678" s="169">
        <f t="shared" si="967"/>
        <v>1408768.1236271264</v>
      </c>
      <c r="K678" s="278">
        <f>K487</f>
        <v>553031.46480819362</v>
      </c>
      <c r="L678" s="169">
        <f>L487</f>
        <v>522131.25101262814</v>
      </c>
      <c r="M678" s="169">
        <f t="shared" ref="M678:AA678" si="968">M487</f>
        <v>503290.62338615424</v>
      </c>
      <c r="N678" s="169">
        <f t="shared" si="968"/>
        <v>514534.52887134807</v>
      </c>
      <c r="O678" s="169">
        <f t="shared" si="968"/>
        <v>767493.09157134139</v>
      </c>
      <c r="P678" s="423">
        <f t="shared" si="968"/>
        <v>1256557.1126097436</v>
      </c>
      <c r="Q678" s="169">
        <f t="shared" si="968"/>
        <v>1916543.1301304025</v>
      </c>
      <c r="R678" s="169">
        <f t="shared" si="968"/>
        <v>2284824.247121131</v>
      </c>
      <c r="S678" s="169">
        <f t="shared" si="968"/>
        <v>2049526.8831908407</v>
      </c>
      <c r="T678" s="169">
        <f t="shared" si="968"/>
        <v>2178830.6092092763</v>
      </c>
      <c r="U678" s="169">
        <f t="shared" si="968"/>
        <v>2310964.1384000145</v>
      </c>
      <c r="V678" s="169">
        <f t="shared" si="968"/>
        <v>2938481.1328754653</v>
      </c>
      <c r="W678" s="169">
        <f t="shared" si="968"/>
        <v>5219531.3068664186</v>
      </c>
      <c r="X678" s="169">
        <f t="shared" si="968"/>
        <v>4461590.3202700494</v>
      </c>
      <c r="Y678" s="169">
        <f t="shared" si="968"/>
        <v>3943857.230892343</v>
      </c>
      <c r="Z678" s="169">
        <f t="shared" si="968"/>
        <v>5117607.1185411401</v>
      </c>
      <c r="AA678" s="169">
        <f t="shared" si="968"/>
        <v>8000275.4961788673</v>
      </c>
      <c r="AB678" s="169">
        <f t="shared" ref="AB678" si="969">AB487</f>
        <v>9538125.5823911689</v>
      </c>
    </row>
    <row r="679" spans="1:28" x14ac:dyDescent="0.2">
      <c r="A679">
        <v>3</v>
      </c>
      <c r="B679" t="s">
        <v>29</v>
      </c>
      <c r="C679" s="169">
        <f>C518</f>
        <v>2304677.8152000001</v>
      </c>
      <c r="D679" s="169">
        <f t="shared" ref="D679:J679" si="970">D518</f>
        <v>2703980.1055842899</v>
      </c>
      <c r="E679" s="169">
        <f t="shared" si="970"/>
        <v>2072488.8384396045</v>
      </c>
      <c r="F679" s="169">
        <f t="shared" si="970"/>
        <v>2527821.9119477458</v>
      </c>
      <c r="G679" s="169">
        <f t="shared" si="970"/>
        <v>3467046.7951236344</v>
      </c>
      <c r="H679" s="169">
        <f t="shared" si="970"/>
        <v>2396190.2529963171</v>
      </c>
      <c r="I679" s="169">
        <f t="shared" si="970"/>
        <v>7012664.0327338437</v>
      </c>
      <c r="J679" s="169">
        <f t="shared" si="970"/>
        <v>6618415.0868652854</v>
      </c>
      <c r="K679" s="278">
        <f>K518</f>
        <v>4117405.4873084188</v>
      </c>
      <c r="L679" s="169">
        <f>L518</f>
        <v>3507866.7049030839</v>
      </c>
      <c r="M679" s="169">
        <f t="shared" ref="M679:AA679" si="971">M518</f>
        <v>3328419.6151881386</v>
      </c>
      <c r="N679" s="169">
        <f t="shared" si="971"/>
        <v>3386624.2565065902</v>
      </c>
      <c r="O679" s="169">
        <f t="shared" si="971"/>
        <v>5300621.3719461644</v>
      </c>
      <c r="P679" s="423">
        <f t="shared" si="971"/>
        <v>8213431.3135790853</v>
      </c>
      <c r="Q679" s="169">
        <f t="shared" si="971"/>
        <v>11767764.746336853</v>
      </c>
      <c r="R679" s="169">
        <f t="shared" si="971"/>
        <v>13646443.154528247</v>
      </c>
      <c r="S679" s="169">
        <f t="shared" si="971"/>
        <v>13083145.167106815</v>
      </c>
      <c r="T679" s="169">
        <f t="shared" si="971"/>
        <v>13454405.64969291</v>
      </c>
      <c r="U679" s="169">
        <f t="shared" si="971"/>
        <v>15519624.706892038</v>
      </c>
      <c r="V679" s="169">
        <f t="shared" si="971"/>
        <v>18774595.22664775</v>
      </c>
      <c r="W679" s="169">
        <f t="shared" si="971"/>
        <v>24486805.946684182</v>
      </c>
      <c r="X679" s="169">
        <f t="shared" si="971"/>
        <v>32711878.768142406</v>
      </c>
      <c r="Y679" s="169">
        <f t="shared" si="971"/>
        <v>45978736.898451805</v>
      </c>
      <c r="Z679" s="169">
        <f t="shared" si="971"/>
        <v>56540332.234279417</v>
      </c>
      <c r="AA679" s="169">
        <f t="shared" si="971"/>
        <v>74538167.644120485</v>
      </c>
      <c r="AB679" s="169">
        <f t="shared" ref="AB679" si="972">AB518</f>
        <v>80754448.543603703</v>
      </c>
    </row>
    <row r="680" spans="1:28" x14ac:dyDescent="0.2">
      <c r="A680">
        <v>4</v>
      </c>
      <c r="B680" t="s">
        <v>5</v>
      </c>
      <c r="C680" s="169">
        <f>C549</f>
        <v>3579351.5299041537</v>
      </c>
      <c r="D680" s="169">
        <f t="shared" ref="D680:J680" si="973">D549</f>
        <v>4252787.9542679349</v>
      </c>
      <c r="E680" s="169">
        <f t="shared" si="973"/>
        <v>2797615.2511552582</v>
      </c>
      <c r="F680" s="169">
        <f t="shared" si="973"/>
        <v>1590849.5498618167</v>
      </c>
      <c r="G680" s="169">
        <f t="shared" si="973"/>
        <v>1137022.1277935612</v>
      </c>
      <c r="H680" s="169">
        <f t="shared" si="973"/>
        <v>2359133.1292728879</v>
      </c>
      <c r="I680" s="169">
        <f t="shared" si="973"/>
        <v>1936125.5565438024</v>
      </c>
      <c r="J680" s="169">
        <f t="shared" si="973"/>
        <v>1973739.5966344902</v>
      </c>
      <c r="K680" s="278">
        <f>K549</f>
        <v>1649275.840760726</v>
      </c>
      <c r="L680" s="169">
        <f>L549</f>
        <v>784899.33255321451</v>
      </c>
      <c r="M680" s="169">
        <f t="shared" ref="M680:AA680" si="974">M549</f>
        <v>1256530.121151953</v>
      </c>
      <c r="N680" s="169">
        <f t="shared" si="974"/>
        <v>856973.35018405365</v>
      </c>
      <c r="O680" s="169">
        <f t="shared" si="974"/>
        <v>1397697.1492840084</v>
      </c>
      <c r="P680" s="423">
        <f t="shared" si="974"/>
        <v>2131424.0570970401</v>
      </c>
      <c r="Q680" s="169">
        <f t="shared" si="974"/>
        <v>6533527.604713086</v>
      </c>
      <c r="R680" s="169">
        <f t="shared" si="974"/>
        <v>3129266.5978497108</v>
      </c>
      <c r="S680" s="169">
        <f t="shared" si="974"/>
        <v>9244564.1684986558</v>
      </c>
      <c r="T680" s="169">
        <f t="shared" si="974"/>
        <v>3720832.0363383121</v>
      </c>
      <c r="U680" s="169">
        <f t="shared" si="974"/>
        <v>10560358.172686145</v>
      </c>
      <c r="V680" s="169">
        <f t="shared" si="974"/>
        <v>5358882.7109347219</v>
      </c>
      <c r="W680" s="169">
        <f t="shared" si="974"/>
        <v>14936613.899479462</v>
      </c>
      <c r="X680" s="169">
        <f t="shared" si="974"/>
        <v>17475980.337106992</v>
      </c>
      <c r="Y680" s="169">
        <f t="shared" si="974"/>
        <v>19289328.518992092</v>
      </c>
      <c r="Z680" s="169">
        <f t="shared" si="974"/>
        <v>21249107.637727767</v>
      </c>
      <c r="AA680" s="169">
        <f t="shared" si="974"/>
        <v>23501015.460754864</v>
      </c>
      <c r="AB680" s="169">
        <f t="shared" ref="AB680" si="975">AB549</f>
        <v>25900708.120472517</v>
      </c>
    </row>
    <row r="681" spans="1:28" x14ac:dyDescent="0.2">
      <c r="A681">
        <v>5</v>
      </c>
      <c r="B681" t="s">
        <v>6</v>
      </c>
      <c r="C681" s="169">
        <f>C580</f>
        <v>439706.81599999999</v>
      </c>
      <c r="D681" s="169">
        <f t="shared" ref="D681:J681" si="976">D580</f>
        <v>454880.56123087194</v>
      </c>
      <c r="E681" s="169">
        <f t="shared" si="976"/>
        <v>857865.65704467369</v>
      </c>
      <c r="F681" s="169">
        <f t="shared" si="976"/>
        <v>882565.03426563041</v>
      </c>
      <c r="G681" s="169">
        <f t="shared" si="976"/>
        <v>1057297.6209550046</v>
      </c>
      <c r="H681" s="169">
        <f t="shared" si="976"/>
        <v>1135250.8594430126</v>
      </c>
      <c r="I681" s="169">
        <f t="shared" si="976"/>
        <v>855157.74262660451</v>
      </c>
      <c r="J681" s="169">
        <f t="shared" si="976"/>
        <v>845274.96915758657</v>
      </c>
      <c r="K681" s="278">
        <f>K580</f>
        <v>1198671.9143966744</v>
      </c>
      <c r="L681" s="169">
        <f>L580</f>
        <v>1020368.9762838441</v>
      </c>
      <c r="M681" s="169">
        <f t="shared" ref="M681:AA681" si="977">M580</f>
        <v>929963.67135807755</v>
      </c>
      <c r="N681" s="169">
        <f t="shared" si="977"/>
        <v>902778.14481254783</v>
      </c>
      <c r="O681" s="169">
        <f t="shared" si="977"/>
        <v>1044585.4019935898</v>
      </c>
      <c r="P681" s="423">
        <f t="shared" si="977"/>
        <v>2465883.3355179029</v>
      </c>
      <c r="Q681" s="169">
        <f t="shared" si="977"/>
        <v>3753676.5963285575</v>
      </c>
      <c r="R681" s="169">
        <f t="shared" si="977"/>
        <v>4346637.4577874616</v>
      </c>
      <c r="S681" s="169">
        <f t="shared" si="977"/>
        <v>4617621.4073942043</v>
      </c>
      <c r="T681" s="169">
        <f t="shared" si="977"/>
        <v>4648153.0143571608</v>
      </c>
      <c r="U681" s="169">
        <f t="shared" si="977"/>
        <v>5446143.0972048342</v>
      </c>
      <c r="V681" s="169">
        <f t="shared" si="977"/>
        <v>6520840.0988460071</v>
      </c>
      <c r="W681" s="169">
        <f t="shared" si="977"/>
        <v>7792425.2940131389</v>
      </c>
      <c r="X681" s="169">
        <f t="shared" si="977"/>
        <v>8816576.6586165521</v>
      </c>
      <c r="Y681" s="169">
        <f t="shared" si="977"/>
        <v>9719438.2187878639</v>
      </c>
      <c r="Z681" s="169">
        <f t="shared" si="977"/>
        <v>10659107.07451093</v>
      </c>
      <c r="AA681" s="169">
        <f t="shared" si="977"/>
        <v>11741754.46000783</v>
      </c>
      <c r="AB681" s="169">
        <f t="shared" ref="AB681" si="978">AB580</f>
        <v>12897675.323666824</v>
      </c>
    </row>
    <row r="682" spans="1:28" x14ac:dyDescent="0.2">
      <c r="A682">
        <v>6</v>
      </c>
      <c r="B682" t="s">
        <v>1</v>
      </c>
      <c r="C682" s="169">
        <f>C611</f>
        <v>309721.45</v>
      </c>
      <c r="D682" s="169">
        <f t="shared" ref="D682:J682" si="979">D611</f>
        <v>365177.11183625</v>
      </c>
      <c r="E682" s="169">
        <f t="shared" si="979"/>
        <v>218329.04604963408</v>
      </c>
      <c r="F682" s="169">
        <f t="shared" si="979"/>
        <v>330170.93010414159</v>
      </c>
      <c r="G682" s="169">
        <f t="shared" si="979"/>
        <v>535675.99723214877</v>
      </c>
      <c r="H682" s="169">
        <f t="shared" si="979"/>
        <v>692414.86148757057</v>
      </c>
      <c r="I682" s="169">
        <f t="shared" si="979"/>
        <v>1761537.3524741437</v>
      </c>
      <c r="J682" s="169">
        <f t="shared" si="979"/>
        <v>2034440.3163366984</v>
      </c>
      <c r="K682" s="278">
        <f>K611</f>
        <v>1547042.4879389894</v>
      </c>
      <c r="L682" s="169">
        <f>L611</f>
        <v>2655033.9512657141</v>
      </c>
      <c r="M682" s="169">
        <f t="shared" ref="M682:AA682" si="980">M611</f>
        <v>1441191.6040002278</v>
      </c>
      <c r="N682" s="169">
        <f t="shared" si="980"/>
        <v>3641953.2269886835</v>
      </c>
      <c r="O682" s="169">
        <f t="shared" si="980"/>
        <v>3552435.0150411162</v>
      </c>
      <c r="P682" s="423">
        <f t="shared" si="980"/>
        <v>5150906.9255590765</v>
      </c>
      <c r="Q682" s="169">
        <f t="shared" si="980"/>
        <v>6060923.11462365</v>
      </c>
      <c r="R682" s="169">
        <f t="shared" si="980"/>
        <v>7218981.2734570177</v>
      </c>
      <c r="S682" s="169">
        <f t="shared" si="980"/>
        <v>5191337.1572326999</v>
      </c>
      <c r="T682" s="169">
        <f t="shared" si="980"/>
        <v>8167082.9019440878</v>
      </c>
      <c r="U682" s="169">
        <f t="shared" si="980"/>
        <v>8978007.148955401</v>
      </c>
      <c r="V682" s="169">
        <f t="shared" si="980"/>
        <v>11318809.10159296</v>
      </c>
      <c r="W682" s="169">
        <f t="shared" si="980"/>
        <v>10795429.664436758</v>
      </c>
      <c r="X682" s="169">
        <f t="shared" si="980"/>
        <v>14541010.995605186</v>
      </c>
      <c r="Y682" s="169">
        <f t="shared" si="980"/>
        <v>16370549.276674926</v>
      </c>
      <c r="Z682" s="169">
        <f t="shared" si="980"/>
        <v>17917689.64644593</v>
      </c>
      <c r="AA682" s="169">
        <f t="shared" si="980"/>
        <v>19686557.772159137</v>
      </c>
      <c r="AB682" s="169">
        <f t="shared" ref="AB682" si="981">AB611</f>
        <v>21583158.70656161</v>
      </c>
    </row>
    <row r="683" spans="1:28" ht="13.5" thickBot="1" x14ac:dyDescent="0.25">
      <c r="A683">
        <v>7</v>
      </c>
      <c r="B683" t="s">
        <v>2</v>
      </c>
      <c r="C683" s="170">
        <f>C642</f>
        <v>228924.55</v>
      </c>
      <c r="D683" s="170">
        <f t="shared" ref="D683:J683" si="982">D642</f>
        <v>248631.22508</v>
      </c>
      <c r="E683" s="170">
        <f t="shared" si="982"/>
        <v>240946.60875437205</v>
      </c>
      <c r="F683" s="170">
        <f t="shared" si="982"/>
        <v>184048.82579989612</v>
      </c>
      <c r="G683" s="170">
        <f t="shared" si="982"/>
        <v>170424.81881318954</v>
      </c>
      <c r="H683" s="170">
        <f t="shared" si="982"/>
        <v>212194.73192509729</v>
      </c>
      <c r="I683" s="170">
        <f t="shared" si="982"/>
        <v>319401.35096192331</v>
      </c>
      <c r="J683" s="170">
        <f t="shared" si="982"/>
        <v>384613.33578931098</v>
      </c>
      <c r="K683" s="279">
        <f>K642</f>
        <v>579018.12809965538</v>
      </c>
      <c r="L683" s="170">
        <f>L642</f>
        <v>665232.56630128599</v>
      </c>
      <c r="M683" s="170">
        <f t="shared" ref="M683:AA683" si="983">M642</f>
        <v>742529.57105346979</v>
      </c>
      <c r="N683" s="170">
        <f t="shared" si="983"/>
        <v>816212.52494744107</v>
      </c>
      <c r="O683" s="170">
        <f t="shared" si="983"/>
        <v>1084043.3318514989</v>
      </c>
      <c r="P683" s="424">
        <f t="shared" si="983"/>
        <v>1343039.2266391998</v>
      </c>
      <c r="Q683" s="170">
        <f t="shared" si="983"/>
        <v>1539716.741255638</v>
      </c>
      <c r="R683" s="170">
        <f t="shared" si="983"/>
        <v>1820807.1491440234</v>
      </c>
      <c r="S683" s="170">
        <f t="shared" si="983"/>
        <v>2038113.617178482</v>
      </c>
      <c r="T683" s="170">
        <f t="shared" si="983"/>
        <v>2244338.5666639018</v>
      </c>
      <c r="U683" s="170">
        <f t="shared" si="983"/>
        <v>1774849.0222315001</v>
      </c>
      <c r="V683" s="170">
        <f t="shared" si="983"/>
        <v>2827712.4905778556</v>
      </c>
      <c r="W683" s="170">
        <f t="shared" si="983"/>
        <v>3179499.3725332217</v>
      </c>
      <c r="X683" s="170">
        <f t="shared" si="983"/>
        <v>3571370.4944505743</v>
      </c>
      <c r="Y683" s="170">
        <f t="shared" si="983"/>
        <v>3944026.9982900545</v>
      </c>
      <c r="Z683" s="170">
        <f t="shared" si="983"/>
        <v>4310417.6531986259</v>
      </c>
      <c r="AA683" s="170">
        <f t="shared" si="983"/>
        <v>4730889.3329343852</v>
      </c>
      <c r="AB683" s="170">
        <f t="shared" ref="AB683" si="984">AB642</f>
        <v>5180523.8688110495</v>
      </c>
    </row>
    <row r="684" spans="1:28" s="3" customFormat="1" x14ac:dyDescent="0.2">
      <c r="P684" s="387"/>
    </row>
    <row r="685" spans="1:28" x14ac:dyDescent="0.2">
      <c r="A685" s="426" t="s">
        <v>267</v>
      </c>
    </row>
    <row r="686" spans="1:28" s="25" customFormat="1" x14ac:dyDescent="0.2">
      <c r="B686" s="79"/>
      <c r="C686" s="25">
        <v>2006</v>
      </c>
      <c r="D686" s="25">
        <v>2007</v>
      </c>
      <c r="E686" s="25">
        <v>2008</v>
      </c>
      <c r="F686" s="25">
        <v>2009</v>
      </c>
      <c r="G686" s="25">
        <v>2010</v>
      </c>
      <c r="H686" s="25">
        <v>2011</v>
      </c>
      <c r="I686" s="25">
        <v>2012</v>
      </c>
      <c r="J686" s="25">
        <v>2013</v>
      </c>
      <c r="K686" s="249">
        <v>2014</v>
      </c>
      <c r="L686" s="84">
        <v>2015</v>
      </c>
      <c r="M686" s="25">
        <v>2016</v>
      </c>
      <c r="N686" s="25">
        <v>2017</v>
      </c>
      <c r="O686" s="25">
        <v>2018</v>
      </c>
      <c r="P686" s="388">
        <v>2019</v>
      </c>
      <c r="Q686" s="25">
        <v>2020</v>
      </c>
      <c r="R686" s="25">
        <v>2021</v>
      </c>
      <c r="S686" s="25">
        <v>2022</v>
      </c>
      <c r="T686" s="25">
        <v>2023</v>
      </c>
      <c r="U686" s="25">
        <v>2024</v>
      </c>
      <c r="V686" s="25">
        <v>2025</v>
      </c>
      <c r="W686" s="25">
        <v>2026</v>
      </c>
      <c r="X686" s="25">
        <v>2027</v>
      </c>
      <c r="Y686" s="25">
        <v>2028</v>
      </c>
      <c r="Z686" s="25">
        <v>2029</v>
      </c>
      <c r="AA686" s="25">
        <v>2030</v>
      </c>
      <c r="AB686" s="25">
        <v>2031</v>
      </c>
    </row>
    <row r="687" spans="1:28" x14ac:dyDescent="0.2">
      <c r="B687" s="25"/>
      <c r="C687">
        <v>1</v>
      </c>
      <c r="D687">
        <v>2</v>
      </c>
      <c r="E687">
        <v>3</v>
      </c>
      <c r="F687">
        <v>4</v>
      </c>
      <c r="G687">
        <v>5</v>
      </c>
      <c r="H687">
        <v>6</v>
      </c>
      <c r="I687">
        <v>7</v>
      </c>
      <c r="J687">
        <v>8</v>
      </c>
      <c r="K687" s="248">
        <v>9</v>
      </c>
      <c r="L687" s="3">
        <v>10</v>
      </c>
      <c r="M687" s="3">
        <v>11</v>
      </c>
      <c r="N687" s="3">
        <v>12</v>
      </c>
      <c r="O687" s="3">
        <v>13</v>
      </c>
      <c r="P687" s="387">
        <v>14</v>
      </c>
      <c r="Q687" s="3">
        <v>15</v>
      </c>
      <c r="R687" s="3">
        <v>16</v>
      </c>
      <c r="S687" s="3">
        <v>17</v>
      </c>
      <c r="T687" s="3">
        <v>18</v>
      </c>
      <c r="U687" s="3">
        <v>19</v>
      </c>
      <c r="V687" s="3">
        <v>20</v>
      </c>
      <c r="W687" s="3">
        <v>21</v>
      </c>
      <c r="X687" s="3">
        <v>22</v>
      </c>
      <c r="Y687" s="3">
        <v>23</v>
      </c>
      <c r="Z687" s="3">
        <v>24</v>
      </c>
      <c r="AA687" s="3">
        <v>25</v>
      </c>
      <c r="AB687" s="3">
        <v>26</v>
      </c>
    </row>
    <row r="688" spans="1:28" x14ac:dyDescent="0.2">
      <c r="A688">
        <v>1</v>
      </c>
      <c r="B688" t="s">
        <v>41</v>
      </c>
      <c r="C688" s="83">
        <f>C457</f>
        <v>2853039.8885293594</v>
      </c>
      <c r="D688" s="83">
        <f t="shared" ref="D688:K688" si="985">D457</f>
        <v>4211087.8882174212</v>
      </c>
      <c r="E688" s="83">
        <f t="shared" si="985"/>
        <v>8986313.2859290466</v>
      </c>
      <c r="F688" s="83">
        <f t="shared" si="985"/>
        <v>9329351.4402351081</v>
      </c>
      <c r="G688" s="83">
        <f t="shared" si="985"/>
        <v>11002757.978623468</v>
      </c>
      <c r="H688" s="83">
        <f t="shared" si="985"/>
        <v>11127122.560494922</v>
      </c>
      <c r="I688" s="83">
        <f t="shared" si="985"/>
        <v>15203705.296255166</v>
      </c>
      <c r="J688" s="83">
        <f t="shared" si="985"/>
        <v>14964187.264604138</v>
      </c>
      <c r="K688" s="258">
        <f t="shared" si="985"/>
        <v>11854275.377531121</v>
      </c>
      <c r="L688" s="83">
        <f>L457</f>
        <v>17939493.719934233</v>
      </c>
      <c r="M688" s="83">
        <f t="shared" ref="M688:AA688" si="986">M457</f>
        <v>22836956.963918664</v>
      </c>
      <c r="N688" s="83">
        <f t="shared" si="986"/>
        <v>28113962.535666224</v>
      </c>
      <c r="O688" s="83">
        <f t="shared" si="986"/>
        <v>43937989.924892485</v>
      </c>
      <c r="P688" s="421">
        <f t="shared" si="986"/>
        <v>72443970.369465053</v>
      </c>
      <c r="Q688" s="83">
        <f t="shared" si="986"/>
        <v>91396270.746997774</v>
      </c>
      <c r="R688" s="83">
        <f t="shared" si="986"/>
        <v>83421848.81943801</v>
      </c>
      <c r="S688" s="83">
        <f t="shared" si="986"/>
        <v>72428152.934833586</v>
      </c>
      <c r="T688" s="83">
        <f t="shared" si="986"/>
        <v>65554684.100288913</v>
      </c>
      <c r="U688" s="83">
        <f t="shared" si="986"/>
        <v>68415706.468836129</v>
      </c>
      <c r="V688" s="83">
        <f t="shared" si="986"/>
        <v>75553737.51947087</v>
      </c>
      <c r="W688" s="83">
        <f t="shared" si="986"/>
        <v>108474865.80566867</v>
      </c>
      <c r="X688" s="83">
        <f t="shared" si="986"/>
        <v>148161382.81995729</v>
      </c>
      <c r="Y688" s="83">
        <f t="shared" si="986"/>
        <v>208917249.66714486</v>
      </c>
      <c r="Z688" s="83">
        <f t="shared" si="986"/>
        <v>246561513.52794385</v>
      </c>
      <c r="AA688" s="83">
        <f t="shared" si="986"/>
        <v>172779477.47231174</v>
      </c>
      <c r="AB688" s="83">
        <f t="shared" ref="AB688" si="987">AB457</f>
        <v>130817427.29703304</v>
      </c>
    </row>
    <row r="689" spans="1:29" x14ac:dyDescent="0.2">
      <c r="A689">
        <v>2</v>
      </c>
      <c r="B689" t="s">
        <v>3</v>
      </c>
      <c r="C689" s="83">
        <f>C488</f>
        <v>643657.04895613552</v>
      </c>
      <c r="D689" s="83">
        <f t="shared" ref="D689:K689" si="988">D488</f>
        <v>476205.82025436242</v>
      </c>
      <c r="E689" s="83">
        <f t="shared" si="988"/>
        <v>352631.31526935304</v>
      </c>
      <c r="F689" s="83">
        <f t="shared" si="988"/>
        <v>280964.98702417413</v>
      </c>
      <c r="G689" s="83">
        <f t="shared" si="988"/>
        <v>297191.5271313251</v>
      </c>
      <c r="H689" s="83">
        <f t="shared" si="988"/>
        <v>511038.93983393762</v>
      </c>
      <c r="I689" s="83">
        <f t="shared" si="988"/>
        <v>1055516.3568738112</v>
      </c>
      <c r="J689" s="83">
        <f t="shared" si="988"/>
        <v>1546065.4134676419</v>
      </c>
      <c r="K689" s="258">
        <f t="shared" si="988"/>
        <v>756068.8072425368</v>
      </c>
      <c r="L689" s="83">
        <f>L488</f>
        <v>1013885.2142349094</v>
      </c>
      <c r="M689" s="83">
        <f t="shared" ref="M689:AA689" si="989">M488</f>
        <v>1165529.8029782567</v>
      </c>
      <c r="N689" s="83">
        <f t="shared" si="989"/>
        <v>1328684.0438265197</v>
      </c>
      <c r="O689" s="83">
        <f t="shared" si="989"/>
        <v>325682.43636472616</v>
      </c>
      <c r="P689" s="421">
        <f t="shared" si="989"/>
        <v>1195041.0356309428</v>
      </c>
      <c r="Q689" s="83">
        <f t="shared" si="989"/>
        <v>1982767.7390000159</v>
      </c>
      <c r="R689" s="83">
        <f t="shared" si="989"/>
        <v>1539390.9366617512</v>
      </c>
      <c r="S689" s="83">
        <f t="shared" si="989"/>
        <v>1399005.106460134</v>
      </c>
      <c r="T689" s="83">
        <f t="shared" si="989"/>
        <v>1062164.786970231</v>
      </c>
      <c r="U689" s="83">
        <f t="shared" si="989"/>
        <v>1508733.6238948784</v>
      </c>
      <c r="V689" s="83">
        <f t="shared" si="989"/>
        <v>2241718.9603731041</v>
      </c>
      <c r="W689" s="83">
        <f t="shared" si="989"/>
        <v>0</v>
      </c>
      <c r="X689" s="83">
        <f t="shared" si="989"/>
        <v>0</v>
      </c>
      <c r="Y689" s="83">
        <f t="shared" si="989"/>
        <v>0</v>
      </c>
      <c r="Z689" s="83">
        <f t="shared" si="989"/>
        <v>0</v>
      </c>
      <c r="AA689" s="83">
        <f t="shared" si="989"/>
        <v>0</v>
      </c>
      <c r="AB689" s="83">
        <f t="shared" ref="AB689" si="990">AB488</f>
        <v>0</v>
      </c>
    </row>
    <row r="690" spans="1:29" x14ac:dyDescent="0.2">
      <c r="A690">
        <v>3</v>
      </c>
      <c r="B690" t="s">
        <v>29</v>
      </c>
      <c r="C690" s="83">
        <f>C519</f>
        <v>197682.71306156626</v>
      </c>
      <c r="D690" s="83">
        <f t="shared" ref="D690:K690" si="991">D519</f>
        <v>329401.89263203833</v>
      </c>
      <c r="E690" s="83">
        <f t="shared" si="991"/>
        <v>128095.06024495597</v>
      </c>
      <c r="F690" s="83">
        <f t="shared" si="991"/>
        <v>185031.55924150042</v>
      </c>
      <c r="G690" s="83">
        <f t="shared" si="991"/>
        <v>374949.00137709395</v>
      </c>
      <c r="H690" s="83">
        <f t="shared" si="991"/>
        <v>0</v>
      </c>
      <c r="I690" s="83">
        <f t="shared" si="991"/>
        <v>38762.221637396397</v>
      </c>
      <c r="J690" s="83">
        <f t="shared" si="991"/>
        <v>108404.28686706143</v>
      </c>
      <c r="K690" s="258">
        <f t="shared" si="991"/>
        <v>996471.07307208946</v>
      </c>
      <c r="L690" s="83">
        <f>L519</f>
        <v>923978.11862609943</v>
      </c>
      <c r="M690" s="83">
        <f t="shared" ref="M690:AA690" si="992">M519</f>
        <v>1024030.8201674839</v>
      </c>
      <c r="N690" s="83">
        <f t="shared" si="992"/>
        <v>1220688.4989424362</v>
      </c>
      <c r="O690" s="83">
        <f t="shared" si="992"/>
        <v>1946818.5374856333</v>
      </c>
      <c r="P690" s="421">
        <f t="shared" si="992"/>
        <v>3398246.158353474</v>
      </c>
      <c r="Q690" s="83">
        <f t="shared" si="992"/>
        <v>4399199.9462112822</v>
      </c>
      <c r="R690" s="83">
        <f t="shared" si="992"/>
        <v>4241181.3228783179</v>
      </c>
      <c r="S690" s="83">
        <f t="shared" si="992"/>
        <v>3608406.190654587</v>
      </c>
      <c r="T690" s="83">
        <f t="shared" si="992"/>
        <v>3314404.0388940554</v>
      </c>
      <c r="U690" s="83">
        <f t="shared" si="992"/>
        <v>3215607.9428428295</v>
      </c>
      <c r="V690" s="83">
        <f t="shared" si="992"/>
        <v>2708540.4468108071</v>
      </c>
      <c r="W690" s="83">
        <f t="shared" si="992"/>
        <v>1950858.6228464739</v>
      </c>
      <c r="X690" s="83">
        <f t="shared" si="992"/>
        <v>3205052.7609493104</v>
      </c>
      <c r="Y690" s="83">
        <f t="shared" si="992"/>
        <v>4261370.242906495</v>
      </c>
      <c r="Z690" s="83">
        <f t="shared" si="992"/>
        <v>4302135.5009498112</v>
      </c>
      <c r="AA690" s="83">
        <f t="shared" si="992"/>
        <v>5910062.1602597004</v>
      </c>
      <c r="AB690" s="83">
        <f t="shared" ref="AB690" si="993">AB519</f>
        <v>2906477.3253035769</v>
      </c>
    </row>
    <row r="691" spans="1:29" x14ac:dyDescent="0.2">
      <c r="A691">
        <v>4</v>
      </c>
      <c r="B691" t="s">
        <v>5</v>
      </c>
      <c r="C691" s="83">
        <f>C550</f>
        <v>42707.41294462626</v>
      </c>
      <c r="D691" s="83">
        <f t="shared" ref="D691:K691" si="994">D550</f>
        <v>0</v>
      </c>
      <c r="E691" s="83">
        <f t="shared" si="994"/>
        <v>0</v>
      </c>
      <c r="F691" s="83">
        <f t="shared" si="994"/>
        <v>50200.127760763695</v>
      </c>
      <c r="G691" s="83">
        <f t="shared" si="994"/>
        <v>42822.864551976534</v>
      </c>
      <c r="H691" s="83">
        <f t="shared" si="994"/>
        <v>396932.83064160601</v>
      </c>
      <c r="I691" s="83">
        <f t="shared" si="994"/>
        <v>1034026.1703478179</v>
      </c>
      <c r="J691" s="83">
        <f t="shared" si="994"/>
        <v>1014969.5294589249</v>
      </c>
      <c r="K691" s="258">
        <f t="shared" si="994"/>
        <v>789059.6289522564</v>
      </c>
      <c r="L691" s="83">
        <f>L550</f>
        <v>698175.24092453823</v>
      </c>
      <c r="M691" s="83">
        <f t="shared" ref="M691:AA691" si="995">M550</f>
        <v>1568199.8109551459</v>
      </c>
      <c r="N691" s="83">
        <f t="shared" si="995"/>
        <v>1120512.4426725206</v>
      </c>
      <c r="O691" s="83">
        <f t="shared" si="995"/>
        <v>1507375.2809739336</v>
      </c>
      <c r="P691" s="421">
        <f t="shared" si="995"/>
        <v>2756278.3761583809</v>
      </c>
      <c r="Q691" s="83">
        <f t="shared" si="995"/>
        <v>8270557.9141400438</v>
      </c>
      <c r="R691" s="83">
        <f t="shared" si="995"/>
        <v>1133537.3379403146</v>
      </c>
      <c r="S691" s="83">
        <f t="shared" si="995"/>
        <v>4425110.9270928605</v>
      </c>
      <c r="T691" s="83">
        <f t="shared" si="995"/>
        <v>1713408.6952354542</v>
      </c>
      <c r="U691" s="83">
        <f t="shared" si="995"/>
        <v>4225289.8992436342</v>
      </c>
      <c r="V691" s="83">
        <f t="shared" si="995"/>
        <v>2812021.6863911822</v>
      </c>
      <c r="W691" s="83">
        <f t="shared" si="995"/>
        <v>9883157.9577794969</v>
      </c>
      <c r="X691" s="83">
        <f t="shared" si="995"/>
        <v>4814404.7769006612</v>
      </c>
      <c r="Y691" s="83">
        <f t="shared" si="995"/>
        <v>5042525.6387907797</v>
      </c>
      <c r="Z691" s="83">
        <f t="shared" si="995"/>
        <v>6226873.9142384594</v>
      </c>
      <c r="AA691" s="83">
        <f t="shared" si="995"/>
        <v>6425743.0106657781</v>
      </c>
      <c r="AB691" s="83">
        <f t="shared" ref="AB691" si="996">AB550</f>
        <v>1483514.8555806477</v>
      </c>
    </row>
    <row r="692" spans="1:29" x14ac:dyDescent="0.2">
      <c r="A692">
        <v>5</v>
      </c>
      <c r="B692" t="s">
        <v>6</v>
      </c>
      <c r="C692" s="83">
        <f>C581</f>
        <v>160070.20567017008</v>
      </c>
      <c r="D692" s="83">
        <f t="shared" ref="D692:K692" si="997">D581</f>
        <v>176775.74950056206</v>
      </c>
      <c r="E692" s="83">
        <f t="shared" si="997"/>
        <v>210529.26276403491</v>
      </c>
      <c r="F692" s="83">
        <f t="shared" si="997"/>
        <v>150641.95745076961</v>
      </c>
      <c r="G692" s="83">
        <f t="shared" si="997"/>
        <v>284927.66175517236</v>
      </c>
      <c r="H692" s="83">
        <f t="shared" si="997"/>
        <v>22216.934944283141</v>
      </c>
      <c r="I692" s="83">
        <f t="shared" si="997"/>
        <v>0</v>
      </c>
      <c r="J692" s="83">
        <f t="shared" si="997"/>
        <v>9575.7029647326253</v>
      </c>
      <c r="K692" s="258">
        <f t="shared" si="997"/>
        <v>490026.23982952168</v>
      </c>
      <c r="L692" s="83">
        <f>L581</f>
        <v>572171.32015060191</v>
      </c>
      <c r="M692" s="83">
        <f t="shared" ref="M692:AA692" si="998">M581</f>
        <v>695990.98791587725</v>
      </c>
      <c r="N692" s="83">
        <f t="shared" si="998"/>
        <v>856364.17068666429</v>
      </c>
      <c r="O692" s="83">
        <f t="shared" si="998"/>
        <v>95181.563308893659</v>
      </c>
      <c r="P692" s="421">
        <f t="shared" si="998"/>
        <v>866395.70235390856</v>
      </c>
      <c r="Q692" s="83">
        <f t="shared" si="998"/>
        <v>1846028.1370301219</v>
      </c>
      <c r="R692" s="83">
        <f t="shared" si="998"/>
        <v>1435253.5580366729</v>
      </c>
      <c r="S692" s="83">
        <f t="shared" si="998"/>
        <v>1384065.2459852272</v>
      </c>
      <c r="T692" s="83">
        <f t="shared" si="998"/>
        <v>1457475.6964725128</v>
      </c>
      <c r="U692" s="83">
        <f t="shared" si="998"/>
        <v>1661657.2496009227</v>
      </c>
      <c r="V692" s="83">
        <f t="shared" si="998"/>
        <v>1830908.5518730804</v>
      </c>
      <c r="W692" s="83">
        <f t="shared" si="998"/>
        <v>3502544.3445644742</v>
      </c>
      <c r="X692" s="83">
        <f t="shared" si="998"/>
        <v>2759919.5209732777</v>
      </c>
      <c r="Y692" s="83">
        <f t="shared" si="998"/>
        <v>2610038.6874314961</v>
      </c>
      <c r="Z692" s="83">
        <f t="shared" si="998"/>
        <v>3243871.8835308435</v>
      </c>
      <c r="AA692" s="83">
        <f t="shared" si="998"/>
        <v>3340010.727776587</v>
      </c>
      <c r="AB692" s="83">
        <f t="shared" ref="AB692" si="999">AB581</f>
        <v>1118003.3115396963</v>
      </c>
    </row>
    <row r="693" spans="1:29" x14ac:dyDescent="0.2">
      <c r="A693">
        <v>6</v>
      </c>
      <c r="B693" t="s">
        <v>1</v>
      </c>
      <c r="C693" s="83">
        <f>C612</f>
        <v>341654.66319669015</v>
      </c>
      <c r="D693" s="83">
        <f t="shared" ref="D693:K693" si="1000">D612</f>
        <v>342612.85374298261</v>
      </c>
      <c r="E693" s="83">
        <f t="shared" si="1000"/>
        <v>280759.27451557334</v>
      </c>
      <c r="F693" s="83">
        <f t="shared" si="1000"/>
        <v>534056.67868822836</v>
      </c>
      <c r="G693" s="83">
        <f t="shared" si="1000"/>
        <v>1246773.3498453796</v>
      </c>
      <c r="H693" s="83">
        <f t="shared" si="1000"/>
        <v>1538047.7643812385</v>
      </c>
      <c r="I693" s="83">
        <f t="shared" si="1000"/>
        <v>1859105.934213517</v>
      </c>
      <c r="J693" s="83">
        <f t="shared" si="1000"/>
        <v>978503.53794445761</v>
      </c>
      <c r="K693" s="258">
        <f t="shared" si="1000"/>
        <v>763075.71480748605</v>
      </c>
      <c r="L693" s="83">
        <f>L612</f>
        <v>2509775.3765545906</v>
      </c>
      <c r="M693" s="83">
        <f t="shared" ref="M693:AA693" si="1001">M612</f>
        <v>1155098.9557247749</v>
      </c>
      <c r="N693" s="83">
        <f t="shared" si="1001"/>
        <v>2698864.5927928495</v>
      </c>
      <c r="O693" s="83">
        <f t="shared" si="1001"/>
        <v>2646007.2261780058</v>
      </c>
      <c r="P693" s="421">
        <f t="shared" si="1001"/>
        <v>14711397.808407098</v>
      </c>
      <c r="Q693" s="83">
        <f t="shared" si="1001"/>
        <v>2983258.8407794698</v>
      </c>
      <c r="R693" s="83">
        <f t="shared" si="1001"/>
        <v>14081345.782769768</v>
      </c>
      <c r="S693" s="83">
        <f t="shared" si="1001"/>
        <v>1632841.9111912791</v>
      </c>
      <c r="T693" s="83">
        <f t="shared" si="1001"/>
        <v>3613027.4071693886</v>
      </c>
      <c r="U693" s="83">
        <f t="shared" si="1001"/>
        <v>4418273.7890740242</v>
      </c>
      <c r="V693" s="83">
        <f t="shared" si="1001"/>
        <v>18526392.034505449</v>
      </c>
      <c r="W693" s="83">
        <f t="shared" si="1001"/>
        <v>3210358.9098186414</v>
      </c>
      <c r="X693" s="83">
        <f t="shared" si="1001"/>
        <v>18025878.840610035</v>
      </c>
      <c r="Y693" s="83">
        <f t="shared" si="1001"/>
        <v>10564239.223005475</v>
      </c>
      <c r="Z693" s="83">
        <f t="shared" si="1001"/>
        <v>13047325.356745649</v>
      </c>
      <c r="AA693" s="83">
        <f t="shared" si="1001"/>
        <v>13534911.024562776</v>
      </c>
      <c r="AB693" s="83">
        <f t="shared" ref="AB693" si="1002">AB612</f>
        <v>4344100.6070247404</v>
      </c>
    </row>
    <row r="694" spans="1:29" x14ac:dyDescent="0.2">
      <c r="A694">
        <v>7</v>
      </c>
      <c r="B694" t="s">
        <v>2</v>
      </c>
      <c r="C694" s="83">
        <f>C643</f>
        <v>341654.66319669015</v>
      </c>
      <c r="D694" s="83">
        <f t="shared" ref="D694:K694" si="1003">D643</f>
        <v>27594.372177741476</v>
      </c>
      <c r="E694" s="83">
        <f t="shared" si="1003"/>
        <v>143372.13755044754</v>
      </c>
      <c r="F694" s="83">
        <f t="shared" si="1003"/>
        <v>1160963.9784956055</v>
      </c>
      <c r="G694" s="83">
        <f t="shared" si="1003"/>
        <v>1426405.1985404459</v>
      </c>
      <c r="H694" s="83">
        <f t="shared" si="1003"/>
        <v>1561282.9941365249</v>
      </c>
      <c r="I694" s="83">
        <f t="shared" si="1003"/>
        <v>1808731.6632063051</v>
      </c>
      <c r="J694" s="83">
        <f t="shared" si="1003"/>
        <v>2049186.5654111546</v>
      </c>
      <c r="K694" s="258">
        <f t="shared" si="1003"/>
        <v>844397.70675106416</v>
      </c>
      <c r="L694" s="83">
        <f>L643</f>
        <v>1089001.7154071811</v>
      </c>
      <c r="M694" s="83">
        <f t="shared" ref="M694:AA694" si="1004">M643</f>
        <v>1243993.6347574731</v>
      </c>
      <c r="N694" s="83">
        <f t="shared" si="1004"/>
        <v>1509454.8145300273</v>
      </c>
      <c r="O694" s="83">
        <f t="shared" si="1004"/>
        <v>9584122.8379228897</v>
      </c>
      <c r="P694" s="421">
        <f t="shared" si="1004"/>
        <v>4660859.5353292897</v>
      </c>
      <c r="Q694" s="83">
        <f t="shared" si="1004"/>
        <v>10850029.679747617</v>
      </c>
      <c r="R694" s="83">
        <f t="shared" si="1004"/>
        <v>4098283.7687931256</v>
      </c>
      <c r="S694" s="83">
        <f t="shared" si="1004"/>
        <v>4973321.0312680081</v>
      </c>
      <c r="T694" s="83">
        <f t="shared" si="1004"/>
        <v>12613350.713603891</v>
      </c>
      <c r="U694" s="83">
        <f t="shared" si="1004"/>
        <v>1633790.1171479481</v>
      </c>
      <c r="V694" s="83">
        <f t="shared" si="1004"/>
        <v>5357396.6422039215</v>
      </c>
      <c r="W694" s="83">
        <f t="shared" si="1004"/>
        <v>13156404.431891687</v>
      </c>
      <c r="X694" s="83">
        <f t="shared" si="1004"/>
        <v>12406449.148941522</v>
      </c>
      <c r="Y694" s="83">
        <f t="shared" si="1004"/>
        <v>10099600.734314822</v>
      </c>
      <c r="Z694" s="83">
        <f t="shared" si="1004"/>
        <v>12623485.072150093</v>
      </c>
      <c r="AA694" s="83">
        <f t="shared" si="1004"/>
        <v>13030384.946226997</v>
      </c>
      <c r="AB694" s="83">
        <f t="shared" ref="AB694" si="1005">AB643</f>
        <v>4297423.820033038</v>
      </c>
    </row>
    <row r="695" spans="1:29" x14ac:dyDescent="0.2">
      <c r="C695" s="83"/>
      <c r="D695" s="83"/>
      <c r="E695" s="83"/>
      <c r="F695" s="83"/>
      <c r="G695" s="83"/>
      <c r="H695" s="83"/>
      <c r="I695" s="83"/>
      <c r="J695" s="83"/>
      <c r="K695" s="258"/>
      <c r="L695" s="83"/>
      <c r="M695" s="83"/>
      <c r="N695" s="83"/>
      <c r="O695" s="83"/>
      <c r="P695" s="421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  <c r="AB695" s="83"/>
    </row>
    <row r="696" spans="1:29" x14ac:dyDescent="0.2">
      <c r="C696" s="83"/>
      <c r="D696" s="83"/>
      <c r="E696" s="83"/>
      <c r="F696" s="83"/>
      <c r="G696" s="83"/>
      <c r="H696" s="83"/>
      <c r="I696" s="83"/>
      <c r="J696" s="83"/>
      <c r="K696" s="258"/>
      <c r="L696" s="83"/>
      <c r="M696" s="83"/>
      <c r="N696" s="83"/>
      <c r="O696" s="83"/>
      <c r="P696" s="421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  <c r="AB696" s="83"/>
    </row>
    <row r="697" spans="1:29" x14ac:dyDescent="0.2">
      <c r="A697" s="25" t="s">
        <v>68</v>
      </c>
    </row>
    <row r="698" spans="1:29" s="25" customFormat="1" ht="13.7" customHeight="1" x14ac:dyDescent="0.2">
      <c r="B698" s="79" t="s">
        <v>67</v>
      </c>
      <c r="C698" s="25">
        <v>2006</v>
      </c>
      <c r="D698" s="25">
        <v>2007</v>
      </c>
      <c r="E698" s="25">
        <v>2008</v>
      </c>
      <c r="F698" s="25">
        <v>2009</v>
      </c>
      <c r="G698" s="25">
        <v>2010</v>
      </c>
      <c r="H698" s="25">
        <v>2011</v>
      </c>
      <c r="I698" s="25">
        <v>2012</v>
      </c>
      <c r="J698" s="25">
        <v>2013</v>
      </c>
      <c r="K698" s="249">
        <v>2014</v>
      </c>
      <c r="L698" s="84">
        <v>2015</v>
      </c>
      <c r="M698" s="25">
        <v>2016</v>
      </c>
      <c r="N698" s="25">
        <v>2017</v>
      </c>
      <c r="O698" s="25">
        <v>2018</v>
      </c>
      <c r="P698" s="388">
        <v>2019</v>
      </c>
      <c r="Q698" s="25">
        <v>2020</v>
      </c>
      <c r="R698" s="25">
        <v>2021</v>
      </c>
      <c r="S698" s="25">
        <v>2022</v>
      </c>
      <c r="T698" s="25">
        <v>2023</v>
      </c>
      <c r="U698" s="25">
        <v>2024</v>
      </c>
      <c r="V698" s="25">
        <v>2025</v>
      </c>
      <c r="W698" s="25">
        <v>2026</v>
      </c>
      <c r="X698" s="25">
        <v>2027</v>
      </c>
      <c r="Y698" s="25">
        <v>2028</v>
      </c>
      <c r="Z698" s="25">
        <v>2029</v>
      </c>
      <c r="AA698" s="25">
        <v>2030</v>
      </c>
      <c r="AB698" s="25">
        <v>2031</v>
      </c>
    </row>
    <row r="699" spans="1:29" x14ac:dyDescent="0.2">
      <c r="B699" s="25"/>
      <c r="C699">
        <v>1</v>
      </c>
      <c r="D699">
        <v>2</v>
      </c>
      <c r="E699">
        <v>3</v>
      </c>
      <c r="F699">
        <v>4</v>
      </c>
      <c r="G699">
        <v>5</v>
      </c>
      <c r="H699">
        <v>6</v>
      </c>
      <c r="I699">
        <v>7</v>
      </c>
      <c r="J699">
        <v>8</v>
      </c>
      <c r="K699" s="248">
        <v>9</v>
      </c>
      <c r="L699" s="3">
        <v>10</v>
      </c>
      <c r="M699" s="3">
        <v>11</v>
      </c>
      <c r="N699" s="3">
        <v>12</v>
      </c>
      <c r="O699" s="3">
        <v>13</v>
      </c>
      <c r="P699" s="387">
        <v>14</v>
      </c>
      <c r="Q699" s="3">
        <v>15</v>
      </c>
      <c r="R699" s="3">
        <v>16</v>
      </c>
      <c r="S699" s="3">
        <v>17</v>
      </c>
      <c r="T699" s="3">
        <v>18</v>
      </c>
      <c r="U699" s="3">
        <v>19</v>
      </c>
      <c r="V699" s="3">
        <v>20</v>
      </c>
      <c r="W699" s="3">
        <v>21</v>
      </c>
      <c r="X699" s="3">
        <v>22</v>
      </c>
      <c r="Y699" s="3">
        <v>23</v>
      </c>
      <c r="Z699" s="3">
        <v>24</v>
      </c>
      <c r="AA699" s="3">
        <v>25</v>
      </c>
      <c r="AB699" s="3">
        <v>26</v>
      </c>
    </row>
    <row r="700" spans="1:29" x14ac:dyDescent="0.2">
      <c r="A700">
        <v>1</v>
      </c>
      <c r="B700" t="s">
        <v>41</v>
      </c>
      <c r="C700" s="102">
        <f t="shared" ref="C700:AA700" si="1006">ROUND(C688/INDEX(NeobhBaKVLEdMosh,$A700,C$699)/INDEX(KumIndPPP,NscenInfl,C$699),0)</f>
        <v>132947</v>
      </c>
      <c r="D700" s="102">
        <f t="shared" si="1006"/>
        <v>173808</v>
      </c>
      <c r="E700" s="102">
        <f t="shared" si="1006"/>
        <v>194474</v>
      </c>
      <c r="F700" s="102">
        <f t="shared" si="1006"/>
        <v>190616</v>
      </c>
      <c r="G700" s="102">
        <f t="shared" si="1006"/>
        <v>195145</v>
      </c>
      <c r="H700" s="102">
        <f t="shared" si="1006"/>
        <v>175906</v>
      </c>
      <c r="I700" s="102">
        <f t="shared" si="1006"/>
        <v>213894</v>
      </c>
      <c r="J700" s="102">
        <f t="shared" si="1006"/>
        <v>190141</v>
      </c>
      <c r="K700" s="280">
        <f t="shared" si="1006"/>
        <v>126081</v>
      </c>
      <c r="L700" s="102">
        <f t="shared" si="1006"/>
        <v>167371</v>
      </c>
      <c r="M700" s="102">
        <f t="shared" si="1006"/>
        <v>182106</v>
      </c>
      <c r="N700" s="102">
        <f t="shared" si="1006"/>
        <v>189987</v>
      </c>
      <c r="O700" s="102">
        <f t="shared" si="1006"/>
        <v>258193</v>
      </c>
      <c r="P700" s="397">
        <f t="shared" si="1006"/>
        <v>376729</v>
      </c>
      <c r="Q700" s="102">
        <f t="shared" si="1006"/>
        <v>428186</v>
      </c>
      <c r="R700" s="102">
        <f t="shared" si="1006"/>
        <v>355296</v>
      </c>
      <c r="S700" s="102">
        <f t="shared" si="1006"/>
        <v>280431</v>
      </c>
      <c r="T700" s="102">
        <f t="shared" si="1006"/>
        <v>235016</v>
      </c>
      <c r="U700" s="102">
        <f t="shared" si="1006"/>
        <v>225021</v>
      </c>
      <c r="V700" s="102">
        <f t="shared" si="1006"/>
        <v>225908</v>
      </c>
      <c r="W700" s="102">
        <f t="shared" si="1006"/>
        <v>292201</v>
      </c>
      <c r="X700" s="102">
        <f t="shared" si="1006"/>
        <v>369542</v>
      </c>
      <c r="Y700" s="102">
        <f t="shared" si="1006"/>
        <v>486989</v>
      </c>
      <c r="Z700" s="102">
        <f t="shared" si="1006"/>
        <v>537139</v>
      </c>
      <c r="AA700" s="102">
        <f t="shared" si="1006"/>
        <v>351779</v>
      </c>
      <c r="AB700" s="102">
        <f t="shared" ref="AB700" si="1007">ROUND(AB688/INDEX(NeobhBaKVLEdMosh,$A700,AB$699)/INDEX(KumIndPPP,NscenInfl,AB$699),0)</f>
        <v>248920</v>
      </c>
      <c r="AC700" s="109"/>
    </row>
    <row r="701" spans="1:29" x14ac:dyDescent="0.2">
      <c r="A701">
        <v>2</v>
      </c>
      <c r="B701" t="s">
        <v>3</v>
      </c>
      <c r="C701" s="102">
        <f t="shared" ref="C701:AA701" si="1008">ROUND(C689/INDEX(NeobhBaKVLEdMosh,$A701,C$699)/INDEX(KumIndPPP,NscenInfl,C$699),0)</f>
        <v>2999</v>
      </c>
      <c r="D701" s="102">
        <f t="shared" si="1008"/>
        <v>1965</v>
      </c>
      <c r="E701" s="102">
        <f t="shared" si="1008"/>
        <v>977</v>
      </c>
      <c r="F701" s="102">
        <f t="shared" si="1008"/>
        <v>723</v>
      </c>
      <c r="G701" s="102">
        <f t="shared" si="1008"/>
        <v>755</v>
      </c>
      <c r="H701" s="102">
        <f t="shared" si="1008"/>
        <v>1212</v>
      </c>
      <c r="I701" s="102">
        <f t="shared" si="1008"/>
        <v>2227</v>
      </c>
      <c r="J701" s="102">
        <f t="shared" si="1008"/>
        <v>2947</v>
      </c>
      <c r="K701" s="280">
        <f t="shared" si="1008"/>
        <v>1029</v>
      </c>
      <c r="L701" s="102">
        <f t="shared" si="1008"/>
        <v>1211</v>
      </c>
      <c r="M701" s="102">
        <f t="shared" si="1008"/>
        <v>1190</v>
      </c>
      <c r="N701" s="102">
        <f t="shared" si="1008"/>
        <v>1149</v>
      </c>
      <c r="O701" s="102">
        <f t="shared" si="1008"/>
        <v>245</v>
      </c>
      <c r="P701" s="397">
        <f t="shared" si="1008"/>
        <v>795</v>
      </c>
      <c r="Q701" s="102">
        <f t="shared" si="1008"/>
        <v>1189</v>
      </c>
      <c r="R701" s="102">
        <f t="shared" si="1008"/>
        <v>839</v>
      </c>
      <c r="S701" s="102">
        <f t="shared" si="1008"/>
        <v>693</v>
      </c>
      <c r="T701" s="102">
        <f t="shared" si="1008"/>
        <v>487</v>
      </c>
      <c r="U701" s="102">
        <f t="shared" si="1008"/>
        <v>635</v>
      </c>
      <c r="V701" s="102">
        <f t="shared" si="1008"/>
        <v>858</v>
      </c>
      <c r="W701" s="102">
        <f t="shared" si="1008"/>
        <v>0</v>
      </c>
      <c r="X701" s="102">
        <f t="shared" si="1008"/>
        <v>0</v>
      </c>
      <c r="Y701" s="102">
        <f t="shared" si="1008"/>
        <v>0</v>
      </c>
      <c r="Z701" s="102">
        <f t="shared" si="1008"/>
        <v>0</v>
      </c>
      <c r="AA701" s="102">
        <f t="shared" si="1008"/>
        <v>0</v>
      </c>
      <c r="AB701" s="102">
        <f t="shared" ref="AB701" si="1009">ROUND(AB689/INDEX(NeobhBaKVLEdMosh,$A701,AB$699)/INDEX(KumIndPPP,NscenInfl,AB$699),0)</f>
        <v>0</v>
      </c>
      <c r="AC701" s="109"/>
    </row>
    <row r="702" spans="1:29" x14ac:dyDescent="0.2">
      <c r="A702">
        <v>3</v>
      </c>
      <c r="B702" t="s">
        <v>29</v>
      </c>
      <c r="C702" s="102">
        <f t="shared" ref="C702:AA702" si="1010">ROUND(C690/INDEX(NeobhBaKVLEdMosh,$A702,C$699)/INDEX(KumIndPPP,NscenInfl,C$699),0)</f>
        <v>1842</v>
      </c>
      <c r="D702" s="102">
        <f t="shared" si="1010"/>
        <v>1813</v>
      </c>
      <c r="E702" s="102">
        <f t="shared" si="1010"/>
        <v>444</v>
      </c>
      <c r="F702" s="102">
        <f t="shared" si="1010"/>
        <v>744</v>
      </c>
      <c r="G702" s="102">
        <f t="shared" si="1010"/>
        <v>1397</v>
      </c>
      <c r="H702" s="102">
        <f t="shared" si="1010"/>
        <v>0</v>
      </c>
      <c r="I702" s="102">
        <f t="shared" si="1010"/>
        <v>164</v>
      </c>
      <c r="J702" s="102">
        <f t="shared" si="1010"/>
        <v>826</v>
      </c>
      <c r="K702" s="280">
        <f t="shared" si="1010"/>
        <v>3083</v>
      </c>
      <c r="L702" s="102">
        <f t="shared" si="1010"/>
        <v>2508</v>
      </c>
      <c r="M702" s="102">
        <f t="shared" si="1010"/>
        <v>2376</v>
      </c>
      <c r="N702" s="102">
        <f t="shared" si="1010"/>
        <v>2400</v>
      </c>
      <c r="O702" s="102">
        <f t="shared" si="1010"/>
        <v>3328</v>
      </c>
      <c r="P702" s="397">
        <f t="shared" si="1010"/>
        <v>5141</v>
      </c>
      <c r="Q702" s="102">
        <f t="shared" si="1010"/>
        <v>5996</v>
      </c>
      <c r="R702" s="102">
        <f t="shared" si="1010"/>
        <v>5255</v>
      </c>
      <c r="S702" s="102">
        <f t="shared" si="1010"/>
        <v>4064</v>
      </c>
      <c r="T702" s="102">
        <f t="shared" si="1010"/>
        <v>3457</v>
      </c>
      <c r="U702" s="102">
        <f t="shared" si="1010"/>
        <v>3077</v>
      </c>
      <c r="V702" s="102">
        <f t="shared" si="1010"/>
        <v>2356</v>
      </c>
      <c r="W702" s="102">
        <f t="shared" si="1010"/>
        <v>1529</v>
      </c>
      <c r="X702" s="102">
        <f t="shared" si="1010"/>
        <v>2326</v>
      </c>
      <c r="Y702" s="102">
        <f t="shared" si="1010"/>
        <v>2890</v>
      </c>
      <c r="Z702" s="102">
        <f t="shared" si="1010"/>
        <v>2726</v>
      </c>
      <c r="AA702" s="102">
        <f t="shared" si="1010"/>
        <v>3500</v>
      </c>
      <c r="AB702" s="102">
        <f t="shared" ref="AB702" si="1011">ROUND(AB690/INDEX(NeobhBaKVLEdMosh,$A702,AB$699)/INDEX(KumIndPPP,NscenInfl,AB$699),0)</f>
        <v>1609</v>
      </c>
      <c r="AC702" s="109"/>
    </row>
    <row r="703" spans="1:29" x14ac:dyDescent="0.2">
      <c r="A703">
        <v>4</v>
      </c>
      <c r="B703" t="s">
        <v>5</v>
      </c>
      <c r="C703" s="102">
        <f t="shared" ref="C703:AA703" si="1012">ROUND(C691/INDEX(NeobhBaKVLEdMosh,$A703,C$699)/INDEX(KumIndPPP,NscenInfl,C$699),0)</f>
        <v>100</v>
      </c>
      <c r="D703" s="102">
        <f t="shared" si="1012"/>
        <v>0</v>
      </c>
      <c r="E703" s="102">
        <f t="shared" si="1012"/>
        <v>0</v>
      </c>
      <c r="F703" s="102">
        <f t="shared" si="1012"/>
        <v>65</v>
      </c>
      <c r="G703" s="102">
        <f t="shared" si="1012"/>
        <v>48</v>
      </c>
      <c r="H703" s="102">
        <f t="shared" si="1012"/>
        <v>471</v>
      </c>
      <c r="I703" s="102">
        <f t="shared" si="1012"/>
        <v>1091</v>
      </c>
      <c r="J703" s="102">
        <f t="shared" si="1012"/>
        <v>967</v>
      </c>
      <c r="K703" s="280">
        <f t="shared" si="1012"/>
        <v>597</v>
      </c>
      <c r="L703" s="102">
        <f t="shared" si="1012"/>
        <v>463</v>
      </c>
      <c r="M703" s="102">
        <f t="shared" si="1012"/>
        <v>889</v>
      </c>
      <c r="N703" s="102">
        <f t="shared" si="1012"/>
        <v>538</v>
      </c>
      <c r="O703" s="102">
        <f t="shared" si="1012"/>
        <v>630</v>
      </c>
      <c r="P703" s="397">
        <f t="shared" si="1012"/>
        <v>1019</v>
      </c>
      <c r="Q703" s="102">
        <f t="shared" si="1012"/>
        <v>2755</v>
      </c>
      <c r="R703" s="102">
        <f t="shared" si="1012"/>
        <v>343</v>
      </c>
      <c r="S703" s="102">
        <f t="shared" si="1012"/>
        <v>1218</v>
      </c>
      <c r="T703" s="102">
        <f t="shared" si="1012"/>
        <v>437</v>
      </c>
      <c r="U703" s="102">
        <f t="shared" si="1012"/>
        <v>988</v>
      </c>
      <c r="V703" s="102">
        <f t="shared" si="1012"/>
        <v>598</v>
      </c>
      <c r="W703" s="102">
        <f t="shared" si="1012"/>
        <v>1893</v>
      </c>
      <c r="X703" s="102">
        <f t="shared" si="1012"/>
        <v>854</v>
      </c>
      <c r="Y703" s="102">
        <f t="shared" si="1012"/>
        <v>836</v>
      </c>
      <c r="Z703" s="102">
        <f t="shared" si="1012"/>
        <v>965</v>
      </c>
      <c r="AA703" s="102">
        <f t="shared" si="1012"/>
        <v>930</v>
      </c>
      <c r="AB703" s="102">
        <f t="shared" ref="AB703" si="1013">ROUND(AB691/INDEX(NeobhBaKVLEdMosh,$A703,AB$699)/INDEX(KumIndPPP,NscenInfl,AB$699),0)</f>
        <v>201</v>
      </c>
      <c r="AC703" s="109"/>
    </row>
    <row r="704" spans="1:29" x14ac:dyDescent="0.2">
      <c r="A704">
        <v>5</v>
      </c>
      <c r="B704" t="s">
        <v>6</v>
      </c>
      <c r="C704" s="102">
        <f t="shared" ref="C704:AA704" si="1014">ROUND(C692/INDEX(NeobhBaKVLEdMosh,$A704,C$699)/INDEX(KumIndPPP,NscenInfl,C$699),0)</f>
        <v>1492</v>
      </c>
      <c r="D704" s="102">
        <f t="shared" si="1014"/>
        <v>1459</v>
      </c>
      <c r="E704" s="102">
        <f t="shared" si="1014"/>
        <v>972</v>
      </c>
      <c r="F704" s="102">
        <f t="shared" si="1014"/>
        <v>646</v>
      </c>
      <c r="G704" s="102">
        <f t="shared" si="1014"/>
        <v>1061</v>
      </c>
      <c r="H704" s="102">
        <f t="shared" si="1014"/>
        <v>70</v>
      </c>
      <c r="I704" s="102">
        <f t="shared" si="1014"/>
        <v>0</v>
      </c>
      <c r="J704" s="102">
        <f t="shared" si="1014"/>
        <v>37</v>
      </c>
      <c r="K704" s="280">
        <f t="shared" si="1014"/>
        <v>1112</v>
      </c>
      <c r="L704" s="102">
        <f t="shared" si="1014"/>
        <v>1139</v>
      </c>
      <c r="M704" s="102">
        <f t="shared" si="1014"/>
        <v>1184</v>
      </c>
      <c r="N704" s="102">
        <f t="shared" si="1014"/>
        <v>1235</v>
      </c>
      <c r="O704" s="102">
        <f t="shared" si="1014"/>
        <v>119</v>
      </c>
      <c r="P704" s="397">
        <f t="shared" si="1014"/>
        <v>961</v>
      </c>
      <c r="Q704" s="102">
        <f t="shared" si="1014"/>
        <v>1845</v>
      </c>
      <c r="R704" s="102">
        <f t="shared" si="1014"/>
        <v>1304</v>
      </c>
      <c r="S704" s="102">
        <f t="shared" si="1014"/>
        <v>1143</v>
      </c>
      <c r="T704" s="102">
        <f t="shared" si="1014"/>
        <v>1115</v>
      </c>
      <c r="U704" s="102">
        <f t="shared" si="1014"/>
        <v>1166</v>
      </c>
      <c r="V704" s="102">
        <f t="shared" si="1014"/>
        <v>1168</v>
      </c>
      <c r="W704" s="102">
        <f t="shared" si="1014"/>
        <v>2013</v>
      </c>
      <c r="X704" s="102">
        <f t="shared" si="1014"/>
        <v>1469</v>
      </c>
      <c r="Y704" s="102">
        <f t="shared" si="1014"/>
        <v>1298</v>
      </c>
      <c r="Z704" s="102">
        <f t="shared" si="1014"/>
        <v>1508</v>
      </c>
      <c r="AA704" s="102">
        <f t="shared" si="1014"/>
        <v>1451</v>
      </c>
      <c r="AB704" s="102">
        <f t="shared" ref="AB704" si="1015">ROUND(AB692/INDEX(NeobhBaKVLEdMosh,$A704,AB$699)/INDEX(KumIndPPP,NscenInfl,AB$699),0)</f>
        <v>454</v>
      </c>
      <c r="AC704" s="109"/>
    </row>
    <row r="705" spans="1:29" x14ac:dyDescent="0.2">
      <c r="A705">
        <v>6</v>
      </c>
      <c r="B705" t="s">
        <v>1</v>
      </c>
      <c r="C705" s="102">
        <f t="shared" ref="C705:AA705" si="1016">ROUND(C693/INDEX(NeobhBaKVLEdMosh,$A705,C$699)/INDEX(KumIndPPP,NscenInfl,C$699),0)</f>
        <v>3980</v>
      </c>
      <c r="D705" s="102">
        <f t="shared" si="1016"/>
        <v>3535</v>
      </c>
      <c r="E705" s="102">
        <f t="shared" si="1016"/>
        <v>1944</v>
      </c>
      <c r="F705" s="102">
        <f t="shared" si="1016"/>
        <v>3437</v>
      </c>
      <c r="G705" s="102">
        <f t="shared" si="1016"/>
        <v>6966</v>
      </c>
      <c r="H705" s="102">
        <f t="shared" si="1016"/>
        <v>7294</v>
      </c>
      <c r="I705" s="102">
        <f t="shared" si="1016"/>
        <v>7846</v>
      </c>
      <c r="J705" s="102">
        <f t="shared" si="1016"/>
        <v>4662</v>
      </c>
      <c r="K705" s="280">
        <f t="shared" si="1016"/>
        <v>2597</v>
      </c>
      <c r="L705" s="102">
        <f t="shared" si="1016"/>
        <v>7493</v>
      </c>
      <c r="M705" s="102">
        <f t="shared" si="1016"/>
        <v>2948</v>
      </c>
      <c r="N705" s="102">
        <f t="shared" si="1016"/>
        <v>5836</v>
      </c>
      <c r="O705" s="102">
        <f t="shared" si="1016"/>
        <v>4976</v>
      </c>
      <c r="P705" s="397">
        <f t="shared" si="1016"/>
        <v>24481</v>
      </c>
      <c r="Q705" s="102">
        <f t="shared" si="1016"/>
        <v>4472</v>
      </c>
      <c r="R705" s="102">
        <f t="shared" si="1016"/>
        <v>19191</v>
      </c>
      <c r="S705" s="102">
        <f t="shared" si="1016"/>
        <v>2023</v>
      </c>
      <c r="T705" s="102">
        <f t="shared" si="1016"/>
        <v>4145</v>
      </c>
      <c r="U705" s="102">
        <f t="shared" si="1016"/>
        <v>4650</v>
      </c>
      <c r="V705" s="102">
        <f t="shared" si="1016"/>
        <v>17726</v>
      </c>
      <c r="W705" s="102">
        <f t="shared" si="1016"/>
        <v>2767</v>
      </c>
      <c r="X705" s="102">
        <f t="shared" si="1016"/>
        <v>14387</v>
      </c>
      <c r="Y705" s="102">
        <f t="shared" si="1016"/>
        <v>7880</v>
      </c>
      <c r="Z705" s="102">
        <f t="shared" si="1016"/>
        <v>9096</v>
      </c>
      <c r="AA705" s="102">
        <f t="shared" si="1016"/>
        <v>8818</v>
      </c>
      <c r="AB705" s="102">
        <f t="shared" ref="AB705" si="1017">ROUND(AB693/INDEX(NeobhBaKVLEdMosh,$A705,AB$699)/INDEX(KumIndPPP,NscenInfl,AB$699),0)</f>
        <v>2645</v>
      </c>
      <c r="AC705" s="109"/>
    </row>
    <row r="706" spans="1:29" x14ac:dyDescent="0.2">
      <c r="A706">
        <v>7</v>
      </c>
      <c r="B706" t="s">
        <v>2</v>
      </c>
      <c r="C706" s="102">
        <f t="shared" ref="C706:AA706" si="1018">ROUND(C694/INDEX(NeobhBaKVLEdMosh,$A706,C$699)/INDEX(KumIndPPP,NscenInfl,C$699),0)</f>
        <v>3980</v>
      </c>
      <c r="D706" s="102">
        <f t="shared" si="1018"/>
        <v>285</v>
      </c>
      <c r="E706" s="102">
        <f t="shared" si="1018"/>
        <v>993</v>
      </c>
      <c r="F706" s="102">
        <f t="shared" si="1018"/>
        <v>7472</v>
      </c>
      <c r="G706" s="102">
        <f t="shared" si="1018"/>
        <v>7969</v>
      </c>
      <c r="H706" s="102">
        <f t="shared" si="1018"/>
        <v>7405</v>
      </c>
      <c r="I706" s="102">
        <f t="shared" si="1018"/>
        <v>7634</v>
      </c>
      <c r="J706" s="102">
        <f t="shared" si="1018"/>
        <v>9764</v>
      </c>
      <c r="K706" s="280">
        <f t="shared" si="1018"/>
        <v>2874</v>
      </c>
      <c r="L706" s="102">
        <f t="shared" si="1018"/>
        <v>3251</v>
      </c>
      <c r="M706" s="102">
        <f t="shared" si="1018"/>
        <v>3174</v>
      </c>
      <c r="N706" s="102">
        <f t="shared" si="1018"/>
        <v>3264</v>
      </c>
      <c r="O706" s="102">
        <f t="shared" si="1018"/>
        <v>18022</v>
      </c>
      <c r="P706" s="397">
        <f t="shared" si="1018"/>
        <v>7756</v>
      </c>
      <c r="Q706" s="102">
        <f t="shared" si="1018"/>
        <v>16266</v>
      </c>
      <c r="R706" s="102">
        <f t="shared" si="1018"/>
        <v>5586</v>
      </c>
      <c r="S706" s="102">
        <f t="shared" si="1018"/>
        <v>6162</v>
      </c>
      <c r="T706" s="102">
        <f t="shared" si="1018"/>
        <v>14470</v>
      </c>
      <c r="U706" s="102">
        <f t="shared" si="1018"/>
        <v>1720</v>
      </c>
      <c r="V706" s="102">
        <f t="shared" si="1018"/>
        <v>5126</v>
      </c>
      <c r="W706" s="102">
        <f t="shared" si="1018"/>
        <v>11341</v>
      </c>
      <c r="X706" s="102">
        <f t="shared" si="1018"/>
        <v>9902</v>
      </c>
      <c r="Y706" s="102">
        <f t="shared" si="1018"/>
        <v>7534</v>
      </c>
      <c r="Z706" s="102">
        <f t="shared" si="1018"/>
        <v>8800</v>
      </c>
      <c r="AA706" s="102">
        <f t="shared" si="1018"/>
        <v>8490</v>
      </c>
      <c r="AB706" s="102">
        <f t="shared" ref="AB706" si="1019">ROUND(AB694/INDEX(NeobhBaKVLEdMosh,$A706,AB$699)/INDEX(KumIndPPP,NscenInfl,AB$699),0)</f>
        <v>2617</v>
      </c>
      <c r="AC706" s="109"/>
    </row>
    <row r="707" spans="1:29" x14ac:dyDescent="0.2">
      <c r="C707" s="102"/>
      <c r="D707" s="102"/>
      <c r="E707" s="102"/>
      <c r="F707" s="102"/>
      <c r="G707" s="102"/>
      <c r="H707" s="102"/>
      <c r="I707" s="102"/>
      <c r="J707" s="102"/>
      <c r="K707" s="280"/>
      <c r="L707" s="102"/>
      <c r="M707" s="102"/>
      <c r="N707" s="102"/>
      <c r="O707" s="102"/>
      <c r="P707" s="397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  <c r="AB707" s="102"/>
      <c r="AC707" s="109"/>
    </row>
    <row r="708" spans="1:29" x14ac:dyDescent="0.2">
      <c r="C708" s="102"/>
      <c r="D708" s="102"/>
      <c r="E708" s="102"/>
      <c r="F708" s="102"/>
      <c r="G708" s="102"/>
      <c r="H708" s="102"/>
      <c r="I708" s="102"/>
      <c r="J708" s="102"/>
      <c r="K708" s="280"/>
      <c r="L708" s="102"/>
      <c r="M708" s="102"/>
      <c r="N708" s="102"/>
      <c r="O708" s="102"/>
      <c r="P708" s="397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  <c r="AA708" s="102"/>
      <c r="AB708" s="102"/>
      <c r="AC708" s="109"/>
    </row>
    <row r="709" spans="1:29" x14ac:dyDescent="0.2">
      <c r="A709" s="80" t="s">
        <v>153</v>
      </c>
      <c r="C709" s="102"/>
      <c r="D709" s="102"/>
      <c r="E709" s="102"/>
      <c r="F709" s="102"/>
      <c r="G709" s="102"/>
      <c r="H709" s="102"/>
      <c r="I709" s="102"/>
      <c r="J709" s="102"/>
      <c r="K709" s="280"/>
      <c r="L709" s="102"/>
      <c r="M709" s="102"/>
      <c r="N709" s="102"/>
      <c r="O709" s="102"/>
      <c r="P709" s="397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  <c r="AA709" s="102"/>
      <c r="AB709" s="102"/>
      <c r="AC709" s="109"/>
    </row>
    <row r="710" spans="1:29" x14ac:dyDescent="0.2">
      <c r="C710" s="102"/>
      <c r="D710" s="102"/>
      <c r="E710" s="102"/>
      <c r="F710" s="102"/>
      <c r="G710" s="102"/>
      <c r="H710" s="102"/>
      <c r="I710" s="102"/>
      <c r="J710" s="102"/>
      <c r="K710" s="280"/>
      <c r="L710" s="102"/>
      <c r="M710" s="102"/>
      <c r="N710" s="102"/>
      <c r="O710" s="102"/>
      <c r="P710" s="397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  <c r="AA710" s="102"/>
      <c r="AB710" s="102"/>
      <c r="AC710" s="109"/>
    </row>
    <row r="711" spans="1:29" x14ac:dyDescent="0.2">
      <c r="A711" s="25" t="s">
        <v>154</v>
      </c>
      <c r="C711" s="102"/>
      <c r="D711" s="102"/>
      <c r="E711" s="102"/>
      <c r="F711" s="102"/>
      <c r="G711" s="102"/>
      <c r="H711" s="102"/>
      <c r="I711" s="102"/>
      <c r="J711" s="102"/>
      <c r="K711" s="280"/>
      <c r="L711" s="102"/>
      <c r="M711" s="102"/>
      <c r="N711" s="102"/>
      <c r="O711" s="102"/>
      <c r="P711" s="397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  <c r="AA711" s="102"/>
      <c r="AB711" s="102"/>
      <c r="AC711" s="109"/>
    </row>
    <row r="712" spans="1:29" s="25" customFormat="1" ht="13.7" customHeight="1" x14ac:dyDescent="0.2">
      <c r="B712" s="79"/>
      <c r="C712" s="25">
        <v>2006</v>
      </c>
      <c r="D712" s="25">
        <v>2007</v>
      </c>
      <c r="E712" s="25">
        <v>2008</v>
      </c>
      <c r="F712" s="25">
        <v>2009</v>
      </c>
      <c r="G712" s="25">
        <v>2010</v>
      </c>
      <c r="H712" s="25">
        <v>2011</v>
      </c>
      <c r="I712" s="25">
        <v>2012</v>
      </c>
      <c r="J712" s="25">
        <v>2013</v>
      </c>
      <c r="K712" s="249">
        <v>2014</v>
      </c>
      <c r="L712" s="84">
        <v>2015</v>
      </c>
      <c r="M712" s="25">
        <v>2016</v>
      </c>
      <c r="N712" s="25">
        <v>2017</v>
      </c>
      <c r="O712" s="25">
        <v>2018</v>
      </c>
      <c r="P712" s="388">
        <v>2019</v>
      </c>
      <c r="Q712" s="25">
        <v>2020</v>
      </c>
      <c r="R712" s="25">
        <v>2021</v>
      </c>
      <c r="S712" s="25">
        <v>2022</v>
      </c>
      <c r="T712" s="25">
        <v>2023</v>
      </c>
      <c r="U712" s="25">
        <v>2024</v>
      </c>
      <c r="V712" s="25">
        <v>2025</v>
      </c>
      <c r="W712" s="25">
        <v>2026</v>
      </c>
      <c r="X712" s="25">
        <v>2027</v>
      </c>
      <c r="Y712" s="25">
        <v>2028</v>
      </c>
      <c r="Z712" s="25">
        <v>2029</v>
      </c>
      <c r="AA712" s="25">
        <v>2030</v>
      </c>
      <c r="AB712" s="25">
        <v>2031</v>
      </c>
    </row>
    <row r="713" spans="1:29" x14ac:dyDescent="0.2">
      <c r="B713" s="25"/>
      <c r="C713">
        <v>1</v>
      </c>
      <c r="D713">
        <v>2</v>
      </c>
      <c r="E713">
        <v>3</v>
      </c>
      <c r="F713">
        <v>4</v>
      </c>
      <c r="G713">
        <v>5</v>
      </c>
      <c r="H713">
        <v>6</v>
      </c>
      <c r="I713">
        <v>7</v>
      </c>
      <c r="J713">
        <v>8</v>
      </c>
      <c r="K713" s="248">
        <v>9</v>
      </c>
      <c r="L713" s="3">
        <v>10</v>
      </c>
      <c r="M713" s="3">
        <v>11</v>
      </c>
      <c r="N713" s="3">
        <v>12</v>
      </c>
      <c r="O713" s="3">
        <v>13</v>
      </c>
      <c r="P713" s="387">
        <v>14</v>
      </c>
      <c r="Q713" s="3">
        <v>15</v>
      </c>
      <c r="R713" s="3">
        <v>16</v>
      </c>
      <c r="S713" s="3">
        <v>17</v>
      </c>
      <c r="T713" s="3">
        <v>18</v>
      </c>
      <c r="U713" s="3">
        <v>19</v>
      </c>
      <c r="V713" s="3">
        <v>20</v>
      </c>
      <c r="W713" s="3">
        <v>21</v>
      </c>
      <c r="X713" s="3">
        <v>22</v>
      </c>
      <c r="Y713" s="3">
        <v>23</v>
      </c>
      <c r="Z713" s="3">
        <v>24</v>
      </c>
      <c r="AA713" s="3">
        <v>25</v>
      </c>
      <c r="AB713" s="3">
        <v>26</v>
      </c>
    </row>
    <row r="714" spans="1:29" x14ac:dyDescent="0.2">
      <c r="A714">
        <v>1</v>
      </c>
      <c r="B714" t="s">
        <v>41</v>
      </c>
      <c r="C714" s="102"/>
      <c r="D714" s="102"/>
      <c r="E714" s="102"/>
      <c r="F714" s="102"/>
      <c r="G714" s="102"/>
      <c r="H714" s="102"/>
      <c r="I714" s="102"/>
      <c r="J714" s="102"/>
      <c r="K714" s="280"/>
      <c r="L714" s="102"/>
      <c r="M714" s="102"/>
      <c r="N714" s="102"/>
      <c r="O714" s="102"/>
      <c r="P714" s="397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  <c r="AA714" s="102"/>
      <c r="AB714" s="102"/>
      <c r="AC714" s="109"/>
    </row>
    <row r="715" spans="1:29" x14ac:dyDescent="0.2">
      <c r="A715">
        <v>2</v>
      </c>
      <c r="B715" t="s">
        <v>3</v>
      </c>
      <c r="C715" s="174">
        <f t="shared" ref="C715:AA715" si="1020">C667/C25</f>
        <v>1</v>
      </c>
      <c r="D715" s="174">
        <f t="shared" si="1020"/>
        <v>1</v>
      </c>
      <c r="E715" s="174">
        <f t="shared" si="1020"/>
        <v>1</v>
      </c>
      <c r="F715" s="174">
        <f t="shared" si="1020"/>
        <v>1</v>
      </c>
      <c r="G715" s="174">
        <f t="shared" si="1020"/>
        <v>1</v>
      </c>
      <c r="H715" s="174">
        <f t="shared" si="1020"/>
        <v>0.99999999999999978</v>
      </c>
      <c r="I715" s="174">
        <f t="shared" si="1020"/>
        <v>1</v>
      </c>
      <c r="J715" s="174">
        <f t="shared" si="1020"/>
        <v>1</v>
      </c>
      <c r="K715" s="281">
        <f t="shared" si="1020"/>
        <v>0.74985244699454623</v>
      </c>
      <c r="L715" s="174">
        <f t="shared" si="1020"/>
        <v>0.68426576455306265</v>
      </c>
      <c r="M715" s="174">
        <f t="shared" si="1020"/>
        <v>0.59872878616574765</v>
      </c>
      <c r="N715" s="174">
        <f t="shared" si="1020"/>
        <v>0.54222812825100397</v>
      </c>
      <c r="O715" s="174">
        <f t="shared" si="1020"/>
        <v>0.47498302210941301</v>
      </c>
      <c r="P715" s="425">
        <f t="shared" si="1020"/>
        <v>0.78823711436963895</v>
      </c>
      <c r="Q715" s="174">
        <f t="shared" si="1020"/>
        <v>1</v>
      </c>
      <c r="R715" s="174">
        <f t="shared" si="1020"/>
        <v>1</v>
      </c>
      <c r="S715" s="174">
        <f t="shared" si="1020"/>
        <v>0.92843924318454785</v>
      </c>
      <c r="T715" s="174">
        <f t="shared" si="1020"/>
        <v>0.87359186718086368</v>
      </c>
      <c r="U715" s="174">
        <f t="shared" si="1020"/>
        <v>0.88631654316678732</v>
      </c>
      <c r="V715" s="174">
        <f t="shared" si="1020"/>
        <v>1</v>
      </c>
      <c r="W715" s="174">
        <f t="shared" si="1020"/>
        <v>1</v>
      </c>
      <c r="X715" s="174">
        <f t="shared" si="1020"/>
        <v>1</v>
      </c>
      <c r="Y715" s="174">
        <f t="shared" si="1020"/>
        <v>0.95469870343048491</v>
      </c>
      <c r="Z715" s="174">
        <f t="shared" si="1020"/>
        <v>1</v>
      </c>
      <c r="AA715" s="174">
        <f t="shared" si="1020"/>
        <v>1</v>
      </c>
      <c r="AB715" s="174">
        <f t="shared" ref="AB715" si="1021">AB667/AB25</f>
        <v>1</v>
      </c>
      <c r="AC715" s="109"/>
    </row>
    <row r="716" spans="1:29" x14ac:dyDescent="0.2">
      <c r="A716">
        <v>3</v>
      </c>
      <c r="B716" t="s">
        <v>29</v>
      </c>
      <c r="C716" s="174">
        <f t="shared" ref="C716:AA716" si="1022">C668/C26</f>
        <v>1</v>
      </c>
      <c r="D716" s="174">
        <f t="shared" si="1022"/>
        <v>1</v>
      </c>
      <c r="E716" s="174">
        <f t="shared" si="1022"/>
        <v>1</v>
      </c>
      <c r="F716" s="174">
        <f t="shared" si="1022"/>
        <v>1</v>
      </c>
      <c r="G716" s="174">
        <f t="shared" si="1022"/>
        <v>1</v>
      </c>
      <c r="H716" s="174">
        <f t="shared" si="1022"/>
        <v>0.71856305368283613</v>
      </c>
      <c r="I716" s="174">
        <f t="shared" si="1022"/>
        <v>0.48198059706338447</v>
      </c>
      <c r="J716" s="174">
        <f t="shared" si="1022"/>
        <v>1</v>
      </c>
      <c r="K716" s="281">
        <f t="shared" si="1022"/>
        <v>0.80467062378411236</v>
      </c>
      <c r="L716" s="174">
        <f t="shared" si="1022"/>
        <v>0.6037378609128855</v>
      </c>
      <c r="M716" s="174">
        <f t="shared" si="1022"/>
        <v>0.50174647225065716</v>
      </c>
      <c r="N716" s="174">
        <f t="shared" si="1022"/>
        <v>0.44635536475894477</v>
      </c>
      <c r="O716" s="174">
        <f t="shared" si="1022"/>
        <v>0.61575695994838142</v>
      </c>
      <c r="P716" s="425">
        <f t="shared" si="1022"/>
        <v>0.8670570931909336</v>
      </c>
      <c r="Q716" s="174">
        <f t="shared" si="1022"/>
        <v>1</v>
      </c>
      <c r="R716" s="174">
        <f t="shared" si="1022"/>
        <v>1</v>
      </c>
      <c r="S716" s="174">
        <f t="shared" si="1022"/>
        <v>0.96772458483998558</v>
      </c>
      <c r="T716" s="174">
        <f t="shared" si="1022"/>
        <v>0.89987202028792834</v>
      </c>
      <c r="U716" s="174">
        <f t="shared" si="1022"/>
        <v>0.93005645050755414</v>
      </c>
      <c r="V716" s="174">
        <f t="shared" si="1022"/>
        <v>0.99991423174875316</v>
      </c>
      <c r="W716" s="174">
        <f t="shared" si="1022"/>
        <v>1</v>
      </c>
      <c r="X716" s="174">
        <f t="shared" si="1022"/>
        <v>1</v>
      </c>
      <c r="Y716" s="174">
        <f t="shared" si="1022"/>
        <v>1</v>
      </c>
      <c r="Z716" s="174">
        <f t="shared" si="1022"/>
        <v>1</v>
      </c>
      <c r="AA716" s="174">
        <f t="shared" si="1022"/>
        <v>1</v>
      </c>
      <c r="AB716" s="174">
        <f t="shared" ref="AB716" si="1023">AB668/AB26</f>
        <v>1</v>
      </c>
      <c r="AC716" s="109"/>
    </row>
    <row r="717" spans="1:29" x14ac:dyDescent="0.2">
      <c r="A717">
        <v>4</v>
      </c>
      <c r="B717" t="s">
        <v>5</v>
      </c>
      <c r="C717" s="174">
        <f t="shared" ref="C717:AA717" si="1024">C669/C27</f>
        <v>0.99714101028020052</v>
      </c>
      <c r="D717" s="174">
        <f t="shared" si="1024"/>
        <v>1</v>
      </c>
      <c r="E717" s="174">
        <f t="shared" si="1024"/>
        <v>1</v>
      </c>
      <c r="F717" s="174">
        <f t="shared" si="1024"/>
        <v>1.0000000000000002</v>
      </c>
      <c r="G717" s="174">
        <f t="shared" si="1024"/>
        <v>1</v>
      </c>
      <c r="H717" s="174">
        <f t="shared" si="1024"/>
        <v>1</v>
      </c>
      <c r="I717" s="174">
        <f t="shared" si="1024"/>
        <v>1</v>
      </c>
      <c r="J717" s="174">
        <f t="shared" si="1024"/>
        <v>1</v>
      </c>
      <c r="K717" s="281">
        <f t="shared" si="1024"/>
        <v>1</v>
      </c>
      <c r="L717" s="174">
        <f t="shared" si="1024"/>
        <v>0.62282263698994256</v>
      </c>
      <c r="M717" s="174">
        <f t="shared" si="1024"/>
        <v>0.8842467095939931</v>
      </c>
      <c r="N717" s="174">
        <f t="shared" si="1024"/>
        <v>0.49205992207923649</v>
      </c>
      <c r="O717" s="174">
        <f t="shared" si="1024"/>
        <v>0.6616637896705192</v>
      </c>
      <c r="P717" s="425">
        <f t="shared" si="1024"/>
        <v>0.90363830537916712</v>
      </c>
      <c r="Q717" s="174">
        <f t="shared" si="1024"/>
        <v>1</v>
      </c>
      <c r="R717" s="174">
        <f t="shared" si="1024"/>
        <v>0.76866861505927875</v>
      </c>
      <c r="S717" s="174">
        <f t="shared" si="1024"/>
        <v>1</v>
      </c>
      <c r="T717" s="174">
        <f t="shared" si="1024"/>
        <v>0.74382437088831255</v>
      </c>
      <c r="U717" s="174">
        <f t="shared" si="1024"/>
        <v>1</v>
      </c>
      <c r="V717" s="174">
        <f t="shared" si="1024"/>
        <v>0.86221762766739107</v>
      </c>
      <c r="W717" s="174">
        <f t="shared" si="1024"/>
        <v>1</v>
      </c>
      <c r="X717" s="174">
        <f t="shared" si="1024"/>
        <v>1</v>
      </c>
      <c r="Y717" s="174">
        <f t="shared" si="1024"/>
        <v>1</v>
      </c>
      <c r="Z717" s="174">
        <f t="shared" si="1024"/>
        <v>1</v>
      </c>
      <c r="AA717" s="174">
        <f t="shared" si="1024"/>
        <v>1</v>
      </c>
      <c r="AB717" s="174">
        <f t="shared" ref="AB717" si="1025">AB669/AB27</f>
        <v>1</v>
      </c>
      <c r="AC717" s="109"/>
    </row>
    <row r="718" spans="1:29" x14ac:dyDescent="0.2">
      <c r="A718">
        <v>5</v>
      </c>
      <c r="B718" t="s">
        <v>6</v>
      </c>
      <c r="C718" s="174">
        <f t="shared" ref="C718:AA718" si="1026">C670/C28</f>
        <v>1</v>
      </c>
      <c r="D718" s="174">
        <f t="shared" si="1026"/>
        <v>1</v>
      </c>
      <c r="E718" s="174">
        <f t="shared" si="1026"/>
        <v>1</v>
      </c>
      <c r="F718" s="174">
        <f t="shared" si="1026"/>
        <v>1</v>
      </c>
      <c r="G718" s="174">
        <f t="shared" si="1026"/>
        <v>1</v>
      </c>
      <c r="H718" s="174">
        <f t="shared" si="1026"/>
        <v>0.99611629183006123</v>
      </c>
      <c r="I718" s="174">
        <f t="shared" si="1026"/>
        <v>0.66838956503984837</v>
      </c>
      <c r="J718" s="174">
        <f t="shared" si="1026"/>
        <v>1</v>
      </c>
      <c r="K718" s="281">
        <f t="shared" si="1026"/>
        <v>1</v>
      </c>
      <c r="L718" s="174">
        <f t="shared" si="1026"/>
        <v>1</v>
      </c>
      <c r="M718" s="174">
        <f t="shared" si="1026"/>
        <v>1</v>
      </c>
      <c r="N718" s="174">
        <f t="shared" si="1026"/>
        <v>1</v>
      </c>
      <c r="O718" s="174">
        <f t="shared" si="1026"/>
        <v>0.87220630258837117</v>
      </c>
      <c r="P718" s="425">
        <f t="shared" si="1026"/>
        <v>1</v>
      </c>
      <c r="Q718" s="174">
        <f t="shared" si="1026"/>
        <v>1</v>
      </c>
      <c r="R718" s="174">
        <f t="shared" si="1026"/>
        <v>1</v>
      </c>
      <c r="S718" s="174">
        <f t="shared" si="1026"/>
        <v>1</v>
      </c>
      <c r="T718" s="174">
        <f t="shared" si="1026"/>
        <v>1</v>
      </c>
      <c r="U718" s="174">
        <f t="shared" si="1026"/>
        <v>1</v>
      </c>
      <c r="V718" s="174">
        <f t="shared" si="1026"/>
        <v>1</v>
      </c>
      <c r="W718" s="174">
        <f t="shared" si="1026"/>
        <v>1</v>
      </c>
      <c r="X718" s="174">
        <f t="shared" si="1026"/>
        <v>1</v>
      </c>
      <c r="Y718" s="174">
        <f t="shared" si="1026"/>
        <v>1</v>
      </c>
      <c r="Z718" s="174">
        <f t="shared" si="1026"/>
        <v>1</v>
      </c>
      <c r="AA718" s="174">
        <f t="shared" si="1026"/>
        <v>1</v>
      </c>
      <c r="AB718" s="174">
        <f t="shared" ref="AB718" si="1027">AB670/AB28</f>
        <v>1</v>
      </c>
      <c r="AC718" s="109"/>
    </row>
    <row r="719" spans="1:29" x14ac:dyDescent="0.2">
      <c r="A719">
        <v>6</v>
      </c>
      <c r="B719" t="s">
        <v>1</v>
      </c>
      <c r="C719" s="174">
        <f t="shared" ref="C719:AA719" si="1028">C671/C29</f>
        <v>1</v>
      </c>
      <c r="D719" s="174">
        <f t="shared" si="1028"/>
        <v>1</v>
      </c>
      <c r="E719" s="174">
        <f t="shared" si="1028"/>
        <v>1</v>
      </c>
      <c r="F719" s="174">
        <f t="shared" si="1028"/>
        <v>1</v>
      </c>
      <c r="G719" s="174">
        <f t="shared" si="1028"/>
        <v>1</v>
      </c>
      <c r="H719" s="174">
        <f t="shared" si="1028"/>
        <v>1</v>
      </c>
      <c r="I719" s="174">
        <f t="shared" si="1028"/>
        <v>1</v>
      </c>
      <c r="J719" s="174">
        <f t="shared" si="1028"/>
        <v>1</v>
      </c>
      <c r="K719" s="281">
        <f t="shared" si="1028"/>
        <v>1</v>
      </c>
      <c r="L719" s="174">
        <f t="shared" si="1028"/>
        <v>1</v>
      </c>
      <c r="M719" s="174">
        <f t="shared" si="1028"/>
        <v>1</v>
      </c>
      <c r="N719" s="174">
        <f t="shared" si="1028"/>
        <v>1</v>
      </c>
      <c r="O719" s="174">
        <f t="shared" si="1028"/>
        <v>1</v>
      </c>
      <c r="P719" s="425">
        <f t="shared" si="1028"/>
        <v>1</v>
      </c>
      <c r="Q719" s="174">
        <f t="shared" si="1028"/>
        <v>1</v>
      </c>
      <c r="R719" s="174">
        <f t="shared" si="1028"/>
        <v>1</v>
      </c>
      <c r="S719" s="174">
        <f t="shared" si="1028"/>
        <v>1</v>
      </c>
      <c r="T719" s="174">
        <f t="shared" si="1028"/>
        <v>1</v>
      </c>
      <c r="U719" s="174">
        <f t="shared" si="1028"/>
        <v>1</v>
      </c>
      <c r="V719" s="174">
        <f t="shared" si="1028"/>
        <v>1</v>
      </c>
      <c r="W719" s="174">
        <f t="shared" si="1028"/>
        <v>1</v>
      </c>
      <c r="X719" s="174">
        <f t="shared" si="1028"/>
        <v>1</v>
      </c>
      <c r="Y719" s="174">
        <f t="shared" si="1028"/>
        <v>1</v>
      </c>
      <c r="Z719" s="174">
        <f t="shared" si="1028"/>
        <v>1</v>
      </c>
      <c r="AA719" s="174">
        <f t="shared" si="1028"/>
        <v>1</v>
      </c>
      <c r="AB719" s="174">
        <f t="shared" ref="AB719" si="1029">AB671/AB29</f>
        <v>1</v>
      </c>
      <c r="AC719" s="109"/>
    </row>
    <row r="720" spans="1:29" x14ac:dyDescent="0.2">
      <c r="A720">
        <v>7</v>
      </c>
      <c r="B720" t="s">
        <v>2</v>
      </c>
      <c r="C720" s="174">
        <f t="shared" ref="C720:AA720" si="1030">C672/C30</f>
        <v>1</v>
      </c>
      <c r="D720" s="174">
        <f t="shared" si="1030"/>
        <v>1</v>
      </c>
      <c r="E720" s="174">
        <f t="shared" si="1030"/>
        <v>1</v>
      </c>
      <c r="F720" s="174">
        <f t="shared" si="1030"/>
        <v>1</v>
      </c>
      <c r="G720" s="174">
        <f t="shared" si="1030"/>
        <v>1</v>
      </c>
      <c r="H720" s="174">
        <f t="shared" si="1030"/>
        <v>1</v>
      </c>
      <c r="I720" s="174">
        <f t="shared" si="1030"/>
        <v>1</v>
      </c>
      <c r="J720" s="174">
        <f t="shared" si="1030"/>
        <v>1</v>
      </c>
      <c r="K720" s="281">
        <f t="shared" si="1030"/>
        <v>1</v>
      </c>
      <c r="L720" s="174">
        <f t="shared" si="1030"/>
        <v>1.0000000000000002</v>
      </c>
      <c r="M720" s="174">
        <f t="shared" si="1030"/>
        <v>1</v>
      </c>
      <c r="N720" s="174">
        <f t="shared" si="1030"/>
        <v>1</v>
      </c>
      <c r="O720" s="174">
        <f t="shared" si="1030"/>
        <v>1</v>
      </c>
      <c r="P720" s="425">
        <f t="shared" si="1030"/>
        <v>1</v>
      </c>
      <c r="Q720" s="174">
        <f t="shared" si="1030"/>
        <v>1</v>
      </c>
      <c r="R720" s="174">
        <f t="shared" si="1030"/>
        <v>1</v>
      </c>
      <c r="S720" s="174">
        <f t="shared" si="1030"/>
        <v>1</v>
      </c>
      <c r="T720" s="174">
        <f t="shared" si="1030"/>
        <v>1</v>
      </c>
      <c r="U720" s="174">
        <f t="shared" si="1030"/>
        <v>0.99999999999999989</v>
      </c>
      <c r="V720" s="174">
        <f t="shared" si="1030"/>
        <v>1.0000000000000002</v>
      </c>
      <c r="W720" s="174">
        <f t="shared" si="1030"/>
        <v>1</v>
      </c>
      <c r="X720" s="174">
        <f t="shared" si="1030"/>
        <v>1</v>
      </c>
      <c r="Y720" s="174">
        <f t="shared" si="1030"/>
        <v>1</v>
      </c>
      <c r="Z720" s="174">
        <f t="shared" si="1030"/>
        <v>1</v>
      </c>
      <c r="AA720" s="174">
        <f t="shared" si="1030"/>
        <v>1</v>
      </c>
      <c r="AB720" s="174">
        <f t="shared" ref="AB720" si="1031">AB672/AB30</f>
        <v>1</v>
      </c>
      <c r="AC720" s="109"/>
    </row>
    <row r="721" spans="1:29" x14ac:dyDescent="0.2">
      <c r="C721" s="174"/>
      <c r="D721" s="174"/>
      <c r="E721" s="174"/>
      <c r="F721" s="174"/>
      <c r="G721" s="174"/>
      <c r="H721" s="174"/>
      <c r="I721" s="174"/>
      <c r="J721" s="174"/>
      <c r="K721" s="281"/>
      <c r="L721" s="174"/>
      <c r="M721" s="174"/>
      <c r="N721" s="174"/>
      <c r="O721" s="174"/>
      <c r="P721" s="425"/>
      <c r="Q721" s="174"/>
      <c r="R721" s="174"/>
      <c r="S721" s="174"/>
      <c r="T721" s="174"/>
      <c r="U721" s="174"/>
      <c r="V721" s="174"/>
      <c r="W721" s="174"/>
      <c r="X721" s="174"/>
      <c r="Y721" s="174"/>
      <c r="Z721" s="174"/>
      <c r="AA721" s="174"/>
      <c r="AB721" s="174"/>
      <c r="AC721" s="109"/>
    </row>
    <row r="722" spans="1:29" x14ac:dyDescent="0.2">
      <c r="C722" s="174"/>
      <c r="D722" s="174"/>
      <c r="E722" s="174"/>
      <c r="F722" s="174"/>
      <c r="G722" s="174"/>
      <c r="H722" s="174"/>
      <c r="I722" s="174"/>
      <c r="J722" s="174"/>
      <c r="K722" s="281"/>
      <c r="L722" s="174"/>
      <c r="M722" s="174"/>
      <c r="N722" s="174"/>
      <c r="O722" s="174"/>
      <c r="P722" s="425"/>
      <c r="Q722" s="174"/>
      <c r="R722" s="174"/>
      <c r="S722" s="174"/>
      <c r="T722" s="174"/>
      <c r="U722" s="174"/>
      <c r="V722" s="174"/>
      <c r="W722" s="174"/>
      <c r="X722" s="174"/>
      <c r="Y722" s="174"/>
      <c r="Z722" s="174"/>
      <c r="AA722" s="174"/>
      <c r="AB722" s="174"/>
      <c r="AC722" s="109"/>
    </row>
    <row r="723" spans="1:29" x14ac:dyDescent="0.2">
      <c r="A723" s="25" t="s">
        <v>155</v>
      </c>
      <c r="C723" s="174"/>
      <c r="D723" s="174"/>
      <c r="E723" s="174"/>
      <c r="F723" s="174"/>
      <c r="G723" s="174"/>
      <c r="H723" s="174"/>
      <c r="I723" s="174"/>
      <c r="J723" s="174"/>
      <c r="K723" s="281"/>
      <c r="L723" s="174"/>
      <c r="M723" s="174"/>
      <c r="N723" s="174"/>
      <c r="O723" s="174"/>
      <c r="P723" s="425"/>
      <c r="Q723" s="174"/>
      <c r="R723" s="174"/>
      <c r="S723" s="174"/>
      <c r="T723" s="174"/>
      <c r="U723" s="174"/>
      <c r="V723" s="174"/>
      <c r="W723" s="174"/>
      <c r="X723" s="174"/>
      <c r="Y723" s="174"/>
      <c r="Z723" s="174"/>
      <c r="AA723" s="174"/>
      <c r="AB723" s="174"/>
      <c r="AC723" s="109"/>
    </row>
    <row r="724" spans="1:29" s="25" customFormat="1" ht="13.7" customHeight="1" x14ac:dyDescent="0.2">
      <c r="B724" s="79"/>
      <c r="C724" s="25">
        <v>2006</v>
      </c>
      <c r="D724" s="25">
        <v>2007</v>
      </c>
      <c r="E724" s="25">
        <v>2008</v>
      </c>
      <c r="F724" s="25">
        <v>2009</v>
      </c>
      <c r="G724" s="25">
        <v>2010</v>
      </c>
      <c r="H724" s="25">
        <v>2011</v>
      </c>
      <c r="I724" s="25">
        <v>2012</v>
      </c>
      <c r="J724" s="25">
        <v>2013</v>
      </c>
      <c r="K724" s="249">
        <v>2014</v>
      </c>
      <c r="L724" s="84">
        <v>2015</v>
      </c>
      <c r="M724" s="25">
        <v>2016</v>
      </c>
      <c r="N724" s="25">
        <v>2017</v>
      </c>
      <c r="O724" s="25">
        <v>2018</v>
      </c>
      <c r="P724" s="388">
        <v>2019</v>
      </c>
      <c r="Q724" s="25">
        <v>2020</v>
      </c>
      <c r="R724" s="25">
        <v>2021</v>
      </c>
      <c r="S724" s="25">
        <v>2022</v>
      </c>
      <c r="T724" s="25">
        <v>2023</v>
      </c>
      <c r="U724" s="25">
        <v>2024</v>
      </c>
      <c r="V724" s="25">
        <v>2025</v>
      </c>
      <c r="W724" s="25">
        <v>2026</v>
      </c>
      <c r="X724" s="25">
        <v>2027</v>
      </c>
      <c r="Y724" s="25">
        <v>2028</v>
      </c>
      <c r="Z724" s="25">
        <v>2029</v>
      </c>
      <c r="AA724" s="25">
        <v>2030</v>
      </c>
      <c r="AB724" s="25">
        <v>2031</v>
      </c>
    </row>
    <row r="725" spans="1:29" x14ac:dyDescent="0.2">
      <c r="B725" s="25"/>
      <c r="C725">
        <v>1</v>
      </c>
      <c r="D725">
        <v>2</v>
      </c>
      <c r="E725">
        <v>3</v>
      </c>
      <c r="F725">
        <v>4</v>
      </c>
      <c r="G725">
        <v>5</v>
      </c>
      <c r="H725">
        <v>6</v>
      </c>
      <c r="I725">
        <v>7</v>
      </c>
      <c r="J725">
        <v>8</v>
      </c>
      <c r="K725" s="248">
        <v>9</v>
      </c>
      <c r="L725" s="3">
        <v>10</v>
      </c>
      <c r="M725" s="3">
        <v>11</v>
      </c>
      <c r="N725" s="3">
        <v>12</v>
      </c>
      <c r="O725" s="3">
        <v>13</v>
      </c>
      <c r="P725" s="387">
        <v>14</v>
      </c>
      <c r="Q725" s="3">
        <v>15</v>
      </c>
      <c r="R725" s="3">
        <v>16</v>
      </c>
      <c r="S725" s="3">
        <v>17</v>
      </c>
      <c r="T725" s="3">
        <v>18</v>
      </c>
      <c r="U725" s="3">
        <v>19</v>
      </c>
      <c r="V725" s="3">
        <v>20</v>
      </c>
      <c r="W725" s="3">
        <v>21</v>
      </c>
      <c r="X725" s="3">
        <v>22</v>
      </c>
      <c r="Y725" s="3">
        <v>23</v>
      </c>
      <c r="Z725" s="3">
        <v>24</v>
      </c>
      <c r="AA725" s="3">
        <v>25</v>
      </c>
      <c r="AB725" s="3">
        <v>26</v>
      </c>
    </row>
    <row r="726" spans="1:29" x14ac:dyDescent="0.2">
      <c r="A726">
        <v>1</v>
      </c>
      <c r="B726" t="s">
        <v>41</v>
      </c>
      <c r="C726" s="174">
        <f t="shared" ref="C726:AA726" si="1032">C677/C10</f>
        <v>1</v>
      </c>
      <c r="D726" s="174">
        <f t="shared" si="1032"/>
        <v>1</v>
      </c>
      <c r="E726" s="174">
        <f t="shared" si="1032"/>
        <v>1</v>
      </c>
      <c r="F726" s="174">
        <f t="shared" si="1032"/>
        <v>1</v>
      </c>
      <c r="G726" s="174">
        <f t="shared" si="1032"/>
        <v>1</v>
      </c>
      <c r="H726" s="174">
        <f t="shared" si="1032"/>
        <v>1</v>
      </c>
      <c r="I726" s="174">
        <f t="shared" si="1032"/>
        <v>0.84054424656221716</v>
      </c>
      <c r="J726" s="174">
        <f t="shared" si="1032"/>
        <v>1</v>
      </c>
      <c r="K726" s="281">
        <f t="shared" si="1032"/>
        <v>0.83579177986859232</v>
      </c>
      <c r="L726" s="174">
        <f t="shared" si="1032"/>
        <v>0.82805279147490318</v>
      </c>
      <c r="M726" s="174">
        <f t="shared" si="1032"/>
        <v>0.79929994321099562</v>
      </c>
      <c r="N726" s="174">
        <f t="shared" si="1032"/>
        <v>0.78136434840015967</v>
      </c>
      <c r="O726" s="174">
        <f t="shared" si="1032"/>
        <v>1</v>
      </c>
      <c r="P726" s="425">
        <f t="shared" si="1032"/>
        <v>1</v>
      </c>
      <c r="Q726" s="174">
        <f t="shared" si="1032"/>
        <v>1</v>
      </c>
      <c r="R726" s="174">
        <f t="shared" si="1032"/>
        <v>1</v>
      </c>
      <c r="S726" s="174">
        <f t="shared" si="1032"/>
        <v>1</v>
      </c>
      <c r="T726" s="174">
        <f t="shared" si="1032"/>
        <v>1</v>
      </c>
      <c r="U726" s="174">
        <f t="shared" si="1032"/>
        <v>1</v>
      </c>
      <c r="V726" s="174">
        <f t="shared" si="1032"/>
        <v>1</v>
      </c>
      <c r="W726" s="174">
        <f t="shared" si="1032"/>
        <v>1.0000000000000002</v>
      </c>
      <c r="X726" s="174">
        <f t="shared" si="1032"/>
        <v>1</v>
      </c>
      <c r="Y726" s="174">
        <f t="shared" si="1032"/>
        <v>1</v>
      </c>
      <c r="Z726" s="174">
        <f t="shared" si="1032"/>
        <v>1</v>
      </c>
      <c r="AA726" s="174">
        <f t="shared" si="1032"/>
        <v>1</v>
      </c>
      <c r="AB726" s="174">
        <f t="shared" ref="AB726" si="1033">AB677/AB10</f>
        <v>1</v>
      </c>
      <c r="AC726" s="109"/>
    </row>
    <row r="727" spans="1:29" x14ac:dyDescent="0.2">
      <c r="A727">
        <v>2</v>
      </c>
      <c r="B727" t="s">
        <v>3</v>
      </c>
      <c r="C727" s="174">
        <f t="shared" ref="C727:AA727" si="1034">C678/C11</f>
        <v>1</v>
      </c>
      <c r="D727" s="174">
        <f t="shared" si="1034"/>
        <v>1</v>
      </c>
      <c r="E727" s="174">
        <f t="shared" si="1034"/>
        <v>1</v>
      </c>
      <c r="F727" s="174">
        <f t="shared" si="1034"/>
        <v>1</v>
      </c>
      <c r="G727" s="174">
        <f t="shared" si="1034"/>
        <v>1</v>
      </c>
      <c r="H727" s="174">
        <f t="shared" si="1034"/>
        <v>0.99999999999999978</v>
      </c>
      <c r="I727" s="174">
        <f t="shared" si="1034"/>
        <v>1</v>
      </c>
      <c r="J727" s="174">
        <f t="shared" si="1034"/>
        <v>1</v>
      </c>
      <c r="K727" s="281">
        <f t="shared" si="1034"/>
        <v>0.29510478335704177</v>
      </c>
      <c r="L727" s="174">
        <f t="shared" si="1034"/>
        <v>0.24446678237990527</v>
      </c>
      <c r="M727" s="174">
        <f t="shared" si="1034"/>
        <v>0.20092452943702829</v>
      </c>
      <c r="N727" s="174">
        <f t="shared" si="1034"/>
        <v>0.17385416479928972</v>
      </c>
      <c r="O727" s="174">
        <f t="shared" si="1034"/>
        <v>0.22548028919388652</v>
      </c>
      <c r="P727" s="425">
        <f t="shared" si="1034"/>
        <v>0.3320329838225784</v>
      </c>
      <c r="Q727" s="174">
        <f t="shared" si="1034"/>
        <v>0.45778204691134855</v>
      </c>
      <c r="R727" s="174">
        <f t="shared" si="1034"/>
        <v>0.49281355666019899</v>
      </c>
      <c r="S727" s="174">
        <f t="shared" si="1034"/>
        <v>0.40116749659854556</v>
      </c>
      <c r="T727" s="174">
        <f t="shared" si="1034"/>
        <v>0.3962857591431273</v>
      </c>
      <c r="U727" s="174">
        <f t="shared" si="1034"/>
        <v>0.38824716396411907</v>
      </c>
      <c r="V727" s="174">
        <f t="shared" si="1034"/>
        <v>0.45107427333126549</v>
      </c>
      <c r="W727" s="174">
        <f t="shared" si="1034"/>
        <v>0.72048390134819651</v>
      </c>
      <c r="X727" s="174">
        <f t="shared" si="1034"/>
        <v>0.5760929012431778</v>
      </c>
      <c r="Y727" s="174">
        <f t="shared" si="1034"/>
        <v>0.48384186708207177</v>
      </c>
      <c r="Z727" s="174">
        <f t="shared" si="1034"/>
        <v>0.5973653315053078</v>
      </c>
      <c r="AA727" s="174">
        <f t="shared" si="1034"/>
        <v>0.88698562570239581</v>
      </c>
      <c r="AB727" s="174">
        <f t="shared" ref="AB727" si="1035">AB678/AB11</f>
        <v>1</v>
      </c>
      <c r="AC727" s="109"/>
    </row>
    <row r="728" spans="1:29" x14ac:dyDescent="0.2">
      <c r="A728">
        <v>3</v>
      </c>
      <c r="B728" t="s">
        <v>29</v>
      </c>
      <c r="C728" s="174">
        <f t="shared" ref="C728:AA728" si="1036">C679/C12</f>
        <v>1</v>
      </c>
      <c r="D728" s="174">
        <f t="shared" si="1036"/>
        <v>1</v>
      </c>
      <c r="E728" s="174">
        <f t="shared" si="1036"/>
        <v>1</v>
      </c>
      <c r="F728" s="174">
        <f t="shared" si="1036"/>
        <v>1</v>
      </c>
      <c r="G728" s="174">
        <f t="shared" si="1036"/>
        <v>1</v>
      </c>
      <c r="H728" s="174">
        <f t="shared" si="1036"/>
        <v>0.71856305368283602</v>
      </c>
      <c r="I728" s="174">
        <f t="shared" si="1036"/>
        <v>0.48198059706338442</v>
      </c>
      <c r="J728" s="174">
        <f t="shared" si="1036"/>
        <v>0.44310974600898284</v>
      </c>
      <c r="K728" s="281">
        <f t="shared" si="1036"/>
        <v>0.2995962624427167</v>
      </c>
      <c r="L728" s="174">
        <f t="shared" si="1036"/>
        <v>0.22384067665388602</v>
      </c>
      <c r="M728" s="174">
        <f t="shared" si="1036"/>
        <v>0.18238594307718989</v>
      </c>
      <c r="N728" s="174">
        <f t="shared" si="1036"/>
        <v>0.15823474177483557</v>
      </c>
      <c r="O728" s="174">
        <f t="shared" si="1036"/>
        <v>0.21670651116468376</v>
      </c>
      <c r="P728" s="425">
        <f t="shared" si="1036"/>
        <v>0.29685852206707097</v>
      </c>
      <c r="Q728" s="174">
        <f t="shared" si="1036"/>
        <v>0.37773050286354221</v>
      </c>
      <c r="R728" s="174">
        <f t="shared" si="1036"/>
        <v>0.3901331227818805</v>
      </c>
      <c r="S728" s="174">
        <f t="shared" si="1036"/>
        <v>0.33489071602060305</v>
      </c>
      <c r="T728" s="174">
        <f t="shared" si="1036"/>
        <v>0.31688050669123979</v>
      </c>
      <c r="U728" s="174">
        <f t="shared" si="1036"/>
        <v>0.33464878896823297</v>
      </c>
      <c r="V728" s="174">
        <f t="shared" si="1036"/>
        <v>0.3681022841151928</v>
      </c>
      <c r="W728" s="174">
        <f t="shared" si="1036"/>
        <v>0.43435669047837427</v>
      </c>
      <c r="X728" s="174">
        <f t="shared" si="1036"/>
        <v>0.54190530214155974</v>
      </c>
      <c r="Y728" s="174">
        <f t="shared" si="1036"/>
        <v>0.71314428247147388</v>
      </c>
      <c r="Z728" s="174">
        <f t="shared" si="1036"/>
        <v>0.81580521541412432</v>
      </c>
      <c r="AA728" s="174">
        <f t="shared" si="1036"/>
        <v>1</v>
      </c>
      <c r="AB728" s="174">
        <f t="shared" ref="AB728" si="1037">AB679/AB12</f>
        <v>1</v>
      </c>
      <c r="AC728" s="109"/>
    </row>
    <row r="729" spans="1:29" x14ac:dyDescent="0.2">
      <c r="A729">
        <v>4</v>
      </c>
      <c r="B729" t="s">
        <v>5</v>
      </c>
      <c r="C729" s="174">
        <f t="shared" ref="C729:AA729" si="1038">C680/C13</f>
        <v>0.99714101028020052</v>
      </c>
      <c r="D729" s="174">
        <f t="shared" si="1038"/>
        <v>1</v>
      </c>
      <c r="E729" s="174">
        <f t="shared" si="1038"/>
        <v>0.89841444626751488</v>
      </c>
      <c r="F729" s="174">
        <f t="shared" si="1038"/>
        <v>1.0000000000000002</v>
      </c>
      <c r="G729" s="174">
        <f t="shared" si="1038"/>
        <v>0.57125596456009919</v>
      </c>
      <c r="H729" s="174">
        <f t="shared" si="1038"/>
        <v>1</v>
      </c>
      <c r="I729" s="174">
        <f t="shared" si="1038"/>
        <v>1</v>
      </c>
      <c r="J729" s="174">
        <f t="shared" si="1038"/>
        <v>1</v>
      </c>
      <c r="K729" s="281">
        <f t="shared" si="1038"/>
        <v>0.70460606700647122</v>
      </c>
      <c r="L729" s="174">
        <f t="shared" si="1038"/>
        <v>0.28335986996163087</v>
      </c>
      <c r="M729" s="174">
        <f t="shared" si="1038"/>
        <v>0.38007531194712707</v>
      </c>
      <c r="N729" s="174">
        <f t="shared" si="1038"/>
        <v>0.20900750472840798</v>
      </c>
      <c r="O729" s="174">
        <f t="shared" si="1038"/>
        <v>0.29023712329410351</v>
      </c>
      <c r="P729" s="425">
        <f t="shared" si="1038"/>
        <v>0.38111478268320453</v>
      </c>
      <c r="Q729" s="174">
        <f t="shared" si="1038"/>
        <v>1</v>
      </c>
      <c r="R729" s="174">
        <f t="shared" si="1038"/>
        <v>0.3738214767863553</v>
      </c>
      <c r="S729" s="174">
        <f t="shared" si="1038"/>
        <v>1</v>
      </c>
      <c r="T729" s="174">
        <f t="shared" si="1038"/>
        <v>0.35264803491977298</v>
      </c>
      <c r="U729" s="174">
        <f t="shared" si="1038"/>
        <v>0.91188971158564913</v>
      </c>
      <c r="V729" s="174">
        <f t="shared" si="1038"/>
        <v>0.40396926243513936</v>
      </c>
      <c r="W729" s="174">
        <f t="shared" si="1038"/>
        <v>1</v>
      </c>
      <c r="X729" s="174">
        <f t="shared" si="1038"/>
        <v>1</v>
      </c>
      <c r="Y729" s="174">
        <f t="shared" si="1038"/>
        <v>1</v>
      </c>
      <c r="Z729" s="174">
        <f t="shared" si="1038"/>
        <v>1</v>
      </c>
      <c r="AA729" s="174">
        <f t="shared" si="1038"/>
        <v>1</v>
      </c>
      <c r="AB729" s="174">
        <f t="shared" ref="AB729" si="1039">AB680/AB13</f>
        <v>1</v>
      </c>
      <c r="AC729" s="109"/>
    </row>
    <row r="730" spans="1:29" x14ac:dyDescent="0.2">
      <c r="A730">
        <v>5</v>
      </c>
      <c r="B730" t="s">
        <v>6</v>
      </c>
      <c r="C730" s="174">
        <f t="shared" ref="C730:AA730" si="1040">C681/C14</f>
        <v>1</v>
      </c>
      <c r="D730" s="174">
        <f t="shared" si="1040"/>
        <v>1</v>
      </c>
      <c r="E730" s="174">
        <f t="shared" si="1040"/>
        <v>1</v>
      </c>
      <c r="F730" s="174">
        <f t="shared" si="1040"/>
        <v>1</v>
      </c>
      <c r="G730" s="174">
        <f t="shared" si="1040"/>
        <v>1</v>
      </c>
      <c r="H730" s="174">
        <f t="shared" si="1040"/>
        <v>0.99611629183006134</v>
      </c>
      <c r="I730" s="174">
        <f t="shared" si="1040"/>
        <v>0.66838956503984837</v>
      </c>
      <c r="J730" s="174">
        <f t="shared" si="1040"/>
        <v>0.64388766940031128</v>
      </c>
      <c r="K730" s="281">
        <f t="shared" si="1040"/>
        <v>0.81085339557078584</v>
      </c>
      <c r="L730" s="174">
        <f t="shared" si="1040"/>
        <v>0.58724226256221546</v>
      </c>
      <c r="M730" s="174">
        <f t="shared" si="1040"/>
        <v>0.44526511418564735</v>
      </c>
      <c r="N730" s="174">
        <f t="shared" si="1040"/>
        <v>0.35714378480458198</v>
      </c>
      <c r="O730" s="174">
        <f t="shared" si="1040"/>
        <v>0.35057018615163388</v>
      </c>
      <c r="P730" s="425">
        <f t="shared" si="1040"/>
        <v>0.74327873074941819</v>
      </c>
      <c r="Q730" s="174">
        <f t="shared" si="1040"/>
        <v>1</v>
      </c>
      <c r="R730" s="174">
        <f t="shared" si="1040"/>
        <v>1</v>
      </c>
      <c r="S730" s="174">
        <f t="shared" si="1040"/>
        <v>0.93537024103933719</v>
      </c>
      <c r="T730" s="174">
        <f t="shared" si="1040"/>
        <v>0.85049312333608751</v>
      </c>
      <c r="U730" s="174">
        <f t="shared" si="1040"/>
        <v>0.89435828733932643</v>
      </c>
      <c r="V730" s="174">
        <f t="shared" si="1040"/>
        <v>0.95107273499370926</v>
      </c>
      <c r="W730" s="174">
        <f t="shared" si="1040"/>
        <v>1</v>
      </c>
      <c r="X730" s="174">
        <f t="shared" si="1040"/>
        <v>1</v>
      </c>
      <c r="Y730" s="174">
        <f t="shared" si="1040"/>
        <v>1</v>
      </c>
      <c r="Z730" s="174">
        <f t="shared" si="1040"/>
        <v>1</v>
      </c>
      <c r="AA730" s="174">
        <f t="shared" si="1040"/>
        <v>1</v>
      </c>
      <c r="AB730" s="174">
        <f t="shared" ref="AB730" si="1041">AB681/AB14</f>
        <v>1</v>
      </c>
      <c r="AC730" s="109"/>
    </row>
    <row r="731" spans="1:29" x14ac:dyDescent="0.2">
      <c r="A731">
        <v>6</v>
      </c>
      <c r="B731" t="s">
        <v>1</v>
      </c>
      <c r="C731" s="174">
        <f t="shared" ref="C731:AA731" si="1042">C682/C15</f>
        <v>1</v>
      </c>
      <c r="D731" s="174">
        <f t="shared" si="1042"/>
        <v>1</v>
      </c>
      <c r="E731" s="174">
        <f t="shared" si="1042"/>
        <v>1</v>
      </c>
      <c r="F731" s="174">
        <f t="shared" si="1042"/>
        <v>1</v>
      </c>
      <c r="G731" s="174">
        <f t="shared" si="1042"/>
        <v>1</v>
      </c>
      <c r="H731" s="174">
        <f t="shared" si="1042"/>
        <v>1</v>
      </c>
      <c r="I731" s="174">
        <f t="shared" si="1042"/>
        <v>1</v>
      </c>
      <c r="J731" s="174">
        <f t="shared" si="1042"/>
        <v>1</v>
      </c>
      <c r="K731" s="281">
        <f t="shared" si="1042"/>
        <v>0.66539166705509589</v>
      </c>
      <c r="L731" s="174">
        <f t="shared" si="1042"/>
        <v>1</v>
      </c>
      <c r="M731" s="174">
        <f t="shared" si="1042"/>
        <v>0.44714074058313896</v>
      </c>
      <c r="N731" s="174">
        <f t="shared" si="1042"/>
        <v>0.95764371565014905</v>
      </c>
      <c r="O731" s="174">
        <f t="shared" si="1042"/>
        <v>0.79233788377177117</v>
      </c>
      <c r="P731" s="425">
        <f t="shared" si="1042"/>
        <v>1</v>
      </c>
      <c r="Q731" s="174">
        <f t="shared" si="1042"/>
        <v>0.93512837141887994</v>
      </c>
      <c r="R731" s="174">
        <f t="shared" si="1042"/>
        <v>1</v>
      </c>
      <c r="S731" s="174">
        <f t="shared" si="1042"/>
        <v>0.60094975278575746</v>
      </c>
      <c r="T731" s="174">
        <f t="shared" si="1042"/>
        <v>0.88084725031424382</v>
      </c>
      <c r="U731" s="174">
        <f t="shared" si="1042"/>
        <v>0.88140622161356685</v>
      </c>
      <c r="V731" s="174">
        <f t="shared" si="1042"/>
        <v>1</v>
      </c>
      <c r="W731" s="174">
        <f t="shared" si="1042"/>
        <v>0.8013056231849659</v>
      </c>
      <c r="X731" s="174">
        <f t="shared" si="1042"/>
        <v>1</v>
      </c>
      <c r="Y731" s="174">
        <f t="shared" si="1042"/>
        <v>1</v>
      </c>
      <c r="Z731" s="174">
        <f t="shared" si="1042"/>
        <v>1</v>
      </c>
      <c r="AA731" s="174">
        <f t="shared" si="1042"/>
        <v>1</v>
      </c>
      <c r="AB731" s="174">
        <f t="shared" ref="AB731" si="1043">AB682/AB15</f>
        <v>1</v>
      </c>
      <c r="AC731" s="109"/>
    </row>
    <row r="732" spans="1:29" x14ac:dyDescent="0.2">
      <c r="A732">
        <v>7</v>
      </c>
      <c r="B732" t="s">
        <v>2</v>
      </c>
      <c r="C732" s="174">
        <f t="shared" ref="C732:AA732" si="1044">C683/C16</f>
        <v>1</v>
      </c>
      <c r="D732" s="174">
        <f t="shared" si="1044"/>
        <v>1</v>
      </c>
      <c r="E732" s="174">
        <f t="shared" si="1044"/>
        <v>1</v>
      </c>
      <c r="F732" s="174">
        <f t="shared" si="1044"/>
        <v>1</v>
      </c>
      <c r="G732" s="174">
        <f t="shared" si="1044"/>
        <v>1</v>
      </c>
      <c r="H732" s="174">
        <f t="shared" si="1044"/>
        <v>1</v>
      </c>
      <c r="I732" s="174">
        <f t="shared" si="1044"/>
        <v>1</v>
      </c>
      <c r="J732" s="174">
        <f t="shared" si="1044"/>
        <v>1</v>
      </c>
      <c r="K732" s="281">
        <f t="shared" si="1044"/>
        <v>1</v>
      </c>
      <c r="L732" s="174">
        <f t="shared" si="1044"/>
        <v>1</v>
      </c>
      <c r="M732" s="174">
        <f t="shared" si="1044"/>
        <v>0.94461904240631167</v>
      </c>
      <c r="N732" s="174">
        <f t="shared" si="1044"/>
        <v>0.8725829761896271</v>
      </c>
      <c r="O732" s="174">
        <f t="shared" si="1044"/>
        <v>1</v>
      </c>
      <c r="P732" s="425">
        <f t="shared" si="1044"/>
        <v>1</v>
      </c>
      <c r="Q732" s="174">
        <f t="shared" si="1044"/>
        <v>1</v>
      </c>
      <c r="R732" s="174">
        <f t="shared" si="1044"/>
        <v>1</v>
      </c>
      <c r="S732" s="174">
        <f t="shared" si="1044"/>
        <v>1</v>
      </c>
      <c r="T732" s="174">
        <f t="shared" si="1044"/>
        <v>1</v>
      </c>
      <c r="U732" s="174">
        <f t="shared" si="1044"/>
        <v>0.68579408703090428</v>
      </c>
      <c r="V732" s="174">
        <f t="shared" si="1044"/>
        <v>1</v>
      </c>
      <c r="W732" s="174">
        <f t="shared" si="1044"/>
        <v>1</v>
      </c>
      <c r="X732" s="174">
        <f t="shared" si="1044"/>
        <v>1</v>
      </c>
      <c r="Y732" s="174">
        <f t="shared" si="1044"/>
        <v>1</v>
      </c>
      <c r="Z732" s="174">
        <f t="shared" si="1044"/>
        <v>1</v>
      </c>
      <c r="AA732" s="174">
        <f t="shared" si="1044"/>
        <v>1</v>
      </c>
      <c r="AB732" s="174">
        <f t="shared" ref="AB732" si="1045">AB683/AB16</f>
        <v>1</v>
      </c>
      <c r="AC732" s="109"/>
    </row>
    <row r="733" spans="1:29" x14ac:dyDescent="0.2">
      <c r="C733" s="174"/>
      <c r="D733" s="174"/>
      <c r="E733" s="174"/>
      <c r="F733" s="174"/>
      <c r="G733" s="174"/>
      <c r="H733" s="174"/>
      <c r="I733" s="174"/>
      <c r="J733" s="174"/>
      <c r="K733" s="281"/>
      <c r="L733" s="174"/>
      <c r="M733" s="174"/>
      <c r="N733" s="174"/>
      <c r="O733" s="174"/>
      <c r="P733" s="425"/>
      <c r="Q733" s="174"/>
      <c r="R733" s="174"/>
      <c r="S733" s="174"/>
      <c r="T733" s="174"/>
      <c r="U733" s="174"/>
      <c r="V733" s="174"/>
      <c r="W733" s="174"/>
      <c r="X733" s="174"/>
      <c r="Y733" s="174"/>
      <c r="Z733" s="174"/>
      <c r="AA733" s="174"/>
      <c r="AB733" s="174"/>
      <c r="AC733" s="109"/>
    </row>
    <row r="734" spans="1:29" x14ac:dyDescent="0.2">
      <c r="C734" s="174"/>
      <c r="D734" s="174"/>
      <c r="E734" s="174"/>
      <c r="F734" s="174"/>
      <c r="G734" s="174"/>
      <c r="H734" s="174"/>
      <c r="I734" s="174"/>
      <c r="J734" s="174"/>
      <c r="K734" s="281"/>
      <c r="L734" s="174"/>
      <c r="M734" s="174"/>
      <c r="N734" s="174"/>
      <c r="O734" s="174"/>
      <c r="P734" s="425"/>
      <c r="Q734" s="174"/>
      <c r="R734" s="174"/>
      <c r="S734" s="174"/>
      <c r="T734" s="174"/>
      <c r="U734" s="174"/>
      <c r="V734" s="174"/>
      <c r="W734" s="174"/>
      <c r="X734" s="174"/>
      <c r="Y734" s="174"/>
      <c r="Z734" s="174"/>
      <c r="AA734" s="174"/>
      <c r="AB734" s="174"/>
      <c r="AC734" s="109"/>
    </row>
    <row r="735" spans="1:29" x14ac:dyDescent="0.2">
      <c r="A735" s="25" t="s">
        <v>156</v>
      </c>
      <c r="C735" s="174"/>
      <c r="D735" s="174"/>
      <c r="E735" s="174"/>
      <c r="F735" s="174"/>
      <c r="G735" s="174"/>
      <c r="H735" s="174"/>
      <c r="I735" s="174"/>
      <c r="J735" s="174"/>
      <c r="K735" s="281"/>
      <c r="L735" s="174"/>
      <c r="M735" s="174"/>
      <c r="N735" s="174"/>
      <c r="O735" s="174"/>
      <c r="P735" s="425"/>
      <c r="Q735" s="174"/>
      <c r="R735" s="174"/>
      <c r="S735" s="174"/>
      <c r="T735" s="174"/>
      <c r="U735" s="174"/>
      <c r="V735" s="174"/>
      <c r="W735" s="174"/>
      <c r="X735" s="174"/>
      <c r="Y735" s="174"/>
      <c r="Z735" s="174"/>
      <c r="AA735" s="174"/>
      <c r="AB735" s="174"/>
      <c r="AC735" s="109"/>
    </row>
    <row r="736" spans="1:29" s="25" customFormat="1" ht="13.7" customHeight="1" x14ac:dyDescent="0.2">
      <c r="B736" s="79"/>
      <c r="C736" s="25">
        <v>2006</v>
      </c>
      <c r="D736" s="25">
        <v>2007</v>
      </c>
      <c r="E736" s="25">
        <v>2008</v>
      </c>
      <c r="F736" s="25">
        <v>2009</v>
      </c>
      <c r="G736" s="25">
        <v>2010</v>
      </c>
      <c r="H736" s="25">
        <v>2011</v>
      </c>
      <c r="I736" s="25">
        <v>2012</v>
      </c>
      <c r="J736" s="25">
        <v>2013</v>
      </c>
      <c r="K736" s="249">
        <v>2014</v>
      </c>
      <c r="L736" s="84">
        <v>2015</v>
      </c>
      <c r="M736" s="25">
        <v>2016</v>
      </c>
      <c r="N736" s="25">
        <v>2017</v>
      </c>
      <c r="O736" s="25">
        <v>2018</v>
      </c>
      <c r="P736" s="388">
        <v>2019</v>
      </c>
      <c r="Q736" s="25">
        <v>2020</v>
      </c>
      <c r="R736" s="25">
        <v>2021</v>
      </c>
      <c r="S736" s="25">
        <v>2022</v>
      </c>
      <c r="T736" s="25">
        <v>2023</v>
      </c>
      <c r="U736" s="25">
        <v>2024</v>
      </c>
      <c r="V736" s="25">
        <v>2025</v>
      </c>
      <c r="W736" s="25">
        <v>2026</v>
      </c>
      <c r="X736" s="25">
        <v>2027</v>
      </c>
      <c r="Y736" s="25">
        <v>2028</v>
      </c>
      <c r="Z736" s="25">
        <v>2029</v>
      </c>
      <c r="AA736" s="25">
        <v>2030</v>
      </c>
      <c r="AB736" s="25">
        <v>2031</v>
      </c>
    </row>
    <row r="737" spans="1:29" x14ac:dyDescent="0.2">
      <c r="B737" s="25"/>
      <c r="C737">
        <v>1</v>
      </c>
      <c r="D737">
        <v>2</v>
      </c>
      <c r="E737">
        <v>3</v>
      </c>
      <c r="F737">
        <v>4</v>
      </c>
      <c r="G737">
        <v>5</v>
      </c>
      <c r="H737">
        <v>6</v>
      </c>
      <c r="I737">
        <v>7</v>
      </c>
      <c r="J737">
        <v>8</v>
      </c>
      <c r="K737" s="248">
        <v>9</v>
      </c>
      <c r="L737" s="3">
        <v>10</v>
      </c>
      <c r="M737" s="3">
        <v>11</v>
      </c>
      <c r="N737" s="3">
        <v>12</v>
      </c>
      <c r="O737" s="3">
        <v>13</v>
      </c>
      <c r="P737" s="387">
        <v>14</v>
      </c>
      <c r="Q737" s="3">
        <v>15</v>
      </c>
      <c r="R737" s="3">
        <v>16</v>
      </c>
      <c r="S737" s="3">
        <v>17</v>
      </c>
      <c r="T737" s="3">
        <v>18</v>
      </c>
      <c r="U737" s="3">
        <v>19</v>
      </c>
      <c r="V737" s="3">
        <v>20</v>
      </c>
      <c r="W737" s="3">
        <v>21</v>
      </c>
      <c r="X737" s="3">
        <v>22</v>
      </c>
      <c r="Y737" s="3">
        <v>23</v>
      </c>
      <c r="Z737" s="3">
        <v>24</v>
      </c>
      <c r="AA737" s="3">
        <v>25</v>
      </c>
      <c r="AB737" s="3">
        <v>26</v>
      </c>
    </row>
    <row r="738" spans="1:29" x14ac:dyDescent="0.2">
      <c r="A738">
        <v>1</v>
      </c>
      <c r="B738" t="s">
        <v>41</v>
      </c>
      <c r="C738" s="174">
        <f t="shared" ref="C738:AA738" si="1046">C688/C99</f>
        <v>1</v>
      </c>
      <c r="D738" s="174">
        <f t="shared" si="1046"/>
        <v>0.99999999999999956</v>
      </c>
      <c r="E738" s="174">
        <f t="shared" si="1046"/>
        <v>1</v>
      </c>
      <c r="F738" s="174">
        <f t="shared" si="1046"/>
        <v>1</v>
      </c>
      <c r="G738" s="174">
        <f t="shared" si="1046"/>
        <v>1</v>
      </c>
      <c r="H738" s="174">
        <f t="shared" si="1046"/>
        <v>1</v>
      </c>
      <c r="I738" s="174">
        <f t="shared" si="1046"/>
        <v>0.84054424656221716</v>
      </c>
      <c r="J738" s="174">
        <f t="shared" si="1046"/>
        <v>0.96717494499311585</v>
      </c>
      <c r="K738" s="281">
        <f t="shared" si="1046"/>
        <v>0.31003406976222653</v>
      </c>
      <c r="L738" s="174">
        <f t="shared" si="1046"/>
        <v>0.21467525261018486</v>
      </c>
      <c r="M738" s="174">
        <f t="shared" si="1046"/>
        <v>0.16187486162492959</v>
      </c>
      <c r="N738" s="174">
        <f t="shared" si="1046"/>
        <v>0.13112006541939758</v>
      </c>
      <c r="O738" s="174">
        <f t="shared" si="1046"/>
        <v>0.1822002117283705</v>
      </c>
      <c r="P738" s="425">
        <f t="shared" si="1046"/>
        <v>0.28164049458317619</v>
      </c>
      <c r="Q738" s="174">
        <f t="shared" si="1046"/>
        <v>0.35926537812986986</v>
      </c>
      <c r="R738" s="174">
        <f t="shared" si="1046"/>
        <v>0.34169574479280851</v>
      </c>
      <c r="S738" s="174">
        <f t="shared" si="1046"/>
        <v>0.3181927616428803</v>
      </c>
      <c r="T738" s="174">
        <f t="shared" si="1046"/>
        <v>0.29567489761124688</v>
      </c>
      <c r="U738" s="174">
        <f t="shared" si="1046"/>
        <v>0.31836916560765988</v>
      </c>
      <c r="V738" s="174">
        <f t="shared" si="1046"/>
        <v>0.3651598395418843</v>
      </c>
      <c r="W738" s="174">
        <f t="shared" si="1046"/>
        <v>0.42858224425287222</v>
      </c>
      <c r="X738" s="174">
        <f t="shared" si="1046"/>
        <v>0.54100701595785439</v>
      </c>
      <c r="Y738" s="174">
        <f t="shared" si="1046"/>
        <v>0.75686898685493176</v>
      </c>
      <c r="Z738" s="174">
        <f t="shared" si="1046"/>
        <v>0.93544427760042914</v>
      </c>
      <c r="AA738" s="174">
        <f t="shared" si="1046"/>
        <v>1</v>
      </c>
      <c r="AB738" s="174">
        <f t="shared" ref="AB738" si="1047">AB688/AB99</f>
        <v>1</v>
      </c>
      <c r="AC738" s="109"/>
    </row>
    <row r="739" spans="1:29" x14ac:dyDescent="0.2">
      <c r="A739">
        <v>2</v>
      </c>
      <c r="B739" t="s">
        <v>3</v>
      </c>
      <c r="C739" s="174">
        <f t="shared" ref="C739:AA739" si="1048">C689/C100</f>
        <v>0.99999999999999978</v>
      </c>
      <c r="D739" s="174">
        <f t="shared" si="1048"/>
        <v>1</v>
      </c>
      <c r="E739" s="174">
        <f t="shared" si="1048"/>
        <v>1</v>
      </c>
      <c r="F739" s="174">
        <f t="shared" si="1048"/>
        <v>1</v>
      </c>
      <c r="G739" s="174">
        <f t="shared" si="1048"/>
        <v>1</v>
      </c>
      <c r="H739" s="174">
        <f t="shared" si="1048"/>
        <v>0.99999999999999978</v>
      </c>
      <c r="I739" s="174">
        <f t="shared" si="1048"/>
        <v>0.99999999999999956</v>
      </c>
      <c r="J739" s="174">
        <f t="shared" si="1048"/>
        <v>0.99999999999999967</v>
      </c>
      <c r="K739" s="281">
        <f t="shared" si="1048"/>
        <v>0.29510478335704177</v>
      </c>
      <c r="L739" s="174">
        <f t="shared" si="1048"/>
        <v>0.24446678237990527</v>
      </c>
      <c r="M739" s="174">
        <f t="shared" si="1048"/>
        <v>0.20092452943702829</v>
      </c>
      <c r="N739" s="174">
        <f t="shared" si="1048"/>
        <v>0.17385416479928975</v>
      </c>
      <c r="O739" s="174">
        <f t="shared" si="1048"/>
        <v>0.22548028919388652</v>
      </c>
      <c r="P739" s="425">
        <f t="shared" si="1048"/>
        <v>0.33203298382257834</v>
      </c>
      <c r="Q739" s="174">
        <f t="shared" si="1048"/>
        <v>0.42083049064624922</v>
      </c>
      <c r="R739" s="174">
        <f t="shared" si="1048"/>
        <v>0.45355991497317594</v>
      </c>
      <c r="S739" s="174">
        <f t="shared" si="1048"/>
        <v>0.40116749659854556</v>
      </c>
      <c r="T739" s="174">
        <f t="shared" si="1048"/>
        <v>0.39628575914312725</v>
      </c>
      <c r="U739" s="174">
        <f t="shared" si="1048"/>
        <v>0.38824716396411912</v>
      </c>
      <c r="V739" s="174">
        <f t="shared" si="1048"/>
        <v>0.43239414782133218</v>
      </c>
      <c r="W739" s="174" t="e">
        <f t="shared" si="1048"/>
        <v>#DIV/0!</v>
      </c>
      <c r="X739" s="174" t="e">
        <f t="shared" si="1048"/>
        <v>#DIV/0!</v>
      </c>
      <c r="Y739" s="174" t="e">
        <f t="shared" si="1048"/>
        <v>#DIV/0!</v>
      </c>
      <c r="Z739" s="174" t="e">
        <f t="shared" si="1048"/>
        <v>#DIV/0!</v>
      </c>
      <c r="AA739" s="174" t="e">
        <f t="shared" si="1048"/>
        <v>#DIV/0!</v>
      </c>
      <c r="AB739" s="174" t="e">
        <f t="shared" ref="AB739" si="1049">AB689/AB100</f>
        <v>#DIV/0!</v>
      </c>
      <c r="AC739" s="109"/>
    </row>
    <row r="740" spans="1:29" x14ac:dyDescent="0.2">
      <c r="A740">
        <v>3</v>
      </c>
      <c r="B740" t="s">
        <v>29</v>
      </c>
      <c r="C740" s="174">
        <f t="shared" ref="C740:AA740" si="1050">C690/C101</f>
        <v>0.999999999999996</v>
      </c>
      <c r="D740" s="174">
        <f t="shared" si="1050"/>
        <v>0.99999999999999978</v>
      </c>
      <c r="E740" s="174">
        <f t="shared" si="1050"/>
        <v>1</v>
      </c>
      <c r="F740" s="174">
        <f t="shared" si="1050"/>
        <v>0.99999999999999878</v>
      </c>
      <c r="G740" s="174">
        <f t="shared" si="1050"/>
        <v>1</v>
      </c>
      <c r="H740" s="174" t="e">
        <f t="shared" si="1050"/>
        <v>#DIV/0!</v>
      </c>
      <c r="I740" s="174">
        <f t="shared" si="1050"/>
        <v>0.48198059706338442</v>
      </c>
      <c r="J740" s="174">
        <f t="shared" si="1050"/>
        <v>0.43199076871033731</v>
      </c>
      <c r="K740" s="281">
        <f t="shared" si="1050"/>
        <v>0.2995962624427167</v>
      </c>
      <c r="L740" s="174">
        <f t="shared" si="1050"/>
        <v>0.22384067665388602</v>
      </c>
      <c r="M740" s="174">
        <f t="shared" si="1050"/>
        <v>0.18238594307718986</v>
      </c>
      <c r="N740" s="174">
        <f t="shared" si="1050"/>
        <v>0.15823474177483557</v>
      </c>
      <c r="O740" s="174">
        <f t="shared" si="1050"/>
        <v>0.21670651116468373</v>
      </c>
      <c r="P740" s="425">
        <f t="shared" si="1050"/>
        <v>0.29685852206707092</v>
      </c>
      <c r="Q740" s="174">
        <f t="shared" si="1050"/>
        <v>0.36130459513857333</v>
      </c>
      <c r="R740" s="174">
        <f t="shared" si="1050"/>
        <v>0.37003151630446085</v>
      </c>
      <c r="S740" s="174">
        <f t="shared" si="1050"/>
        <v>0.33489071602060311</v>
      </c>
      <c r="T740" s="174">
        <f t="shared" si="1050"/>
        <v>0.31688050669123979</v>
      </c>
      <c r="U740" s="174">
        <f t="shared" si="1050"/>
        <v>0.33464878896823297</v>
      </c>
      <c r="V740" s="174">
        <f t="shared" si="1050"/>
        <v>0.36810228411519275</v>
      </c>
      <c r="W740" s="174">
        <f t="shared" si="1050"/>
        <v>0.40891053529925159</v>
      </c>
      <c r="X740" s="174">
        <f t="shared" si="1050"/>
        <v>0.46827207954283967</v>
      </c>
      <c r="Y740" s="174">
        <f t="shared" si="1050"/>
        <v>0.56674015578085202</v>
      </c>
      <c r="Z740" s="174">
        <f t="shared" si="1050"/>
        <v>0.62820519638442862</v>
      </c>
      <c r="AA740" s="174">
        <f t="shared" si="1050"/>
        <v>0.99999999999999956</v>
      </c>
      <c r="AB740" s="174">
        <f t="shared" ref="AB740" si="1051">AB690/AB101</f>
        <v>0.99999999999999745</v>
      </c>
      <c r="AC740" s="109"/>
    </row>
    <row r="741" spans="1:29" x14ac:dyDescent="0.2">
      <c r="A741">
        <v>4</v>
      </c>
      <c r="B741" t="s">
        <v>5</v>
      </c>
      <c r="C741" s="174">
        <f t="shared" ref="C741:AA742" si="1052">C691/C102</f>
        <v>0.99714101028020052</v>
      </c>
      <c r="D741" s="174" t="e">
        <f t="shared" si="1052"/>
        <v>#DIV/0!</v>
      </c>
      <c r="E741" s="174" t="e">
        <f t="shared" si="1052"/>
        <v>#DIV/0!</v>
      </c>
      <c r="F741" s="174">
        <f t="shared" si="1052"/>
        <v>1.0000000000000002</v>
      </c>
      <c r="G741" s="174">
        <f t="shared" si="1052"/>
        <v>0.4734387579776495</v>
      </c>
      <c r="H741" s="174">
        <f t="shared" si="1052"/>
        <v>0.99999999999999867</v>
      </c>
      <c r="I741" s="174">
        <f t="shared" si="1052"/>
        <v>0.99999999999999911</v>
      </c>
      <c r="J741" s="174">
        <f t="shared" si="1052"/>
        <v>0.99999999999999922</v>
      </c>
      <c r="K741" s="281">
        <f t="shared" si="1052"/>
        <v>0.52743670071966653</v>
      </c>
      <c r="L741" s="174">
        <f t="shared" si="1052"/>
        <v>0.28335986996163093</v>
      </c>
      <c r="M741" s="174">
        <f t="shared" si="1052"/>
        <v>0.38007531194712713</v>
      </c>
      <c r="N741" s="174">
        <f t="shared" si="1052"/>
        <v>0.20900750472840796</v>
      </c>
      <c r="O741" s="174">
        <f t="shared" si="1052"/>
        <v>0.29023712329410356</v>
      </c>
      <c r="P741" s="425">
        <f t="shared" si="1052"/>
        <v>0.38111478268320464</v>
      </c>
      <c r="Q741" s="174">
        <f t="shared" si="1052"/>
        <v>1</v>
      </c>
      <c r="R741" s="174">
        <f t="shared" si="1052"/>
        <v>0.37382147678635536</v>
      </c>
      <c r="S741" s="174">
        <f t="shared" si="1052"/>
        <v>0.75625039220802526</v>
      </c>
      <c r="T741" s="174">
        <f t="shared" si="1052"/>
        <v>0.35264803491977292</v>
      </c>
      <c r="U741" s="174">
        <f t="shared" si="1052"/>
        <v>0.57261942313841774</v>
      </c>
      <c r="V741" s="174">
        <f t="shared" si="1052"/>
        <v>0.40396926243513931</v>
      </c>
      <c r="W741" s="174">
        <f t="shared" si="1052"/>
        <v>1</v>
      </c>
      <c r="X741" s="174">
        <f t="shared" si="1052"/>
        <v>0.99999999999999889</v>
      </c>
      <c r="Y741" s="174">
        <f t="shared" si="1052"/>
        <v>1</v>
      </c>
      <c r="Z741" s="174">
        <f t="shared" si="1052"/>
        <v>1</v>
      </c>
      <c r="AA741" s="174">
        <f t="shared" si="1052"/>
        <v>0.99999999999999944</v>
      </c>
      <c r="AB741" s="174">
        <f t="shared" ref="AB741" si="1053">AB691/AB102</f>
        <v>0.99999999999999656</v>
      </c>
      <c r="AC741" s="109"/>
    </row>
    <row r="742" spans="1:29" x14ac:dyDescent="0.2">
      <c r="A742">
        <v>5</v>
      </c>
      <c r="B742" t="s">
        <v>6</v>
      </c>
      <c r="C742" s="174">
        <f t="shared" ref="C742:AA742" si="1054">C692/C103</f>
        <v>1</v>
      </c>
      <c r="D742" s="174">
        <f t="shared" si="1054"/>
        <v>1</v>
      </c>
      <c r="E742" s="174">
        <f t="shared" si="1054"/>
        <v>1</v>
      </c>
      <c r="F742" s="174">
        <f t="shared" si="1054"/>
        <v>0.99999999999999978</v>
      </c>
      <c r="G742" s="174">
        <f t="shared" si="1054"/>
        <v>1</v>
      </c>
      <c r="H742" s="174">
        <f t="shared" si="1054"/>
        <v>0.99611629183006134</v>
      </c>
      <c r="I742" s="174" t="e">
        <f t="shared" si="1052"/>
        <v>#DIV/0!</v>
      </c>
      <c r="J742" s="174">
        <f t="shared" si="1054"/>
        <v>0.33464485954092837</v>
      </c>
      <c r="K742" s="281">
        <f t="shared" si="1054"/>
        <v>0.50310216671778785</v>
      </c>
      <c r="L742" s="174">
        <f t="shared" si="1054"/>
        <v>0.41501805482902893</v>
      </c>
      <c r="M742" s="174">
        <f t="shared" si="1054"/>
        <v>0.35714858045685427</v>
      </c>
      <c r="N742" s="174">
        <f t="shared" si="1054"/>
        <v>0.31972631510763805</v>
      </c>
      <c r="O742" s="174">
        <f t="shared" si="1054"/>
        <v>0.35057018615163388</v>
      </c>
      <c r="P742" s="425">
        <f t="shared" si="1054"/>
        <v>0.48936479182497844</v>
      </c>
      <c r="Q742" s="174">
        <f t="shared" si="1054"/>
        <v>0.72041697431521157</v>
      </c>
      <c r="R742" s="174">
        <f t="shared" si="1054"/>
        <v>0.62861669400689379</v>
      </c>
      <c r="S742" s="174">
        <f t="shared" si="1054"/>
        <v>0.56013872403987108</v>
      </c>
      <c r="T742" s="174">
        <f t="shared" si="1054"/>
        <v>0.5282368045607776</v>
      </c>
      <c r="U742" s="174">
        <f t="shared" si="1054"/>
        <v>0.5454201761766424</v>
      </c>
      <c r="V742" s="174">
        <f t="shared" si="1054"/>
        <v>0.56993979284289453</v>
      </c>
      <c r="W742" s="174">
        <f t="shared" si="1054"/>
        <v>0.92991720135205003</v>
      </c>
      <c r="X742" s="174">
        <f t="shared" si="1054"/>
        <v>1</v>
      </c>
      <c r="Y742" s="174">
        <f t="shared" si="1054"/>
        <v>1</v>
      </c>
      <c r="Z742" s="174">
        <f t="shared" si="1054"/>
        <v>1</v>
      </c>
      <c r="AA742" s="174">
        <f t="shared" si="1054"/>
        <v>1</v>
      </c>
      <c r="AB742" s="174">
        <f t="shared" ref="AB742" si="1055">AB692/AB103</f>
        <v>1</v>
      </c>
      <c r="AC742" s="109"/>
    </row>
    <row r="743" spans="1:29" x14ac:dyDescent="0.2">
      <c r="A743">
        <v>6</v>
      </c>
      <c r="B743" t="s">
        <v>1</v>
      </c>
      <c r="C743" s="174">
        <f t="shared" ref="C743:AA743" si="1056">C693/C104</f>
        <v>1</v>
      </c>
      <c r="D743" s="174">
        <f t="shared" si="1056"/>
        <v>1</v>
      </c>
      <c r="E743" s="174">
        <f t="shared" si="1056"/>
        <v>1</v>
      </c>
      <c r="F743" s="174">
        <f t="shared" si="1056"/>
        <v>0.99999999999999978</v>
      </c>
      <c r="G743" s="174">
        <f t="shared" si="1056"/>
        <v>1</v>
      </c>
      <c r="H743" s="174">
        <f t="shared" si="1056"/>
        <v>0.99999999999999989</v>
      </c>
      <c r="I743" s="174">
        <f t="shared" si="1056"/>
        <v>1</v>
      </c>
      <c r="J743" s="174">
        <f t="shared" si="1056"/>
        <v>0.99999999999999989</v>
      </c>
      <c r="K743" s="281">
        <f t="shared" si="1056"/>
        <v>0.23753944652056094</v>
      </c>
      <c r="L743" s="174">
        <f t="shared" si="1056"/>
        <v>0.39521300047321972</v>
      </c>
      <c r="M743" s="174">
        <f t="shared" si="1056"/>
        <v>0.13950207459540567</v>
      </c>
      <c r="N743" s="174">
        <f t="shared" si="1056"/>
        <v>0.20196462916322067</v>
      </c>
      <c r="O743" s="174">
        <f t="shared" si="1056"/>
        <v>0.18323716705587614</v>
      </c>
      <c r="P743" s="425">
        <f t="shared" si="1056"/>
        <v>0.78070901630423173</v>
      </c>
      <c r="Q743" s="174">
        <f t="shared" si="1056"/>
        <v>0.28996704385382766</v>
      </c>
      <c r="R743" s="174">
        <f t="shared" si="1056"/>
        <v>1</v>
      </c>
      <c r="S743" s="174">
        <f t="shared" si="1056"/>
        <v>0.26181858218355014</v>
      </c>
      <c r="T743" s="174">
        <f t="shared" si="1056"/>
        <v>0.29427380708095979</v>
      </c>
      <c r="U743" s="174">
        <f t="shared" si="1056"/>
        <v>0.27706824577983769</v>
      </c>
      <c r="V743" s="174">
        <f t="shared" si="1056"/>
        <v>0.95029195320240722</v>
      </c>
      <c r="W743" s="174">
        <f t="shared" si="1056"/>
        <v>0.32250033113841692</v>
      </c>
      <c r="X743" s="174">
        <f t="shared" si="1056"/>
        <v>0.99999999999999978</v>
      </c>
      <c r="Y743" s="174">
        <f t="shared" si="1056"/>
        <v>1</v>
      </c>
      <c r="Z743" s="174">
        <f t="shared" si="1056"/>
        <v>0.99999999999999956</v>
      </c>
      <c r="AA743" s="174">
        <f t="shared" si="1056"/>
        <v>1</v>
      </c>
      <c r="AB743" s="174">
        <f t="shared" ref="AB743" si="1057">AB693/AB104</f>
        <v>1</v>
      </c>
      <c r="AC743" s="109"/>
    </row>
    <row r="744" spans="1:29" x14ac:dyDescent="0.2">
      <c r="A744">
        <v>7</v>
      </c>
      <c r="B744" t="s">
        <v>2</v>
      </c>
      <c r="C744" s="174">
        <f t="shared" ref="C744:AA744" si="1058">C694/C105</f>
        <v>1</v>
      </c>
      <c r="D744" s="174">
        <f t="shared" si="1058"/>
        <v>1</v>
      </c>
      <c r="E744" s="174">
        <f t="shared" si="1058"/>
        <v>1</v>
      </c>
      <c r="F744" s="174">
        <f t="shared" si="1058"/>
        <v>1</v>
      </c>
      <c r="G744" s="174">
        <f t="shared" si="1058"/>
        <v>1</v>
      </c>
      <c r="H744" s="174">
        <f t="shared" si="1058"/>
        <v>1</v>
      </c>
      <c r="I744" s="174">
        <f t="shared" si="1058"/>
        <v>1</v>
      </c>
      <c r="J744" s="174">
        <f t="shared" si="1058"/>
        <v>1</v>
      </c>
      <c r="K744" s="281">
        <f t="shared" si="1058"/>
        <v>0.27083740059988054</v>
      </c>
      <c r="L744" s="174">
        <f t="shared" si="1058"/>
        <v>0.18853864830088984</v>
      </c>
      <c r="M744" s="174">
        <f t="shared" si="1058"/>
        <v>0.13626577997635306</v>
      </c>
      <c r="N744" s="174">
        <f t="shared" si="1058"/>
        <v>0.11152380658202367</v>
      </c>
      <c r="O744" s="174">
        <f t="shared" si="1058"/>
        <v>0.60184717129453391</v>
      </c>
      <c r="P744" s="425">
        <f t="shared" si="1058"/>
        <v>0.38122766902731503</v>
      </c>
      <c r="Q744" s="174">
        <f t="shared" si="1058"/>
        <v>0.78731881530676828</v>
      </c>
      <c r="R744" s="174">
        <f t="shared" si="1058"/>
        <v>0.45858852731219257</v>
      </c>
      <c r="S744" s="174">
        <f t="shared" si="1058"/>
        <v>0.44434856422598956</v>
      </c>
      <c r="T744" s="174">
        <f t="shared" si="1058"/>
        <v>1</v>
      </c>
      <c r="U744" s="174">
        <f t="shared" si="1058"/>
        <v>0.2783530804730649</v>
      </c>
      <c r="V744" s="174">
        <f t="shared" si="1058"/>
        <v>0.45032705392460054</v>
      </c>
      <c r="W744" s="174">
        <f t="shared" si="1058"/>
        <v>0.83381108210288257</v>
      </c>
      <c r="X744" s="174">
        <f t="shared" si="1058"/>
        <v>1</v>
      </c>
      <c r="Y744" s="174">
        <f t="shared" si="1058"/>
        <v>1</v>
      </c>
      <c r="Z744" s="174">
        <f t="shared" si="1058"/>
        <v>1</v>
      </c>
      <c r="AA744" s="174">
        <f t="shared" si="1058"/>
        <v>1</v>
      </c>
      <c r="AB744" s="174">
        <f t="shared" ref="AB744" si="1059">AB694/AB105</f>
        <v>0.99999999999999956</v>
      </c>
    </row>
    <row r="746" spans="1:29" ht="25.5" x14ac:dyDescent="0.35">
      <c r="A746" s="82" t="s">
        <v>72</v>
      </c>
    </row>
    <row r="749" spans="1:29" x14ac:dyDescent="0.2">
      <c r="A749" s="85" t="s">
        <v>66</v>
      </c>
    </row>
    <row r="750" spans="1:29" s="25" customFormat="1" x14ac:dyDescent="0.2">
      <c r="A750" s="25" t="s">
        <v>87</v>
      </c>
      <c r="B750" s="79"/>
      <c r="C750" s="25">
        <v>2006</v>
      </c>
      <c r="D750" s="25">
        <v>2007</v>
      </c>
      <c r="E750" s="25">
        <v>2008</v>
      </c>
      <c r="F750" s="25">
        <v>2009</v>
      </c>
      <c r="G750" s="25">
        <v>2010</v>
      </c>
      <c r="H750" s="25">
        <v>2011</v>
      </c>
      <c r="I750" s="25">
        <v>2012</v>
      </c>
      <c r="J750" s="25">
        <v>2013</v>
      </c>
      <c r="K750" s="249">
        <v>2014</v>
      </c>
      <c r="L750" s="84">
        <v>2015</v>
      </c>
      <c r="M750" s="25">
        <v>2016</v>
      </c>
      <c r="N750" s="25">
        <v>2017</v>
      </c>
      <c r="O750" s="25">
        <v>2018</v>
      </c>
      <c r="P750" s="388">
        <v>2019</v>
      </c>
      <c r="Q750" s="25">
        <v>2020</v>
      </c>
      <c r="R750" s="25">
        <v>2021</v>
      </c>
      <c r="S750" s="25">
        <v>2022</v>
      </c>
      <c r="T750" s="25">
        <v>2023</v>
      </c>
      <c r="U750" s="25">
        <v>2024</v>
      </c>
      <c r="V750" s="25">
        <v>2025</v>
      </c>
      <c r="W750" s="25">
        <v>2026</v>
      </c>
      <c r="X750" s="25">
        <v>2027</v>
      </c>
      <c r="Y750" s="25">
        <v>2028</v>
      </c>
      <c r="Z750" s="25">
        <v>2029</v>
      </c>
      <c r="AA750" s="25">
        <v>2030</v>
      </c>
      <c r="AB750" s="25">
        <v>2031</v>
      </c>
    </row>
    <row r="751" spans="1:29" x14ac:dyDescent="0.2">
      <c r="B751" s="25"/>
      <c r="C751">
        <v>1</v>
      </c>
      <c r="D751">
        <v>2</v>
      </c>
      <c r="E751">
        <v>3</v>
      </c>
      <c r="F751">
        <v>4</v>
      </c>
      <c r="G751">
        <v>5</v>
      </c>
      <c r="H751">
        <v>6</v>
      </c>
      <c r="I751">
        <v>7</v>
      </c>
      <c r="J751">
        <v>8</v>
      </c>
      <c r="K751" s="248">
        <v>9</v>
      </c>
      <c r="L751" s="3">
        <v>10</v>
      </c>
      <c r="M751" s="3">
        <v>11</v>
      </c>
      <c r="N751" s="3">
        <v>12</v>
      </c>
      <c r="O751" s="3">
        <v>13</v>
      </c>
      <c r="P751" s="387">
        <v>14</v>
      </c>
      <c r="Q751" s="3">
        <v>15</v>
      </c>
      <c r="R751" s="3">
        <v>16</v>
      </c>
      <c r="S751" s="3">
        <v>17</v>
      </c>
      <c r="T751" s="3">
        <v>18</v>
      </c>
      <c r="U751" s="3">
        <v>19</v>
      </c>
      <c r="V751" s="3">
        <v>20</v>
      </c>
      <c r="W751" s="3">
        <v>21</v>
      </c>
      <c r="X751" s="3">
        <v>22</v>
      </c>
      <c r="Y751" s="3">
        <v>23</v>
      </c>
      <c r="Z751" s="3">
        <v>24</v>
      </c>
      <c r="AA751" s="3">
        <v>25</v>
      </c>
      <c r="AB751" s="3">
        <v>26</v>
      </c>
    </row>
    <row r="752" spans="1:29" x14ac:dyDescent="0.2">
      <c r="A752">
        <v>1</v>
      </c>
      <c r="B752" t="s">
        <v>41</v>
      </c>
      <c r="C752" s="98">
        <f t="shared" ref="C752:AA752" si="1060">ROUND(C83-C700,0)</f>
        <v>0</v>
      </c>
      <c r="D752" s="98">
        <f t="shared" si="1060"/>
        <v>0</v>
      </c>
      <c r="E752" s="98">
        <f t="shared" si="1060"/>
        <v>0</v>
      </c>
      <c r="F752" s="98">
        <f t="shared" si="1060"/>
        <v>0</v>
      </c>
      <c r="G752" s="98">
        <f t="shared" si="1060"/>
        <v>0</v>
      </c>
      <c r="H752" s="98">
        <f t="shared" si="1060"/>
        <v>0</v>
      </c>
      <c r="I752" s="98">
        <f t="shared" si="1060"/>
        <v>40576</v>
      </c>
      <c r="J752" s="98">
        <f t="shared" si="1060"/>
        <v>6453</v>
      </c>
      <c r="K752" s="250">
        <f t="shared" si="1060"/>
        <v>280588</v>
      </c>
      <c r="L752" s="98">
        <f t="shared" si="1060"/>
        <v>612278</v>
      </c>
      <c r="M752" s="98">
        <f t="shared" si="1060"/>
        <v>942871</v>
      </c>
      <c r="N752" s="98">
        <f t="shared" si="1060"/>
        <v>1258971</v>
      </c>
      <c r="O752" s="98">
        <f t="shared" si="1060"/>
        <v>1158893</v>
      </c>
      <c r="P752" s="389">
        <f t="shared" si="1060"/>
        <v>960894</v>
      </c>
      <c r="Q752" s="98">
        <f t="shared" si="1060"/>
        <v>763651</v>
      </c>
      <c r="R752" s="98">
        <f t="shared" si="1060"/>
        <v>684507</v>
      </c>
      <c r="S752" s="98">
        <f t="shared" si="1060"/>
        <v>600892</v>
      </c>
      <c r="T752" s="98">
        <f t="shared" si="1060"/>
        <v>559831</v>
      </c>
      <c r="U752" s="98">
        <f t="shared" si="1060"/>
        <v>481773</v>
      </c>
      <c r="V752" s="98">
        <f t="shared" si="1060"/>
        <v>392747</v>
      </c>
      <c r="W752" s="98">
        <f t="shared" si="1060"/>
        <v>389584</v>
      </c>
      <c r="X752" s="98">
        <f t="shared" si="1060"/>
        <v>313521</v>
      </c>
      <c r="Y752" s="98">
        <f t="shared" si="1060"/>
        <v>156437</v>
      </c>
      <c r="Z752" s="98">
        <f t="shared" si="1060"/>
        <v>37068</v>
      </c>
      <c r="AA752" s="98">
        <f t="shared" si="1060"/>
        <v>0</v>
      </c>
      <c r="AB752" s="98">
        <f t="shared" ref="AB752" si="1061">ROUND(AB83-AB700,0)</f>
        <v>0</v>
      </c>
    </row>
    <row r="753" spans="1:28" x14ac:dyDescent="0.2">
      <c r="A753">
        <v>2</v>
      </c>
      <c r="B753" t="s">
        <v>3</v>
      </c>
      <c r="C753" s="98">
        <f t="shared" ref="C753:AA753" si="1062">ROUND(C87-C701,0)</f>
        <v>0</v>
      </c>
      <c r="D753" s="98">
        <f t="shared" si="1062"/>
        <v>0</v>
      </c>
      <c r="E753" s="98">
        <f t="shared" si="1062"/>
        <v>0</v>
      </c>
      <c r="F753" s="98">
        <f t="shared" si="1062"/>
        <v>0</v>
      </c>
      <c r="G753" s="98">
        <f t="shared" si="1062"/>
        <v>0</v>
      </c>
      <c r="H753" s="98">
        <f t="shared" si="1062"/>
        <v>0</v>
      </c>
      <c r="I753" s="98">
        <f t="shared" si="1062"/>
        <v>0</v>
      </c>
      <c r="J753" s="98">
        <f t="shared" si="1062"/>
        <v>0</v>
      </c>
      <c r="K753" s="250">
        <f t="shared" si="1062"/>
        <v>2459</v>
      </c>
      <c r="L753" s="98">
        <f t="shared" si="1062"/>
        <v>3742</v>
      </c>
      <c r="M753" s="98">
        <f t="shared" si="1062"/>
        <v>4731</v>
      </c>
      <c r="N753" s="98">
        <f t="shared" si="1062"/>
        <v>5462</v>
      </c>
      <c r="O753" s="98">
        <f t="shared" si="1062"/>
        <v>841</v>
      </c>
      <c r="P753" s="389">
        <f t="shared" si="1062"/>
        <v>1601</v>
      </c>
      <c r="Q753" s="98">
        <f t="shared" si="1062"/>
        <v>1636</v>
      </c>
      <c r="R753" s="98">
        <f t="shared" si="1062"/>
        <v>1011</v>
      </c>
      <c r="S753" s="98">
        <f t="shared" si="1062"/>
        <v>1035</v>
      </c>
      <c r="T753" s="98">
        <f t="shared" si="1062"/>
        <v>743</v>
      </c>
      <c r="U753" s="98">
        <f t="shared" si="1062"/>
        <v>1001</v>
      </c>
      <c r="V753" s="98">
        <f t="shared" si="1062"/>
        <v>1126</v>
      </c>
      <c r="W753" s="98">
        <f t="shared" si="1062"/>
        <v>0</v>
      </c>
      <c r="X753" s="98">
        <f t="shared" si="1062"/>
        <v>0</v>
      </c>
      <c r="Y753" s="98">
        <f t="shared" si="1062"/>
        <v>0</v>
      </c>
      <c r="Z753" s="98">
        <f t="shared" si="1062"/>
        <v>0</v>
      </c>
      <c r="AA753" s="98">
        <f t="shared" si="1062"/>
        <v>0</v>
      </c>
      <c r="AB753" s="98">
        <f t="shared" ref="AB753" si="1063">ROUND(AB87-AB701,0)</f>
        <v>0</v>
      </c>
    </row>
    <row r="754" spans="1:28" x14ac:dyDescent="0.2">
      <c r="A754">
        <v>3</v>
      </c>
      <c r="B754" t="s">
        <v>29</v>
      </c>
      <c r="C754" s="98">
        <f t="shared" ref="C754:AA754" si="1064">ROUND(C88-C702,0)</f>
        <v>0</v>
      </c>
      <c r="D754" s="98">
        <f t="shared" si="1064"/>
        <v>0</v>
      </c>
      <c r="E754" s="98">
        <f t="shared" si="1064"/>
        <v>0</v>
      </c>
      <c r="F754" s="98">
        <f t="shared" si="1064"/>
        <v>0</v>
      </c>
      <c r="G754" s="98">
        <f t="shared" si="1064"/>
        <v>0</v>
      </c>
      <c r="H754" s="98">
        <f t="shared" si="1064"/>
        <v>0</v>
      </c>
      <c r="I754" s="98">
        <f t="shared" si="1064"/>
        <v>175</v>
      </c>
      <c r="J754" s="98">
        <f t="shared" si="1064"/>
        <v>1087</v>
      </c>
      <c r="K754" s="250">
        <f t="shared" si="1064"/>
        <v>7208</v>
      </c>
      <c r="L754" s="98">
        <f t="shared" si="1064"/>
        <v>8695</v>
      </c>
      <c r="M754" s="98">
        <f t="shared" si="1064"/>
        <v>10649</v>
      </c>
      <c r="N754" s="98">
        <f t="shared" si="1064"/>
        <v>12766</v>
      </c>
      <c r="O754" s="98">
        <f t="shared" si="1064"/>
        <v>12029</v>
      </c>
      <c r="P754" s="389">
        <f t="shared" si="1064"/>
        <v>12177</v>
      </c>
      <c r="Q754" s="98">
        <f t="shared" si="1064"/>
        <v>10598</v>
      </c>
      <c r="R754" s="98">
        <f t="shared" si="1064"/>
        <v>8946</v>
      </c>
      <c r="S754" s="98">
        <f t="shared" si="1064"/>
        <v>8072</v>
      </c>
      <c r="T754" s="98">
        <f t="shared" si="1064"/>
        <v>7451</v>
      </c>
      <c r="U754" s="98">
        <f t="shared" si="1064"/>
        <v>6117</v>
      </c>
      <c r="V754" s="98">
        <f t="shared" si="1064"/>
        <v>4044</v>
      </c>
      <c r="W754" s="98">
        <f t="shared" si="1064"/>
        <v>2210</v>
      </c>
      <c r="X754" s="98">
        <f t="shared" si="1064"/>
        <v>2640</v>
      </c>
      <c r="Y754" s="98">
        <f t="shared" si="1064"/>
        <v>2209</v>
      </c>
      <c r="Z754" s="98">
        <f t="shared" si="1064"/>
        <v>1614</v>
      </c>
      <c r="AA754" s="98">
        <f t="shared" si="1064"/>
        <v>0</v>
      </c>
      <c r="AB754" s="98">
        <f t="shared" ref="AB754" si="1065">ROUND(AB88-AB702,0)</f>
        <v>0</v>
      </c>
    </row>
    <row r="755" spans="1:28" x14ac:dyDescent="0.2">
      <c r="A755">
        <v>4</v>
      </c>
      <c r="B755" t="s">
        <v>5</v>
      </c>
      <c r="C755" s="98">
        <f t="shared" ref="C755:AA755" si="1066">ROUND(C89-C703,0)</f>
        <v>0</v>
      </c>
      <c r="D755" s="98">
        <f t="shared" si="1066"/>
        <v>0</v>
      </c>
      <c r="E755" s="98">
        <f t="shared" si="1066"/>
        <v>0</v>
      </c>
      <c r="F755" s="98">
        <f t="shared" si="1066"/>
        <v>0</v>
      </c>
      <c r="G755" s="98">
        <f t="shared" si="1066"/>
        <v>53</v>
      </c>
      <c r="H755" s="98">
        <f t="shared" si="1066"/>
        <v>0</v>
      </c>
      <c r="I755" s="98">
        <f t="shared" si="1066"/>
        <v>0</v>
      </c>
      <c r="J755" s="98">
        <f t="shared" si="1066"/>
        <v>0</v>
      </c>
      <c r="K755" s="250">
        <f t="shared" si="1066"/>
        <v>534</v>
      </c>
      <c r="L755" s="98">
        <f t="shared" si="1066"/>
        <v>1172</v>
      </c>
      <c r="M755" s="98">
        <f t="shared" si="1066"/>
        <v>1451</v>
      </c>
      <c r="N755" s="98">
        <f t="shared" si="1066"/>
        <v>2038</v>
      </c>
      <c r="O755" s="98">
        <f t="shared" si="1066"/>
        <v>1540</v>
      </c>
      <c r="P755" s="389">
        <f t="shared" si="1066"/>
        <v>1655</v>
      </c>
      <c r="Q755" s="98">
        <f t="shared" si="1066"/>
        <v>0</v>
      </c>
      <c r="R755" s="98">
        <f t="shared" si="1066"/>
        <v>575</v>
      </c>
      <c r="S755" s="98">
        <f t="shared" si="1066"/>
        <v>393</v>
      </c>
      <c r="T755" s="98">
        <f t="shared" si="1066"/>
        <v>802</v>
      </c>
      <c r="U755" s="98">
        <f t="shared" si="1066"/>
        <v>738</v>
      </c>
      <c r="V755" s="98">
        <f t="shared" si="1066"/>
        <v>882</v>
      </c>
      <c r="W755" s="98">
        <f t="shared" si="1066"/>
        <v>0</v>
      </c>
      <c r="X755" s="98">
        <f t="shared" si="1066"/>
        <v>0</v>
      </c>
      <c r="Y755" s="98">
        <f t="shared" si="1066"/>
        <v>0</v>
      </c>
      <c r="Z755" s="98">
        <f t="shared" si="1066"/>
        <v>0</v>
      </c>
      <c r="AA755" s="98">
        <f t="shared" si="1066"/>
        <v>0</v>
      </c>
      <c r="AB755" s="98">
        <f t="shared" ref="AB755" si="1067">ROUND(AB89-AB703,0)</f>
        <v>0</v>
      </c>
    </row>
    <row r="756" spans="1:28" x14ac:dyDescent="0.2">
      <c r="A756">
        <v>5</v>
      </c>
      <c r="B756" t="s">
        <v>6</v>
      </c>
      <c r="C756" s="98">
        <f t="shared" ref="C756:AA756" si="1068">ROUND(C90-C704,0)</f>
        <v>0</v>
      </c>
      <c r="D756" s="98">
        <f t="shared" si="1068"/>
        <v>0</v>
      </c>
      <c r="E756" s="98">
        <f t="shared" si="1068"/>
        <v>0</v>
      </c>
      <c r="F756" s="98">
        <f t="shared" si="1068"/>
        <v>0</v>
      </c>
      <c r="G756" s="98">
        <f t="shared" si="1068"/>
        <v>0</v>
      </c>
      <c r="H756" s="98">
        <f t="shared" si="1068"/>
        <v>1</v>
      </c>
      <c r="I756" s="98">
        <f t="shared" si="1068"/>
        <v>0</v>
      </c>
      <c r="J756" s="98">
        <f t="shared" si="1068"/>
        <v>72</v>
      </c>
      <c r="K756" s="250">
        <f t="shared" si="1068"/>
        <v>1098</v>
      </c>
      <c r="L756" s="98">
        <f t="shared" si="1068"/>
        <v>1605</v>
      </c>
      <c r="M756" s="98">
        <f t="shared" si="1068"/>
        <v>2131</v>
      </c>
      <c r="N756" s="98">
        <f t="shared" si="1068"/>
        <v>2626</v>
      </c>
      <c r="O756" s="98">
        <f t="shared" si="1068"/>
        <v>221</v>
      </c>
      <c r="P756" s="389">
        <f t="shared" si="1068"/>
        <v>1003</v>
      </c>
      <c r="Q756" s="98">
        <f t="shared" si="1068"/>
        <v>716</v>
      </c>
      <c r="R756" s="98">
        <f t="shared" si="1068"/>
        <v>770</v>
      </c>
      <c r="S756" s="98">
        <f t="shared" si="1068"/>
        <v>898</v>
      </c>
      <c r="T756" s="98">
        <f t="shared" si="1068"/>
        <v>995</v>
      </c>
      <c r="U756" s="98">
        <f t="shared" si="1068"/>
        <v>972</v>
      </c>
      <c r="V756" s="98">
        <f t="shared" si="1068"/>
        <v>881</v>
      </c>
      <c r="W756" s="98">
        <f t="shared" si="1068"/>
        <v>151</v>
      </c>
      <c r="X756" s="98">
        <f t="shared" si="1068"/>
        <v>0</v>
      </c>
      <c r="Y756" s="98">
        <f t="shared" si="1068"/>
        <v>0</v>
      </c>
      <c r="Z756" s="98">
        <f t="shared" si="1068"/>
        <v>0</v>
      </c>
      <c r="AA756" s="98">
        <f t="shared" si="1068"/>
        <v>0</v>
      </c>
      <c r="AB756" s="98">
        <f t="shared" ref="AB756" si="1069">ROUND(AB90-AB704,0)</f>
        <v>0</v>
      </c>
    </row>
    <row r="757" spans="1:28" x14ac:dyDescent="0.2">
      <c r="A757">
        <v>6</v>
      </c>
      <c r="B757" t="s">
        <v>1</v>
      </c>
      <c r="C757" s="98">
        <f t="shared" ref="C757:AA757" si="1070">ROUND(C91-C705,0)</f>
        <v>0</v>
      </c>
      <c r="D757" s="98">
        <f t="shared" si="1070"/>
        <v>0</v>
      </c>
      <c r="E757" s="98">
        <f t="shared" si="1070"/>
        <v>0</v>
      </c>
      <c r="F757" s="98">
        <f t="shared" si="1070"/>
        <v>0</v>
      </c>
      <c r="G757" s="98">
        <f t="shared" si="1070"/>
        <v>0</v>
      </c>
      <c r="H757" s="98">
        <f t="shared" si="1070"/>
        <v>0</v>
      </c>
      <c r="I757" s="98">
        <f t="shared" si="1070"/>
        <v>0</v>
      </c>
      <c r="J757" s="98">
        <f t="shared" si="1070"/>
        <v>0</v>
      </c>
      <c r="K757" s="250">
        <f t="shared" si="1070"/>
        <v>8336</v>
      </c>
      <c r="L757" s="98">
        <f t="shared" si="1070"/>
        <v>11466</v>
      </c>
      <c r="M757" s="98">
        <f t="shared" si="1070"/>
        <v>18181</v>
      </c>
      <c r="N757" s="98">
        <f t="shared" si="1070"/>
        <v>23061</v>
      </c>
      <c r="O757" s="98">
        <f t="shared" si="1070"/>
        <v>22178</v>
      </c>
      <c r="P757" s="389">
        <f t="shared" si="1070"/>
        <v>6876</v>
      </c>
      <c r="Q757" s="98">
        <f t="shared" si="1070"/>
        <v>10952</v>
      </c>
      <c r="R757" s="98">
        <f t="shared" si="1070"/>
        <v>0</v>
      </c>
      <c r="S757" s="98">
        <f t="shared" si="1070"/>
        <v>5704</v>
      </c>
      <c r="T757" s="98">
        <f t="shared" si="1070"/>
        <v>9940</v>
      </c>
      <c r="U757" s="98">
        <f t="shared" si="1070"/>
        <v>12134</v>
      </c>
      <c r="V757" s="98">
        <f t="shared" si="1070"/>
        <v>927</v>
      </c>
      <c r="W757" s="98">
        <f t="shared" si="1070"/>
        <v>5814</v>
      </c>
      <c r="X757" s="98">
        <f t="shared" si="1070"/>
        <v>0</v>
      </c>
      <c r="Y757" s="98">
        <f t="shared" si="1070"/>
        <v>0</v>
      </c>
      <c r="Z757" s="98">
        <f t="shared" si="1070"/>
        <v>0</v>
      </c>
      <c r="AA757" s="98">
        <f t="shared" si="1070"/>
        <v>0</v>
      </c>
      <c r="AB757" s="98">
        <f t="shared" ref="AB757" si="1071">ROUND(AB91-AB705,0)</f>
        <v>0</v>
      </c>
    </row>
    <row r="758" spans="1:28" x14ac:dyDescent="0.2">
      <c r="A758">
        <v>7</v>
      </c>
      <c r="B758" t="s">
        <v>2</v>
      </c>
      <c r="C758" s="98">
        <f t="shared" ref="C758:AA758" si="1072">ROUND(C92-C706,0)</f>
        <v>0</v>
      </c>
      <c r="D758" s="98">
        <f t="shared" si="1072"/>
        <v>0</v>
      </c>
      <c r="E758" s="98">
        <f t="shared" si="1072"/>
        <v>0</v>
      </c>
      <c r="F758" s="98">
        <f t="shared" si="1072"/>
        <v>0</v>
      </c>
      <c r="G758" s="98">
        <f t="shared" si="1072"/>
        <v>0</v>
      </c>
      <c r="H758" s="98">
        <f t="shared" si="1072"/>
        <v>0</v>
      </c>
      <c r="I758" s="98">
        <f t="shared" si="1072"/>
        <v>0</v>
      </c>
      <c r="J758" s="98">
        <f t="shared" si="1072"/>
        <v>0</v>
      </c>
      <c r="K758" s="250">
        <f t="shared" si="1072"/>
        <v>7737</v>
      </c>
      <c r="L758" s="98">
        <f t="shared" si="1072"/>
        <v>13993</v>
      </c>
      <c r="M758" s="98">
        <f t="shared" si="1072"/>
        <v>20121</v>
      </c>
      <c r="N758" s="98">
        <f t="shared" si="1072"/>
        <v>26005</v>
      </c>
      <c r="O758" s="98">
        <f t="shared" si="1072"/>
        <v>11923</v>
      </c>
      <c r="P758" s="389">
        <f t="shared" si="1072"/>
        <v>12589</v>
      </c>
      <c r="Q758" s="98">
        <f t="shared" si="1072"/>
        <v>4394</v>
      </c>
      <c r="R758" s="98">
        <f t="shared" si="1072"/>
        <v>6594</v>
      </c>
      <c r="S758" s="98">
        <f t="shared" si="1072"/>
        <v>7705</v>
      </c>
      <c r="T758" s="98">
        <f t="shared" si="1072"/>
        <v>0</v>
      </c>
      <c r="U758" s="98">
        <f t="shared" si="1072"/>
        <v>4458</v>
      </c>
      <c r="V758" s="98">
        <f t="shared" si="1072"/>
        <v>6257</v>
      </c>
      <c r="W758" s="98">
        <f t="shared" si="1072"/>
        <v>2260</v>
      </c>
      <c r="X758" s="98">
        <f t="shared" si="1072"/>
        <v>0</v>
      </c>
      <c r="Y758" s="98">
        <f t="shared" si="1072"/>
        <v>0</v>
      </c>
      <c r="Z758" s="98">
        <f t="shared" si="1072"/>
        <v>0</v>
      </c>
      <c r="AA758" s="98">
        <f t="shared" si="1072"/>
        <v>0</v>
      </c>
      <c r="AB758" s="98">
        <f t="shared" ref="AB758" si="1073">ROUND(AB92-AB706,0)</f>
        <v>0</v>
      </c>
    </row>
    <row r="759" spans="1:28" x14ac:dyDescent="0.2">
      <c r="C759" s="62"/>
      <c r="D759" s="62"/>
      <c r="E759" s="62"/>
      <c r="F759" s="62"/>
      <c r="G759" s="62"/>
      <c r="H759" s="62"/>
      <c r="I759" s="62"/>
      <c r="J759" s="62"/>
      <c r="K759" s="250"/>
      <c r="L759" s="98"/>
      <c r="M759" s="98"/>
      <c r="N759" s="98"/>
      <c r="O759" s="98"/>
      <c r="P759" s="389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</row>
  </sheetData>
  <phoneticPr fontId="2" type="noConversion"/>
  <conditionalFormatting sqref="A81:XFD83">
    <cfRule type="cellIs" dxfId="5" priority="12" stopIfTrue="1" operator="lessThan">
      <formula>0</formula>
    </cfRule>
  </conditionalFormatting>
  <conditionalFormatting sqref="A163:XFD163 B188:B189 C187:AB188 A712:AA713 A724:AA725 A736:AA737 A197:B65536 B190:AA196 A130:XFD130 A1:A196 C128:C185 B123:B127 C122:C126 D128:AA128 E173:AA174 E162:AA162 B1:B121 D122:I153 D155:I185 D154:G154 I154 B129:B186 C647:AB674 J121:AB185 C197:AA197 C189:AA189 AB189:AB197 C198:AB643 A675:AA696 AC675:XFD696 AC712:XFD713 AC724:XFD725 AC736:XFD737 AC685:IV744 AB675:AB744 C745:IV65536 AC1:IV683 A661:XFD674 C68:AB120 C1:AB66 C685:AA744">
    <cfRule type="cellIs" dxfId="4" priority="11" stopIfTrue="1" operator="lessThan">
      <formula>0</formula>
    </cfRule>
  </conditionalFormatting>
  <conditionalFormatting sqref="C623:AB623 C592:AB592 C561:AB561 C530:AB530 C499:AB499 C468:AB468 C436:AB436">
    <cfRule type="cellIs" dxfId="3" priority="9" stopIfTrue="1" operator="greaterThan">
      <formula>1</formula>
    </cfRule>
  </conditionalFormatting>
  <conditionalFormatting sqref="K87:AB92">
    <cfRule type="cellIs" dxfId="2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3:AF59"/>
  <sheetViews>
    <sheetView tabSelected="1" topLeftCell="A25" zoomScale="90" zoomScaleNormal="90" workbookViewId="0">
      <pane xSplit="5" topLeftCell="F1" activePane="topRight" state="frozen"/>
      <selection pane="topRight" activeCell="A18" sqref="A18"/>
    </sheetView>
  </sheetViews>
  <sheetFormatPr defaultRowHeight="12.75" x14ac:dyDescent="0.2"/>
  <cols>
    <col min="1" max="1" width="15.5703125" bestFit="1" customWidth="1"/>
    <col min="5" max="5" width="24.28515625" customWidth="1"/>
    <col min="6" max="6" width="13.42578125" customWidth="1"/>
    <col min="7" max="7" width="12.140625" customWidth="1"/>
    <col min="8" max="8" width="12.42578125" customWidth="1"/>
    <col min="9" max="9" width="10.42578125" customWidth="1"/>
    <col min="10" max="10" width="12.140625" customWidth="1"/>
    <col min="11" max="11" width="8.5703125" customWidth="1"/>
    <col min="15" max="15" width="10.85546875" style="73" customWidth="1"/>
    <col min="32" max="32" width="13" customWidth="1"/>
  </cols>
  <sheetData>
    <row r="3" spans="1:32" x14ac:dyDescent="0.2">
      <c r="B3" t="s">
        <v>77</v>
      </c>
    </row>
    <row r="5" spans="1:32" x14ac:dyDescent="0.2">
      <c r="E5" s="5" t="s">
        <v>24</v>
      </c>
    </row>
    <row r="6" spans="1:32" x14ac:dyDescent="0.2">
      <c r="A6">
        <v>2006</v>
      </c>
      <c r="E6" s="5"/>
      <c r="F6" s="72">
        <v>2005</v>
      </c>
      <c r="G6">
        <v>2006</v>
      </c>
      <c r="H6">
        <v>2007</v>
      </c>
      <c r="I6">
        <v>2008</v>
      </c>
      <c r="J6">
        <v>2009</v>
      </c>
      <c r="K6">
        <v>2010</v>
      </c>
      <c r="L6">
        <v>2011</v>
      </c>
      <c r="M6">
        <v>2012</v>
      </c>
      <c r="N6">
        <v>2013</v>
      </c>
      <c r="O6" s="73">
        <v>2014</v>
      </c>
      <c r="P6">
        <v>2015</v>
      </c>
      <c r="Q6">
        <v>2016</v>
      </c>
      <c r="R6">
        <v>2017</v>
      </c>
      <c r="S6">
        <v>2018</v>
      </c>
      <c r="T6">
        <v>2019</v>
      </c>
      <c r="U6">
        <v>2020</v>
      </c>
      <c r="V6">
        <v>2021</v>
      </c>
      <c r="W6">
        <v>2022</v>
      </c>
      <c r="X6">
        <v>2023</v>
      </c>
      <c r="Y6">
        <v>2024</v>
      </c>
      <c r="Z6">
        <v>2025</v>
      </c>
      <c r="AA6">
        <v>2026</v>
      </c>
      <c r="AB6">
        <v>2027</v>
      </c>
      <c r="AC6">
        <v>2028</v>
      </c>
      <c r="AD6">
        <v>2029</v>
      </c>
      <c r="AE6">
        <v>2030</v>
      </c>
      <c r="AF6">
        <v>2031</v>
      </c>
    </row>
    <row r="7" spans="1:32" ht="13.5" thickBot="1" x14ac:dyDescent="0.25">
      <c r="A7" s="72">
        <v>1</v>
      </c>
      <c r="E7" s="5"/>
      <c r="G7" s="72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 s="73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  <c r="V7">
        <v>16</v>
      </c>
      <c r="W7">
        <v>17</v>
      </c>
      <c r="X7">
        <v>18</v>
      </c>
      <c r="Y7">
        <v>19</v>
      </c>
      <c r="Z7">
        <v>20</v>
      </c>
      <c r="AA7">
        <v>21</v>
      </c>
      <c r="AB7">
        <v>22</v>
      </c>
      <c r="AC7">
        <v>23</v>
      </c>
      <c r="AD7">
        <v>24</v>
      </c>
      <c r="AE7">
        <v>25</v>
      </c>
      <c r="AF7">
        <v>26</v>
      </c>
    </row>
    <row r="8" spans="1:32" ht="16.5" thickBot="1" x14ac:dyDescent="0.3">
      <c r="A8" s="111">
        <v>1.1000000000000001</v>
      </c>
      <c r="C8">
        <v>1</v>
      </c>
      <c r="E8" t="s">
        <v>0</v>
      </c>
      <c r="F8" s="110">
        <v>1</v>
      </c>
      <c r="G8" s="368">
        <v>1.1255303700579902</v>
      </c>
      <c r="H8" s="368">
        <v>1.2013430639985347</v>
      </c>
      <c r="I8" s="368">
        <v>1.14415356205732</v>
      </c>
      <c r="J8" s="368">
        <v>1.2330702058692962</v>
      </c>
      <c r="K8" s="368">
        <v>1.1318206742469294</v>
      </c>
      <c r="L8" s="368">
        <v>1.1352053293298843</v>
      </c>
      <c r="M8" s="368">
        <v>1.1117168757500784</v>
      </c>
      <c r="N8" s="368">
        <v>1.095</v>
      </c>
      <c r="O8" s="379">
        <f>1+0.01*INDEX([1]!ScenTempRostTarif_1,NScenRostTarif_1,O$7)</f>
        <v>1.1100000000000001</v>
      </c>
      <c r="P8" s="354">
        <f>1+0.01*INDEX([1]!ScenTempRostTarif_1,NScenRostTarif_1,P$7)</f>
        <v>1.1499999999999999</v>
      </c>
      <c r="Q8" s="354">
        <f>1+0.01*INDEX([1]!ScenTempRostTarif_1,NScenRostTarif_1,Q$7)</f>
        <v>1.165</v>
      </c>
      <c r="R8" s="354">
        <f>1+0.01*INDEX([1]!ScenTempRostTarif_1,NScenRostTarif_1,R$7)</f>
        <v>1.17</v>
      </c>
      <c r="S8" s="354">
        <f>1+0.01*INDEX([1]!ScenTempRostTarif_1,NScenRostTarif_1,S$7)</f>
        <v>1.1400000000000001</v>
      </c>
      <c r="T8" s="354">
        <f>1+0.01*INDEX([1]!ScenTempRostTarif_1,NScenRostTarif_1,T$7)</f>
        <v>1.1100000000000001</v>
      </c>
      <c r="U8" s="354">
        <f>1+0.01*INDEX([1]!ScenTempRostTarif_1,NScenRostTarif_1,U$7)</f>
        <v>1.0900000000000001</v>
      </c>
      <c r="V8" s="354">
        <f>1+0.01*INDEX([1]!ScenTempRostTarif_1,NScenRostTarif_1,V$7)</f>
        <v>1.07</v>
      </c>
      <c r="W8" s="354">
        <f>1+0.01*INDEX([1]!ScenTempRostTarif_1,NScenRostTarif_1,W$7)</f>
        <v>1.06</v>
      </c>
      <c r="X8" s="354">
        <f>1+0.01*INDEX([1]!ScenTempRostTarif_1,NScenRostTarif_1,X$7)</f>
        <v>1.0900000000000001</v>
      </c>
      <c r="Y8" s="354">
        <f>1+0.01*INDEX([1]!ScenTempRostTarif_1,NScenRostTarif_1,Y$7)</f>
        <v>1.1000000000000001</v>
      </c>
      <c r="Z8" s="354">
        <f>1+0.01*INDEX([1]!ScenTempRostTarif_1,NScenRostTarif_1,Z$7)</f>
        <v>1.0900000000000001</v>
      </c>
      <c r="AA8" s="354">
        <f>1+0.01*INDEX([1]!ScenTempRostTarif_1,NScenRostTarif_1,AA$7)</f>
        <v>1.0831999999999999</v>
      </c>
      <c r="AB8" s="354">
        <f>1+0.01*INDEX([1]!ScenTempRostTarif_1,NScenRostTarif_1,AB$7)</f>
        <v>1.07</v>
      </c>
      <c r="AC8" s="354">
        <f>1+0.01*INDEX([1]!ScenTempRostTarif_1,NScenRostTarif_1,AC$7)</f>
        <v>1.06</v>
      </c>
      <c r="AD8" s="354">
        <f>1+0.01*INDEX([1]!ScenTempRostTarif_1,NScenRostTarif_1,AD$7)</f>
        <v>1.06</v>
      </c>
      <c r="AE8" s="354">
        <f>1+0.01*INDEX([1]!ScenTempRostTarif_1,NScenRostTarif_1,AE$7)</f>
        <v>1.0660000000000001</v>
      </c>
      <c r="AF8" s="354">
        <f>1+0.01*INDEX([1]!ScenTempRostTarif_1,NScenRostTarif_1,AF$7)</f>
        <v>1.0660000000000001</v>
      </c>
    </row>
    <row r="9" spans="1:32" ht="16.5" thickBot="1" x14ac:dyDescent="0.3">
      <c r="A9" s="111">
        <v>1.2</v>
      </c>
      <c r="C9">
        <v>2</v>
      </c>
      <c r="E9" t="s">
        <v>3</v>
      </c>
      <c r="F9" s="110">
        <v>1</v>
      </c>
      <c r="G9" s="368">
        <v>1.036576029241066</v>
      </c>
      <c r="H9" s="368">
        <v>0.95480671296296293</v>
      </c>
      <c r="I9" s="368">
        <v>1.0015485116597029</v>
      </c>
      <c r="J9" s="368">
        <v>1.1761658031088082</v>
      </c>
      <c r="K9" s="368">
        <v>1.0966994788650841</v>
      </c>
      <c r="L9" s="368">
        <v>1.0431860374016417</v>
      </c>
      <c r="M9" s="368">
        <v>1.1075360958150462</v>
      </c>
      <c r="N9" s="368">
        <v>1.095</v>
      </c>
      <c r="O9" s="379">
        <f>1+0.01*INDEX([1]!ScenTempRostTarif_2,NScenRostTarif_2,O$7)</f>
        <v>1.1100000000000001</v>
      </c>
      <c r="P9" s="354">
        <f>1+0.01*INDEX([1]!ScenTempRostTarif_2,NScenRostTarif_2,P$7)</f>
        <v>1.1499999999999999</v>
      </c>
      <c r="Q9" s="354">
        <f>1+0.01*INDEX([1]!ScenTempRostTarif_2,NScenRostTarif_2,Q$7)</f>
        <v>1.165</v>
      </c>
      <c r="R9" s="354">
        <f>1+0.01*INDEX([1]!ScenTempRostTarif_2,NScenRostTarif_2,R$7)</f>
        <v>1.17</v>
      </c>
      <c r="S9" s="354">
        <f>1+0.01*INDEX([1]!ScenTempRostTarif_2,NScenRostTarif_2,S$7)</f>
        <v>1.1400000000000001</v>
      </c>
      <c r="T9" s="354">
        <f>1+0.01*INDEX([1]!ScenTempRostTarif_2,NScenRostTarif_2,T$7)</f>
        <v>1.1100000000000001</v>
      </c>
      <c r="U9" s="354">
        <f>1+0.01*INDEX([1]!ScenTempRostTarif_2,NScenRostTarif_2,U$7)</f>
        <v>1.0900000000000001</v>
      </c>
      <c r="V9" s="354">
        <f>1+0.01*INDEX([1]!ScenTempRostTarif_2,NScenRostTarif_2,V$7)</f>
        <v>1.07</v>
      </c>
      <c r="W9" s="354">
        <f>1+0.01*INDEX([1]!ScenTempRostTarif_2,NScenRostTarif_2,W$7)</f>
        <v>1.06</v>
      </c>
      <c r="X9" s="354">
        <f>1+0.01*INDEX([1]!ScenTempRostTarif_2,NScenRostTarif_2,X$7)</f>
        <v>1.0900000000000001</v>
      </c>
      <c r="Y9" s="354">
        <f>1+0.01*INDEX([1]!ScenTempRostTarif_2,NScenRostTarif_2,Y$7)</f>
        <v>1.1000000000000001</v>
      </c>
      <c r="Z9" s="354">
        <f>1+0.01*INDEX([1]!ScenTempRostTarif_2,NScenRostTarif_2,Z$7)</f>
        <v>1.0900000000000001</v>
      </c>
      <c r="AA9" s="354">
        <f>1+0.01*INDEX([1]!ScenTempRostTarif_2,NScenRostTarif_2,AA$7)</f>
        <v>1.0831999999999999</v>
      </c>
      <c r="AB9" s="354">
        <f>1+0.01*INDEX([1]!ScenTempRostTarif_2,NScenRostTarif_2,AB$7)</f>
        <v>1.07</v>
      </c>
      <c r="AC9" s="354">
        <f>1+0.01*INDEX([1]!ScenTempRostTarif_2,NScenRostTarif_2,AC$7)</f>
        <v>1.06</v>
      </c>
      <c r="AD9" s="354">
        <f>1+0.01*INDEX([1]!ScenTempRostTarif_2,NScenRostTarif_2,AD$7)</f>
        <v>1.06</v>
      </c>
      <c r="AE9" s="354">
        <f>1+0.01*INDEX([1]!ScenTempRostTarif_2,NScenRostTarif_2,AE$7)</f>
        <v>1.0671999999999999</v>
      </c>
      <c r="AF9" s="354">
        <f>1+0.01*INDEX([1]!ScenTempRostTarif_2,NScenRostTarif_2,AF$7)</f>
        <v>1.0671999999999999</v>
      </c>
    </row>
    <row r="10" spans="1:32" ht="16.5" thickBot="1" x14ac:dyDescent="0.3">
      <c r="A10" s="111">
        <v>1</v>
      </c>
      <c r="C10">
        <v>3</v>
      </c>
      <c r="E10" t="s">
        <v>4</v>
      </c>
      <c r="F10" s="110">
        <v>1</v>
      </c>
      <c r="G10" s="368">
        <v>1.3588026116783611</v>
      </c>
      <c r="H10" s="368">
        <v>1.2335276498900443</v>
      </c>
      <c r="I10" s="368">
        <v>1.2282268224113826</v>
      </c>
      <c r="J10" s="368">
        <v>1.1399968483807135</v>
      </c>
      <c r="K10" s="368">
        <v>1.0210318102655207</v>
      </c>
      <c r="L10" s="368">
        <v>1.0430374221408292</v>
      </c>
      <c r="M10" s="368">
        <v>1.1701925337659174</v>
      </c>
      <c r="N10" s="368">
        <v>1.095</v>
      </c>
      <c r="O10" s="379">
        <f>1+0.01*INDEX([1]!ScenTempRostTarif_3,NScenRostTarif_3,O$7)</f>
        <v>1.1100000000000001</v>
      </c>
      <c r="P10" s="354">
        <f>1+0.01*INDEX([1]!ScenTempRostTarif_3,NScenRostTarif_3,P$7)</f>
        <v>1.1499999999999999</v>
      </c>
      <c r="Q10" s="354">
        <f>1+0.01*INDEX([1]!ScenTempRostTarif_3,NScenRostTarif_3,Q$7)</f>
        <v>1.165</v>
      </c>
      <c r="R10" s="354">
        <f>1+0.01*INDEX([1]!ScenTempRostTarif_3,NScenRostTarif_3,R$7)</f>
        <v>1.17</v>
      </c>
      <c r="S10" s="354">
        <f>1+0.01*INDEX([1]!ScenTempRostTarif_3,NScenRostTarif_3,S$7)</f>
        <v>1.1400000000000001</v>
      </c>
      <c r="T10" s="354">
        <f>1+0.01*INDEX([1]!ScenTempRostTarif_3,NScenRostTarif_3,T$7)</f>
        <v>1.1100000000000001</v>
      </c>
      <c r="U10" s="354">
        <f>1+0.01*INDEX([1]!ScenTempRostTarif_3,NScenRostTarif_3,U$7)</f>
        <v>1.0900000000000001</v>
      </c>
      <c r="V10" s="354">
        <f>1+0.01*INDEX([1]!ScenTempRostTarif_3,NScenRostTarif_3,V$7)</f>
        <v>1.07</v>
      </c>
      <c r="W10" s="354">
        <f>1+0.01*INDEX([1]!ScenTempRostTarif_3,NScenRostTarif_3,W$7)</f>
        <v>1.06</v>
      </c>
      <c r="X10" s="354">
        <f>1+0.01*INDEX([1]!ScenTempRostTarif_3,NScenRostTarif_3,X$7)</f>
        <v>1.0900000000000001</v>
      </c>
      <c r="Y10" s="354">
        <f>1+0.01*INDEX([1]!ScenTempRostTarif_3,NScenRostTarif_3,Y$7)</f>
        <v>1.1000000000000001</v>
      </c>
      <c r="Z10" s="354">
        <f>1+0.01*INDEX([1]!ScenTempRostTarif_3,NScenRostTarif_3,Z$7)</f>
        <v>1.0900000000000001</v>
      </c>
      <c r="AA10" s="354">
        <f>1+0.01*INDEX([1]!ScenTempRostTarif_3,NScenRostTarif_3,AA$7)</f>
        <v>1.0831999999999999</v>
      </c>
      <c r="AB10" s="354">
        <f>1+0.01*INDEX([1]!ScenTempRostTarif_3,NScenRostTarif_3,AB$7)</f>
        <v>1.07</v>
      </c>
      <c r="AC10" s="354">
        <f>1+0.01*INDEX([1]!ScenTempRostTarif_3,NScenRostTarif_3,AC$7)</f>
        <v>1.06</v>
      </c>
      <c r="AD10" s="354">
        <f>1+0.01*INDEX([1]!ScenTempRostTarif_3,NScenRostTarif_3,AD$7)</f>
        <v>1.06</v>
      </c>
      <c r="AE10" s="354">
        <f>1+0.01*INDEX([1]!ScenTempRostTarif_3,NScenRostTarif_3,AE$7)</f>
        <v>1.0678000000000001</v>
      </c>
      <c r="AF10" s="354">
        <f>1+0.01*INDEX([1]!ScenTempRostTarif_3,NScenRostTarif_3,AF$7)</f>
        <v>1.0678000000000001</v>
      </c>
    </row>
    <row r="11" spans="1:32" ht="16.5" thickBot="1" x14ac:dyDescent="0.3">
      <c r="A11" s="111">
        <v>0.8</v>
      </c>
      <c r="C11">
        <v>4</v>
      </c>
      <c r="E11" t="s">
        <v>5</v>
      </c>
      <c r="F11" s="110">
        <v>1</v>
      </c>
      <c r="G11" s="368">
        <v>1.8978688661306582</v>
      </c>
      <c r="H11" s="368">
        <v>1.5722639770250428</v>
      </c>
      <c r="I11" s="368">
        <v>1.4625405075677218</v>
      </c>
      <c r="J11" s="368">
        <v>1.2846644406406895</v>
      </c>
      <c r="K11" s="368">
        <v>1.2746505941746697</v>
      </c>
      <c r="L11" s="368">
        <v>1.198381469592162</v>
      </c>
      <c r="M11" s="368">
        <v>1.2058955989576239</v>
      </c>
      <c r="N11" s="368">
        <v>1.095</v>
      </c>
      <c r="O11" s="379">
        <f>1+0.01*INDEX([1]!ScenTempRostTarif_4,NScenRostTarif_4,O$7)</f>
        <v>1.1100000000000001</v>
      </c>
      <c r="P11" s="354">
        <f>1+0.01*INDEX([1]!ScenTempRostTarif_4,NScenRostTarif_4,P$7)</f>
        <v>1.1499999999999999</v>
      </c>
      <c r="Q11" s="354">
        <f>1+0.01*INDEX([1]!ScenTempRostTarif_4,NScenRostTarif_4,Q$7)</f>
        <v>1.165</v>
      </c>
      <c r="R11" s="354">
        <f>1+0.01*INDEX([1]!ScenTempRostTarif_4,NScenRostTarif_4,R$7)</f>
        <v>1.17</v>
      </c>
      <c r="S11" s="354">
        <f>1+0.01*INDEX([1]!ScenTempRostTarif_4,NScenRostTarif_4,S$7)</f>
        <v>1.1400000000000001</v>
      </c>
      <c r="T11" s="354">
        <f>1+0.01*INDEX([1]!ScenTempRostTarif_4,NScenRostTarif_4,T$7)</f>
        <v>1.1100000000000001</v>
      </c>
      <c r="U11" s="354">
        <f>1+0.01*INDEX([1]!ScenTempRostTarif_4,NScenRostTarif_4,U$7)</f>
        <v>1.0900000000000001</v>
      </c>
      <c r="V11" s="354">
        <f>1+0.01*INDEX([1]!ScenTempRostTarif_4,NScenRostTarif_4,V$7)</f>
        <v>1.07</v>
      </c>
      <c r="W11" s="354">
        <f>1+0.01*INDEX([1]!ScenTempRostTarif_4,NScenRostTarif_4,W$7)</f>
        <v>1.06</v>
      </c>
      <c r="X11" s="354">
        <f>1+0.01*INDEX([1]!ScenTempRostTarif_4,NScenRostTarif_4,X$7)</f>
        <v>1.0900000000000001</v>
      </c>
      <c r="Y11" s="354">
        <f>1+0.01*INDEX([1]!ScenTempRostTarif_4,NScenRostTarif_4,Y$7)</f>
        <v>1.1000000000000001</v>
      </c>
      <c r="Z11" s="354">
        <f>1+0.01*INDEX([1]!ScenTempRostTarif_4,NScenRostTarif_4,Z$7)</f>
        <v>1.0900000000000001</v>
      </c>
      <c r="AA11" s="354">
        <f>1+0.01*INDEX([1]!ScenTempRostTarif_4,NScenRostTarif_4,AA$7)</f>
        <v>1.0831999999999999</v>
      </c>
      <c r="AB11" s="354">
        <f>1+0.01*INDEX([1]!ScenTempRostTarif_4,NScenRostTarif_4,AB$7)</f>
        <v>1.07</v>
      </c>
      <c r="AC11" s="354">
        <f>1+0.01*INDEX([1]!ScenTempRostTarif_4,NScenRostTarif_4,AC$7)</f>
        <v>1.06</v>
      </c>
      <c r="AD11" s="354">
        <f>1+0.01*INDEX([1]!ScenTempRostTarif_4,NScenRostTarif_4,AD$7)</f>
        <v>1.06</v>
      </c>
      <c r="AE11" s="354">
        <f>1+0.01*INDEX([1]!ScenTempRostTarif_4,NScenRostTarif_4,AE$7)</f>
        <v>1.0684</v>
      </c>
      <c r="AF11" s="354">
        <f>1+0.01*INDEX([1]!ScenTempRostTarif_4,NScenRostTarif_4,AF$7)</f>
        <v>1.0684</v>
      </c>
    </row>
    <row r="12" spans="1:32" ht="16.5" thickBot="1" x14ac:dyDescent="0.3">
      <c r="A12" s="111">
        <v>1.1000000000000001</v>
      </c>
      <c r="C12">
        <v>5</v>
      </c>
      <c r="E12" t="s">
        <v>6</v>
      </c>
      <c r="F12" s="110">
        <v>1</v>
      </c>
      <c r="G12" s="368">
        <v>1.2184525848354637</v>
      </c>
      <c r="H12" s="368">
        <v>0.99517933819656179</v>
      </c>
      <c r="I12" s="368">
        <v>1.2650994791080845</v>
      </c>
      <c r="J12" s="368">
        <v>1.2578748970959697</v>
      </c>
      <c r="K12" s="368">
        <v>1.2281889816980021</v>
      </c>
      <c r="L12" s="368">
        <v>1.0948382037965816</v>
      </c>
      <c r="M12" s="368">
        <v>1.203963004001231</v>
      </c>
      <c r="N12" s="368">
        <v>1.095</v>
      </c>
      <c r="O12" s="379">
        <f>1+0.01*INDEX([1]!ScenTempRostTarif_5,NScenRostTarif_5,O$7)</f>
        <v>1.1100000000000001</v>
      </c>
      <c r="P12" s="354">
        <f>1+0.01*INDEX([1]!ScenTempRostTarif_5,NScenRostTarif_5,P$7)</f>
        <v>1.1499999999999999</v>
      </c>
      <c r="Q12" s="354">
        <f>1+0.01*INDEX([1]!ScenTempRostTarif_5,NScenRostTarif_5,Q$7)</f>
        <v>1.165</v>
      </c>
      <c r="R12" s="354">
        <f>1+0.01*INDEX([1]!ScenTempRostTarif_5,NScenRostTarif_5,R$7)</f>
        <v>1.17</v>
      </c>
      <c r="S12" s="354">
        <f>1+0.01*INDEX([1]!ScenTempRostTarif_5,NScenRostTarif_5,S$7)</f>
        <v>1.1400000000000001</v>
      </c>
      <c r="T12" s="354">
        <f>1+0.01*INDEX([1]!ScenTempRostTarif_5,NScenRostTarif_5,T$7)</f>
        <v>1.1100000000000001</v>
      </c>
      <c r="U12" s="354">
        <f>1+0.01*INDEX([1]!ScenTempRostTarif_5,NScenRostTarif_5,U$7)</f>
        <v>1.0900000000000001</v>
      </c>
      <c r="V12" s="354">
        <f>1+0.01*INDEX([1]!ScenTempRostTarif_5,NScenRostTarif_5,V$7)</f>
        <v>1.07</v>
      </c>
      <c r="W12" s="354">
        <f>1+0.01*INDEX([1]!ScenTempRostTarif_5,NScenRostTarif_5,W$7)</f>
        <v>1.06</v>
      </c>
      <c r="X12" s="354">
        <f>1+0.01*INDEX([1]!ScenTempRostTarif_5,NScenRostTarif_5,X$7)</f>
        <v>1.0900000000000001</v>
      </c>
      <c r="Y12" s="354">
        <f>1+0.01*INDEX([1]!ScenTempRostTarif_5,NScenRostTarif_5,Y$7)</f>
        <v>1.1000000000000001</v>
      </c>
      <c r="Z12" s="354">
        <f>1+0.01*INDEX([1]!ScenTempRostTarif_5,NScenRostTarif_5,Z$7)</f>
        <v>1.0900000000000001</v>
      </c>
      <c r="AA12" s="354">
        <f>1+0.01*INDEX([1]!ScenTempRostTarif_5,NScenRostTarif_5,AA$7)</f>
        <v>1.0831999999999999</v>
      </c>
      <c r="AB12" s="354">
        <f>1+0.01*INDEX([1]!ScenTempRostTarif_5,NScenRostTarif_5,AB$7)</f>
        <v>1.07</v>
      </c>
      <c r="AC12" s="354">
        <f>1+0.01*INDEX([1]!ScenTempRostTarif_5,NScenRostTarif_5,AC$7)</f>
        <v>1.06</v>
      </c>
      <c r="AD12" s="354">
        <f>1+0.01*INDEX([1]!ScenTempRostTarif_5,NScenRostTarif_5,AD$7)</f>
        <v>1.06</v>
      </c>
      <c r="AE12" s="354">
        <f>1+0.01*INDEX([1]!ScenTempRostTarif_5,NScenRostTarif_5,AE$7)</f>
        <v>1.069</v>
      </c>
      <c r="AF12" s="354">
        <f>1+0.01*INDEX([1]!ScenTempRostTarif_5,NScenRostTarif_5,AF$7)</f>
        <v>1.069</v>
      </c>
    </row>
    <row r="13" spans="1:32" ht="16.5" thickBot="1" x14ac:dyDescent="0.3">
      <c r="A13" s="111">
        <v>1.01</v>
      </c>
      <c r="C13">
        <v>6</v>
      </c>
      <c r="E13" t="s">
        <v>1</v>
      </c>
      <c r="F13" s="110">
        <v>1</v>
      </c>
      <c r="G13" s="368">
        <v>1.1624898733755784</v>
      </c>
      <c r="H13" s="368">
        <v>1.3991843860264914</v>
      </c>
      <c r="I13" s="368">
        <v>1.0995290629224261</v>
      </c>
      <c r="J13" s="368">
        <v>1.0907149262248308</v>
      </c>
      <c r="K13" s="368">
        <v>1.4817951496795398</v>
      </c>
      <c r="L13" s="368">
        <v>1.0482833063478225</v>
      </c>
      <c r="M13" s="368">
        <v>1.0455445544554456</v>
      </c>
      <c r="N13" s="368">
        <v>1.095</v>
      </c>
      <c r="O13" s="379">
        <f>1+0.01*INDEX([1]!ScenTempRostTarif_6,NScenRostTarif_6,O$7)</f>
        <v>1.1100000000000001</v>
      </c>
      <c r="P13" s="354">
        <f>1+0.01*INDEX([1]!ScenTempRostTarif_6,NScenRostTarif_6,P$7)</f>
        <v>1.1499999999999999</v>
      </c>
      <c r="Q13" s="354">
        <f>1+0.01*INDEX([1]!ScenTempRostTarif_6,NScenRostTarif_6,Q$7)</f>
        <v>1.165</v>
      </c>
      <c r="R13" s="354">
        <f>1+0.01*INDEX([1]!ScenTempRostTarif_6,NScenRostTarif_6,R$7)</f>
        <v>1.17</v>
      </c>
      <c r="S13" s="354">
        <f>1+0.01*INDEX([1]!ScenTempRostTarif_6,NScenRostTarif_6,S$7)</f>
        <v>1.1400000000000001</v>
      </c>
      <c r="T13" s="354">
        <f>1+0.01*INDEX([1]!ScenTempRostTarif_6,NScenRostTarif_6,T$7)</f>
        <v>1.1100000000000001</v>
      </c>
      <c r="U13" s="354">
        <f>1+0.01*INDEX([1]!ScenTempRostTarif_6,NScenRostTarif_6,U$7)</f>
        <v>1.0900000000000001</v>
      </c>
      <c r="V13" s="354">
        <f>1+0.01*INDEX([1]!ScenTempRostTarif_6,NScenRostTarif_6,V$7)</f>
        <v>1.07</v>
      </c>
      <c r="W13" s="354">
        <f>1+0.01*INDEX([1]!ScenTempRostTarif_6,NScenRostTarif_6,W$7)</f>
        <v>1.06</v>
      </c>
      <c r="X13" s="354">
        <f>1+0.01*INDEX([1]!ScenTempRostTarif_6,NScenRostTarif_6,X$7)</f>
        <v>1.0900000000000001</v>
      </c>
      <c r="Y13" s="354">
        <f>1+0.01*INDEX([1]!ScenTempRostTarif_6,NScenRostTarif_6,Y$7)</f>
        <v>1.1000000000000001</v>
      </c>
      <c r="Z13" s="354">
        <f>1+0.01*INDEX([1]!ScenTempRostTarif_6,NScenRostTarif_6,Z$7)</f>
        <v>1.0900000000000001</v>
      </c>
      <c r="AA13" s="354">
        <f>1+0.01*INDEX([1]!ScenTempRostTarif_6,NScenRostTarif_6,AA$7)</f>
        <v>1.0831999999999999</v>
      </c>
      <c r="AB13" s="354">
        <f>1+0.01*INDEX([1]!ScenTempRostTarif_6,NScenRostTarif_6,AB$7)</f>
        <v>1.07</v>
      </c>
      <c r="AC13" s="354">
        <f>1+0.01*INDEX([1]!ScenTempRostTarif_6,NScenRostTarif_6,AC$7)</f>
        <v>1.06</v>
      </c>
      <c r="AD13" s="354">
        <f>1+0.01*INDEX([1]!ScenTempRostTarif_6,NScenRostTarif_6,AD$7)</f>
        <v>1.06</v>
      </c>
      <c r="AE13" s="354">
        <f>1+0.01*INDEX([1]!ScenTempRostTarif_6,NScenRostTarif_6,AE$7)</f>
        <v>1.0695999999999999</v>
      </c>
      <c r="AF13" s="354">
        <f>1+0.01*INDEX([1]!ScenTempRostTarif_6,NScenRostTarif_6,AF$7)</f>
        <v>1.0695999999999999</v>
      </c>
    </row>
    <row r="14" spans="1:32" ht="16.5" thickBot="1" x14ac:dyDescent="0.3">
      <c r="A14" s="111">
        <v>1.1000000000000001</v>
      </c>
      <c r="C14">
        <v>7</v>
      </c>
      <c r="E14" t="s">
        <v>2</v>
      </c>
      <c r="F14" s="110">
        <v>1</v>
      </c>
      <c r="G14" s="368">
        <v>0.9517992893291698</v>
      </c>
      <c r="H14" s="368">
        <v>1.3930984555984556</v>
      </c>
      <c r="I14" s="368">
        <v>1.1758728035626154</v>
      </c>
      <c r="J14" s="368">
        <v>1.1740159248646456</v>
      </c>
      <c r="K14" s="368">
        <v>1.0542433055546183</v>
      </c>
      <c r="L14" s="368">
        <v>1.6385021872773464</v>
      </c>
      <c r="M14" s="368">
        <v>1.0353302611367126</v>
      </c>
      <c r="N14" s="368">
        <v>1.095</v>
      </c>
      <c r="O14" s="379">
        <f>1+0.01*INDEX([1]!ScenTempRostTarif_7,NScenRostTarif_7,O$7)</f>
        <v>1.1100000000000001</v>
      </c>
      <c r="P14" s="354">
        <f>1+0.01*INDEX([1]!ScenTempRostTarif_7,NScenRostTarif_7,P$7)</f>
        <v>1.1499999999999999</v>
      </c>
      <c r="Q14" s="354">
        <f>1+0.01*INDEX([1]!ScenTempRostTarif_7,NScenRostTarif_7,Q$7)</f>
        <v>1.165</v>
      </c>
      <c r="R14" s="354">
        <f>1+0.01*INDEX([1]!ScenTempRostTarif_7,NScenRostTarif_7,R$7)</f>
        <v>1.17</v>
      </c>
      <c r="S14" s="354">
        <f>1+0.01*INDEX([1]!ScenTempRostTarif_7,NScenRostTarif_7,S$7)</f>
        <v>1.1400000000000001</v>
      </c>
      <c r="T14" s="354">
        <f>1+0.01*INDEX([1]!ScenTempRostTarif_7,NScenRostTarif_7,T$7)</f>
        <v>1.1100000000000001</v>
      </c>
      <c r="U14" s="354">
        <f>1+0.01*INDEX([1]!ScenTempRostTarif_7,NScenRostTarif_7,U$7)</f>
        <v>1.0900000000000001</v>
      </c>
      <c r="V14" s="354">
        <f>1+0.01*INDEX([1]!ScenTempRostTarif_7,NScenRostTarif_7,V$7)</f>
        <v>1.07</v>
      </c>
      <c r="W14" s="354">
        <f>1+0.01*INDEX([1]!ScenTempRostTarif_7,NScenRostTarif_7,W$7)</f>
        <v>1.06</v>
      </c>
      <c r="X14" s="354">
        <f>1+0.01*INDEX([1]!ScenTempRostTarif_7,NScenRostTarif_7,X$7)</f>
        <v>1.0900000000000001</v>
      </c>
      <c r="Y14" s="354">
        <f>1+0.01*INDEX([1]!ScenTempRostTarif_7,NScenRostTarif_7,Y$7)</f>
        <v>1.1000000000000001</v>
      </c>
      <c r="Z14" s="354">
        <f>1+0.01*INDEX([1]!ScenTempRostTarif_7,NScenRostTarif_7,Z$7)</f>
        <v>1.0900000000000001</v>
      </c>
      <c r="AA14" s="354">
        <f>1+0.01*INDEX([1]!ScenTempRostTarif_7,NScenRostTarif_7,AA$7)</f>
        <v>1.0831999999999999</v>
      </c>
      <c r="AB14" s="354">
        <f>1+0.01*INDEX([1]!ScenTempRostTarif_7,NScenRostTarif_7,AB$7)</f>
        <v>1.07</v>
      </c>
      <c r="AC14" s="354">
        <f>1+0.01*INDEX([1]!ScenTempRostTarif_7,NScenRostTarif_7,AC$7)</f>
        <v>1.06</v>
      </c>
      <c r="AD14" s="354">
        <f>1+0.01*INDEX([1]!ScenTempRostTarif_7,NScenRostTarif_7,AD$7)</f>
        <v>1.06</v>
      </c>
      <c r="AE14" s="354">
        <f>1+0.01*INDEX([1]!ScenTempRostTarif_7,NScenRostTarif_7,AE$7)</f>
        <v>1.0702</v>
      </c>
      <c r="AF14" s="354">
        <f>1+0.01*INDEX([1]!ScenTempRostTarif_7,NScenRostTarif_7,AF$7)</f>
        <v>1.0702</v>
      </c>
    </row>
    <row r="16" spans="1:32" ht="15" x14ac:dyDescent="0.35">
      <c r="A16" s="122" t="s">
        <v>86</v>
      </c>
      <c r="B16" s="121" t="s">
        <v>224</v>
      </c>
    </row>
    <row r="17" spans="1:32" ht="15" x14ac:dyDescent="0.35">
      <c r="A17" s="123"/>
      <c r="B17" s="84"/>
    </row>
    <row r="18" spans="1:32" x14ac:dyDescent="0.2">
      <c r="E18" s="5" t="s">
        <v>25</v>
      </c>
    </row>
    <row r="19" spans="1:32" x14ac:dyDescent="0.2">
      <c r="A19">
        <v>2006</v>
      </c>
      <c r="B19" t="s">
        <v>33</v>
      </c>
      <c r="E19" s="5"/>
      <c r="F19" s="72">
        <v>2005</v>
      </c>
      <c r="G19">
        <v>2006</v>
      </c>
      <c r="H19">
        <v>2007</v>
      </c>
      <c r="I19">
        <v>2008</v>
      </c>
      <c r="J19">
        <v>2009</v>
      </c>
      <c r="K19">
        <v>2010</v>
      </c>
      <c r="L19">
        <v>2011</v>
      </c>
      <c r="M19">
        <v>2012</v>
      </c>
      <c r="N19">
        <v>2013</v>
      </c>
      <c r="O19" s="73">
        <v>2014</v>
      </c>
      <c r="P19">
        <v>2015</v>
      </c>
      <c r="Q19">
        <v>2016</v>
      </c>
      <c r="R19">
        <v>2017</v>
      </c>
      <c r="S19">
        <v>2018</v>
      </c>
      <c r="T19">
        <v>2019</v>
      </c>
      <c r="U19">
        <v>2020</v>
      </c>
      <c r="V19">
        <v>2021</v>
      </c>
      <c r="W19">
        <v>2022</v>
      </c>
      <c r="X19">
        <v>2023</v>
      </c>
      <c r="Y19">
        <v>2024</v>
      </c>
      <c r="Z19">
        <v>2025</v>
      </c>
      <c r="AA19">
        <v>2026</v>
      </c>
      <c r="AB19">
        <v>2027</v>
      </c>
      <c r="AC19">
        <v>2028</v>
      </c>
      <c r="AD19">
        <v>2029</v>
      </c>
      <c r="AE19">
        <v>2030</v>
      </c>
      <c r="AF19">
        <v>2031</v>
      </c>
    </row>
    <row r="20" spans="1:32" ht="13.5" thickBot="1" x14ac:dyDescent="0.25">
      <c r="A20" s="3">
        <v>1</v>
      </c>
      <c r="E20" s="5"/>
      <c r="G20" s="3">
        <v>1</v>
      </c>
      <c r="H20">
        <v>2</v>
      </c>
      <c r="I20">
        <v>3</v>
      </c>
      <c r="J20">
        <v>4</v>
      </c>
      <c r="K20">
        <v>5</v>
      </c>
      <c r="L20">
        <v>6</v>
      </c>
      <c r="M20">
        <v>7</v>
      </c>
      <c r="N20">
        <v>8</v>
      </c>
      <c r="O20" s="73">
        <v>9</v>
      </c>
      <c r="P20">
        <v>10</v>
      </c>
      <c r="Q20">
        <v>11</v>
      </c>
      <c r="R20">
        <v>12</v>
      </c>
      <c r="S20">
        <v>13</v>
      </c>
      <c r="T20">
        <v>14</v>
      </c>
      <c r="U20">
        <v>15</v>
      </c>
      <c r="V20">
        <v>16</v>
      </c>
      <c r="W20">
        <v>17</v>
      </c>
      <c r="X20">
        <v>18</v>
      </c>
      <c r="Y20">
        <v>19</v>
      </c>
      <c r="Z20">
        <v>20</v>
      </c>
      <c r="AA20">
        <v>21</v>
      </c>
      <c r="AB20">
        <v>22</v>
      </c>
      <c r="AC20">
        <v>23</v>
      </c>
      <c r="AD20">
        <v>24</v>
      </c>
      <c r="AE20">
        <v>25</v>
      </c>
      <c r="AF20">
        <v>26</v>
      </c>
    </row>
    <row r="21" spans="1:32" ht="16.5" thickBot="1" x14ac:dyDescent="0.3">
      <c r="A21" s="111">
        <v>0</v>
      </c>
      <c r="B21" s="64">
        <v>1</v>
      </c>
      <c r="C21">
        <v>1</v>
      </c>
      <c r="E21" t="s">
        <v>0</v>
      </c>
      <c r="F21" s="110">
        <v>0</v>
      </c>
      <c r="G21" s="111">
        <v>0</v>
      </c>
      <c r="H21" s="111">
        <v>0</v>
      </c>
      <c r="I21" s="111">
        <v>0</v>
      </c>
      <c r="J21" s="111">
        <v>0</v>
      </c>
      <c r="K21" s="111">
        <v>0</v>
      </c>
      <c r="L21" s="111">
        <v>0</v>
      </c>
      <c r="M21" s="111">
        <v>0</v>
      </c>
      <c r="N21" s="111">
        <v>0</v>
      </c>
      <c r="O21" s="144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</row>
    <row r="22" spans="1:32" ht="16.5" thickBot="1" x14ac:dyDescent="0.3">
      <c r="A22" s="125">
        <v>1.1052023121387282</v>
      </c>
      <c r="B22" s="64">
        <v>1</v>
      </c>
      <c r="C22">
        <v>2</v>
      </c>
      <c r="E22" t="s">
        <v>3</v>
      </c>
      <c r="F22" s="110">
        <v>1</v>
      </c>
      <c r="G22" s="125">
        <v>1.1052023121387282</v>
      </c>
      <c r="H22" s="125">
        <v>1.153765690376569</v>
      </c>
      <c r="I22" s="125">
        <v>1.2394741613780598</v>
      </c>
      <c r="J22" s="125">
        <v>1.0978392849305851</v>
      </c>
      <c r="K22" s="125">
        <v>1.052794989672863</v>
      </c>
      <c r="L22" s="125">
        <v>1.0125685065880239</v>
      </c>
      <c r="M22" s="125">
        <v>1.375</v>
      </c>
      <c r="N22" s="125">
        <v>1.5454545454545454</v>
      </c>
      <c r="O22" s="354">
        <f>1+INDEX([1]!ScenTempRostZarPl_2,NScenRostZPlat_2,управление!O$20)*0.01</f>
        <v>1.1100000000000001</v>
      </c>
      <c r="P22" s="354">
        <f>1+INDEX([1]!ScenTempRostZarPl_2,NScenRostZPlat_2,управление!P$20)*0.01</f>
        <v>1.1499999999999999</v>
      </c>
      <c r="Q22" s="354">
        <f>1+INDEX([1]!ScenTempRostZarPl_2,NScenRostZPlat_2,управление!Q$20)*0.01</f>
        <v>1.165</v>
      </c>
      <c r="R22" s="354">
        <f>1+INDEX([1]!ScenTempRostZarPl_2,NScenRostZPlat_2,управление!R$20)*0.01</f>
        <v>1.17</v>
      </c>
      <c r="S22" s="354">
        <f>1+INDEX([1]!ScenTempRostZarPl_2,NScenRostZPlat_2,управление!S$20)*0.01</f>
        <v>1.1400000000000001</v>
      </c>
      <c r="T22" s="354">
        <f>1+INDEX([1]!ScenTempRostZarPl_2,NScenRostZPlat_2,управление!T$20)*0.01</f>
        <v>1.1100000000000001</v>
      </c>
      <c r="U22" s="354">
        <f>1+INDEX([1]!ScenTempRostZarPl_2,NScenRostZPlat_2,управление!U$20)*0.01</f>
        <v>1.0900000000000001</v>
      </c>
      <c r="V22" s="354">
        <f>1+INDEX([1]!ScenTempRostZarPl_2,NScenRostZPlat_2,управление!V$20)*0.01</f>
        <v>1.07</v>
      </c>
      <c r="W22" s="354">
        <f>1+INDEX([1]!ScenTempRostZarPl_2,NScenRostZPlat_2,управление!W$20)*0.01</f>
        <v>1.06</v>
      </c>
      <c r="X22" s="354">
        <f>1+INDEX([1]!ScenTempRostZarPl_2,NScenRostZPlat_2,управление!X$20)*0.01</f>
        <v>1.0900000000000001</v>
      </c>
      <c r="Y22" s="354">
        <f>1+INDEX([1]!ScenTempRostZarPl_2,NScenRostZPlat_2,управление!Y$20)*0.01</f>
        <v>1.1000000000000001</v>
      </c>
      <c r="Z22" s="354">
        <f>1+INDEX([1]!ScenTempRostZarPl_2,NScenRostZPlat_2,управление!Z$20)*0.01</f>
        <v>1.0900000000000001</v>
      </c>
      <c r="AA22" s="354">
        <f>1+INDEX([1]!ScenTempRostZarPl_2,NScenRostZPlat_2,управление!AA$20)*0.01</f>
        <v>1.0831999999999999</v>
      </c>
      <c r="AB22" s="354">
        <f>1+INDEX([1]!ScenTempRostZarPl_2,NScenRostZPlat_2,управление!AB$20)*0.01</f>
        <v>1.07</v>
      </c>
      <c r="AC22" s="354">
        <f>1+INDEX([1]!ScenTempRostZarPl_2,NScenRostZPlat_2,управление!AC$20)*0.01</f>
        <v>1.06</v>
      </c>
      <c r="AD22" s="354">
        <f>1+INDEX([1]!ScenTempRostZarPl_2,NScenRostZPlat_2,управление!AD$20)*0.01</f>
        <v>1.06</v>
      </c>
      <c r="AE22" s="354">
        <f>1+INDEX([1]!ScenTempRostZarPl_2,NScenRostZPlat_2,управление!AE$20)*0.01</f>
        <v>1.0660000000000001</v>
      </c>
      <c r="AF22" s="354">
        <f>1+INDEX([1]!ScenTempRostZarPl_2,NScenRostZPlat_2,управление!AF$20)*0.01</f>
        <v>1.0660000000000001</v>
      </c>
    </row>
    <row r="23" spans="1:32" ht="16.5" thickBot="1" x14ac:dyDescent="0.3">
      <c r="A23" s="125">
        <v>1.0386538461538461</v>
      </c>
      <c r="B23" s="64">
        <v>1</v>
      </c>
      <c r="C23">
        <v>3</v>
      </c>
      <c r="E23" t="s">
        <v>4</v>
      </c>
      <c r="F23" s="110">
        <v>1</v>
      </c>
      <c r="G23" s="125">
        <v>1.0386538461538461</v>
      </c>
      <c r="H23" s="125">
        <v>1.0246374128247855</v>
      </c>
      <c r="I23" s="125">
        <v>1.2277529484044283</v>
      </c>
      <c r="J23" s="125">
        <v>1.0435844854146019</v>
      </c>
      <c r="K23" s="125">
        <v>1.0130595436211323</v>
      </c>
      <c r="L23" s="125">
        <v>1.1137097672346588</v>
      </c>
      <c r="M23" s="125">
        <v>1.0833333333333333</v>
      </c>
      <c r="N23" s="125">
        <v>1.0769230769230769</v>
      </c>
      <c r="O23" s="354">
        <f>1+INDEX([1]!ScenTempRostZarPl_3,NScenRostZPlat_3,управление!O$20)*0.01</f>
        <v>1.1100000000000001</v>
      </c>
      <c r="P23" s="354">
        <f>1+INDEX([1]!ScenTempRostZarPl_3,NScenRostZPlat_3,управление!P$20)*0.01</f>
        <v>1.1499999999999999</v>
      </c>
      <c r="Q23" s="354">
        <f>1+INDEX([1]!ScenTempRostZarPl_3,NScenRostZPlat_3,управление!Q$20)*0.01</f>
        <v>1.165</v>
      </c>
      <c r="R23" s="354">
        <f>1+INDEX([1]!ScenTempRostZarPl_3,NScenRostZPlat_3,управление!R$20)*0.01</f>
        <v>1.17</v>
      </c>
      <c r="S23" s="354">
        <f>1+INDEX([1]!ScenTempRostZarPl_3,NScenRostZPlat_3,управление!S$20)*0.01</f>
        <v>1.1400000000000001</v>
      </c>
      <c r="T23" s="354">
        <f>1+INDEX([1]!ScenTempRostZarPl_3,NScenRostZPlat_3,управление!T$20)*0.01</f>
        <v>1.1100000000000001</v>
      </c>
      <c r="U23" s="354">
        <f>1+INDEX([1]!ScenTempRostZarPl_3,NScenRostZPlat_3,управление!U$20)*0.01</f>
        <v>1.0900000000000001</v>
      </c>
      <c r="V23" s="354">
        <f>1+INDEX([1]!ScenTempRostZarPl_3,NScenRostZPlat_3,управление!V$20)*0.01</f>
        <v>1.07</v>
      </c>
      <c r="W23" s="354">
        <f>1+INDEX([1]!ScenTempRostZarPl_3,NScenRostZPlat_3,управление!W$20)*0.01</f>
        <v>1.06</v>
      </c>
      <c r="X23" s="354">
        <f>1+INDEX([1]!ScenTempRostZarPl_3,NScenRostZPlat_3,управление!X$20)*0.01</f>
        <v>1.0900000000000001</v>
      </c>
      <c r="Y23" s="354">
        <f>1+INDEX([1]!ScenTempRostZarPl_3,NScenRostZPlat_3,управление!Y$20)*0.01</f>
        <v>1.1000000000000001</v>
      </c>
      <c r="Z23" s="354">
        <f>1+INDEX([1]!ScenTempRostZarPl_3,NScenRostZPlat_3,управление!Z$20)*0.01</f>
        <v>1.0900000000000001</v>
      </c>
      <c r="AA23" s="354">
        <f>1+INDEX([1]!ScenTempRostZarPl_3,NScenRostZPlat_3,управление!AA$20)*0.01</f>
        <v>1.0831999999999999</v>
      </c>
      <c r="AB23" s="354">
        <f>1+INDEX([1]!ScenTempRostZarPl_3,NScenRostZPlat_3,управление!AB$20)*0.01</f>
        <v>1.07</v>
      </c>
      <c r="AC23" s="354">
        <f>1+INDEX([1]!ScenTempRostZarPl_3,NScenRostZPlat_3,управление!AC$20)*0.01</f>
        <v>1.06</v>
      </c>
      <c r="AD23" s="354">
        <f>1+INDEX([1]!ScenTempRostZarPl_3,NScenRostZPlat_3,управление!AD$20)*0.01</f>
        <v>1.06</v>
      </c>
      <c r="AE23" s="354">
        <f>1+INDEX([1]!ScenTempRostZarPl_3,NScenRostZPlat_3,управление!AE$20)*0.01</f>
        <v>1.0671999999999999</v>
      </c>
      <c r="AF23" s="354">
        <f>1+INDEX([1]!ScenTempRostZarPl_3,NScenRostZPlat_3,управление!AF$20)*0.01</f>
        <v>1.0671999999999999</v>
      </c>
    </row>
    <row r="24" spans="1:32" ht="16.5" thickBot="1" x14ac:dyDescent="0.3">
      <c r="A24" s="125">
        <v>1.2826696578799777</v>
      </c>
      <c r="B24" s="64">
        <v>1</v>
      </c>
      <c r="C24">
        <v>4</v>
      </c>
      <c r="E24" t="s">
        <v>5</v>
      </c>
      <c r="F24" s="110">
        <v>1</v>
      </c>
      <c r="G24" s="125">
        <v>1.2826696578799777</v>
      </c>
      <c r="H24" s="125">
        <v>1.2133799737647573</v>
      </c>
      <c r="I24" s="125">
        <v>1.2692001092001093</v>
      </c>
      <c r="J24" s="125">
        <v>1.086158981992136</v>
      </c>
      <c r="K24" s="125">
        <v>1.0498570195103016</v>
      </c>
      <c r="L24" s="125">
        <v>1.0563247444071378</v>
      </c>
      <c r="M24" s="125">
        <v>1.1428571428571428</v>
      </c>
      <c r="N24" s="125">
        <v>1.1875</v>
      </c>
      <c r="O24" s="354">
        <f>1+INDEX([1]!ScenTempRostZarPl_4,NScenRostZPlat_4,управление!O$20)*0.01</f>
        <v>1.1100000000000001</v>
      </c>
      <c r="P24" s="354">
        <f>1+INDEX([1]!ScenTempRostZarPl_4,NScenRostZPlat_4,управление!P$20)*0.01</f>
        <v>1.1499999999999999</v>
      </c>
      <c r="Q24" s="354">
        <f>1+INDEX([1]!ScenTempRostZarPl_4,NScenRostZPlat_4,управление!Q$20)*0.01</f>
        <v>1.165</v>
      </c>
      <c r="R24" s="354">
        <f>1+INDEX([1]!ScenTempRostZarPl_4,NScenRostZPlat_4,управление!R$20)*0.01</f>
        <v>1.17</v>
      </c>
      <c r="S24" s="354">
        <f>1+INDEX([1]!ScenTempRostZarPl_4,NScenRostZPlat_4,управление!S$20)*0.01</f>
        <v>1.1400000000000001</v>
      </c>
      <c r="T24" s="354">
        <f>1+INDEX([1]!ScenTempRostZarPl_4,NScenRostZPlat_4,управление!T$20)*0.01</f>
        <v>1.1100000000000001</v>
      </c>
      <c r="U24" s="354">
        <f>1+INDEX([1]!ScenTempRostZarPl_4,NScenRostZPlat_4,управление!U$20)*0.01</f>
        <v>1.0900000000000001</v>
      </c>
      <c r="V24" s="354">
        <f>1+INDEX([1]!ScenTempRostZarPl_4,NScenRostZPlat_4,управление!V$20)*0.01</f>
        <v>1.07</v>
      </c>
      <c r="W24" s="354">
        <f>1+INDEX([1]!ScenTempRostZarPl_4,NScenRostZPlat_4,управление!W$20)*0.01</f>
        <v>1.06</v>
      </c>
      <c r="X24" s="354">
        <f>1+INDEX([1]!ScenTempRostZarPl_4,NScenRostZPlat_4,управление!X$20)*0.01</f>
        <v>1.0900000000000001</v>
      </c>
      <c r="Y24" s="354">
        <f>1+INDEX([1]!ScenTempRostZarPl_4,NScenRostZPlat_4,управление!Y$20)*0.01</f>
        <v>1.1000000000000001</v>
      </c>
      <c r="Z24" s="354">
        <f>1+INDEX([1]!ScenTempRostZarPl_4,NScenRostZPlat_4,управление!Z$20)*0.01</f>
        <v>1.0900000000000001</v>
      </c>
      <c r="AA24" s="354">
        <f>1+INDEX([1]!ScenTempRostZarPl_4,NScenRostZPlat_4,управление!AA$20)*0.01</f>
        <v>1.0831999999999999</v>
      </c>
      <c r="AB24" s="354">
        <f>1+INDEX([1]!ScenTempRostZarPl_4,NScenRostZPlat_4,управление!AB$20)*0.01</f>
        <v>1.07</v>
      </c>
      <c r="AC24" s="354">
        <f>1+INDEX([1]!ScenTempRostZarPl_4,NScenRostZPlat_4,управление!AC$20)*0.01</f>
        <v>1.06</v>
      </c>
      <c r="AD24" s="354">
        <f>1+INDEX([1]!ScenTempRostZarPl_4,NScenRostZPlat_4,управление!AD$20)*0.01</f>
        <v>1.06</v>
      </c>
      <c r="AE24" s="354">
        <f>1+INDEX([1]!ScenTempRostZarPl_4,NScenRostZPlat_4,управление!AE$20)*0.01</f>
        <v>1.0678000000000001</v>
      </c>
      <c r="AF24" s="354">
        <f>1+INDEX([1]!ScenTempRostZarPl_4,NScenRostZPlat_4,управление!AF$20)*0.01</f>
        <v>1.0678000000000001</v>
      </c>
    </row>
    <row r="25" spans="1:32" ht="16.5" thickBot="1" x14ac:dyDescent="0.3">
      <c r="A25" s="125">
        <v>1.2826696578799777</v>
      </c>
      <c r="B25" s="64">
        <v>1</v>
      </c>
      <c r="C25">
        <v>5</v>
      </c>
      <c r="E25" t="s">
        <v>6</v>
      </c>
      <c r="F25" s="110">
        <v>1</v>
      </c>
      <c r="G25" s="125">
        <v>1.2826696578799777</v>
      </c>
      <c r="H25" s="125">
        <v>1.2133799737647573</v>
      </c>
      <c r="I25" s="125">
        <v>1.2692001092001093</v>
      </c>
      <c r="J25" s="125">
        <v>1.086158981992136</v>
      </c>
      <c r="K25" s="125">
        <v>1.0498570195103016</v>
      </c>
      <c r="L25" s="125">
        <v>1.1317765118647904</v>
      </c>
      <c r="M25" s="125">
        <v>1.2</v>
      </c>
      <c r="N25" s="125">
        <v>1.2777777777777777</v>
      </c>
      <c r="O25" s="354">
        <f>1+INDEX([1]!ScenTempRostZarPl_5,NScenRostZPlat_5,управление!O$20)*0.01</f>
        <v>1.1100000000000001</v>
      </c>
      <c r="P25" s="354">
        <f>1+INDEX([1]!ScenTempRostZarPl_5,NScenRostZPlat_5,управление!P$20)*0.01</f>
        <v>1.1499999999999999</v>
      </c>
      <c r="Q25" s="354">
        <f>1+INDEX([1]!ScenTempRostZarPl_5,NScenRostZPlat_5,управление!Q$20)*0.01</f>
        <v>1.165</v>
      </c>
      <c r="R25" s="354">
        <f>1+INDEX([1]!ScenTempRostZarPl_5,NScenRostZPlat_5,управление!R$20)*0.01</f>
        <v>1.17</v>
      </c>
      <c r="S25" s="354">
        <f>1+INDEX([1]!ScenTempRostZarPl_5,NScenRostZPlat_5,управление!S$20)*0.01</f>
        <v>1.1400000000000001</v>
      </c>
      <c r="T25" s="354">
        <f>1+INDEX([1]!ScenTempRostZarPl_5,NScenRostZPlat_5,управление!T$20)*0.01</f>
        <v>1.1100000000000001</v>
      </c>
      <c r="U25" s="354">
        <f>1+INDEX([1]!ScenTempRostZarPl_5,NScenRostZPlat_5,управление!U$20)*0.01</f>
        <v>1.0900000000000001</v>
      </c>
      <c r="V25" s="354">
        <f>1+INDEX([1]!ScenTempRostZarPl_5,NScenRostZPlat_5,управление!V$20)*0.01</f>
        <v>1.07</v>
      </c>
      <c r="W25" s="354">
        <f>1+INDEX([1]!ScenTempRostZarPl_5,NScenRostZPlat_5,управление!W$20)*0.01</f>
        <v>1.06</v>
      </c>
      <c r="X25" s="354">
        <f>1+INDEX([1]!ScenTempRostZarPl_5,NScenRostZPlat_5,управление!X$20)*0.01</f>
        <v>1.0900000000000001</v>
      </c>
      <c r="Y25" s="354">
        <f>1+INDEX([1]!ScenTempRostZarPl_5,NScenRostZPlat_5,управление!Y$20)*0.01</f>
        <v>1.1000000000000001</v>
      </c>
      <c r="Z25" s="354">
        <f>1+INDEX([1]!ScenTempRostZarPl_5,NScenRostZPlat_5,управление!Z$20)*0.01</f>
        <v>1.0900000000000001</v>
      </c>
      <c r="AA25" s="354">
        <f>1+INDEX([1]!ScenTempRostZarPl_5,NScenRostZPlat_5,управление!AA$20)*0.01</f>
        <v>1.0831999999999999</v>
      </c>
      <c r="AB25" s="354">
        <f>1+INDEX([1]!ScenTempRostZarPl_5,NScenRostZPlat_5,управление!AB$20)*0.01</f>
        <v>1.07</v>
      </c>
      <c r="AC25" s="354">
        <f>1+INDEX([1]!ScenTempRostZarPl_5,NScenRostZPlat_5,управление!AC$20)*0.01</f>
        <v>1.06</v>
      </c>
      <c r="AD25" s="354">
        <f>1+INDEX([1]!ScenTempRostZarPl_5,NScenRostZPlat_5,управление!AD$20)*0.01</f>
        <v>1.06</v>
      </c>
      <c r="AE25" s="354">
        <f>1+INDEX([1]!ScenTempRostZarPl_5,NScenRostZPlat_5,управление!AE$20)*0.01</f>
        <v>1.0684</v>
      </c>
      <c r="AF25" s="354">
        <f>1+INDEX([1]!ScenTempRostZarPl_5,NScenRostZPlat_5,управление!AF$20)*0.01</f>
        <v>1.0684</v>
      </c>
    </row>
    <row r="26" spans="1:32" ht="16.5" thickBot="1" x14ac:dyDescent="0.3">
      <c r="A26" s="125">
        <v>1.067764729805297</v>
      </c>
      <c r="B26" s="64">
        <v>1</v>
      </c>
      <c r="C26">
        <v>6</v>
      </c>
      <c r="E26" t="s">
        <v>1</v>
      </c>
      <c r="F26" s="110">
        <v>1</v>
      </c>
      <c r="G26" s="125">
        <v>1.067764729805297</v>
      </c>
      <c r="H26" s="125">
        <v>1.0713832285913794</v>
      </c>
      <c r="I26" s="125">
        <v>1.2587764775588801</v>
      </c>
      <c r="J26" s="125">
        <v>1.0431160273005413</v>
      </c>
      <c r="K26" s="125">
        <v>1.0192455214114886</v>
      </c>
      <c r="L26" s="125">
        <v>1.1068068622025458</v>
      </c>
      <c r="M26" s="125">
        <v>1.1000000000000001</v>
      </c>
      <c r="N26" s="125">
        <v>1.0909090909090908</v>
      </c>
      <c r="O26" s="354">
        <f>1+INDEX([1]!ScenTempRostZarPl_6,NScenRostZPlat_6,управление!O$20)*0.01</f>
        <v>1.1100000000000001</v>
      </c>
      <c r="P26" s="354">
        <f>1+INDEX([1]!ScenTempRostZarPl_6,NScenRostZPlat_6,управление!P$20)*0.01</f>
        <v>1.1499999999999999</v>
      </c>
      <c r="Q26" s="354">
        <f>1+INDEX([1]!ScenTempRostZarPl_6,NScenRostZPlat_6,управление!Q$20)*0.01</f>
        <v>1.165</v>
      </c>
      <c r="R26" s="354">
        <f>1+INDEX([1]!ScenTempRostZarPl_6,NScenRostZPlat_6,управление!R$20)*0.01</f>
        <v>1.17</v>
      </c>
      <c r="S26" s="354">
        <f>1+INDEX([1]!ScenTempRostZarPl_6,NScenRostZPlat_6,управление!S$20)*0.01</f>
        <v>1.1400000000000001</v>
      </c>
      <c r="T26" s="354">
        <f>1+INDEX([1]!ScenTempRostZarPl_6,NScenRostZPlat_6,управление!T$20)*0.01</f>
        <v>1.1100000000000001</v>
      </c>
      <c r="U26" s="354">
        <f>1+INDEX([1]!ScenTempRostZarPl_6,NScenRostZPlat_6,управление!U$20)*0.01</f>
        <v>1.0900000000000001</v>
      </c>
      <c r="V26" s="354">
        <f>1+INDEX([1]!ScenTempRostZarPl_6,NScenRostZPlat_6,управление!V$20)*0.01</f>
        <v>1.07</v>
      </c>
      <c r="W26" s="354">
        <f>1+INDEX([1]!ScenTempRostZarPl_6,NScenRostZPlat_6,управление!W$20)*0.01</f>
        <v>1.06</v>
      </c>
      <c r="X26" s="354">
        <f>1+INDEX([1]!ScenTempRostZarPl_6,NScenRostZPlat_6,управление!X$20)*0.01</f>
        <v>1.0900000000000001</v>
      </c>
      <c r="Y26" s="354">
        <f>1+INDEX([1]!ScenTempRostZarPl_6,NScenRostZPlat_6,управление!Y$20)*0.01</f>
        <v>1.1000000000000001</v>
      </c>
      <c r="Z26" s="354">
        <f>1+INDEX([1]!ScenTempRostZarPl_6,NScenRostZPlat_6,управление!Z$20)*0.01</f>
        <v>1.0900000000000001</v>
      </c>
      <c r="AA26" s="354">
        <f>1+INDEX([1]!ScenTempRostZarPl_6,NScenRostZPlat_6,управление!AA$20)*0.01</f>
        <v>1.0831999999999999</v>
      </c>
      <c r="AB26" s="354">
        <f>1+INDEX([1]!ScenTempRostZarPl_6,NScenRostZPlat_6,управление!AB$20)*0.01</f>
        <v>1.07</v>
      </c>
      <c r="AC26" s="354">
        <f>1+INDEX([1]!ScenTempRostZarPl_6,NScenRostZPlat_6,управление!AC$20)*0.01</f>
        <v>1.06</v>
      </c>
      <c r="AD26" s="354">
        <f>1+INDEX([1]!ScenTempRostZarPl_6,NScenRostZPlat_6,управление!AD$20)*0.01</f>
        <v>1.06</v>
      </c>
      <c r="AE26" s="354">
        <f>1+INDEX([1]!ScenTempRostZarPl_6,NScenRostZPlat_6,управление!AE$20)*0.01</f>
        <v>1.069</v>
      </c>
      <c r="AF26" s="354">
        <f>1+INDEX([1]!ScenTempRostZarPl_6,NScenRostZPlat_6,управление!AF$20)*0.01</f>
        <v>1.069</v>
      </c>
    </row>
    <row r="27" spans="1:32" ht="16.5" thickBot="1" x14ac:dyDescent="0.3">
      <c r="A27" s="125">
        <v>1.202116276304839</v>
      </c>
      <c r="B27" s="64">
        <v>1</v>
      </c>
      <c r="C27">
        <v>7</v>
      </c>
      <c r="E27" t="s">
        <v>2</v>
      </c>
      <c r="F27" s="110">
        <v>1</v>
      </c>
      <c r="G27" s="125">
        <v>1.202116276304839</v>
      </c>
      <c r="H27" s="125">
        <v>1.2316783700919791</v>
      </c>
      <c r="I27" s="125">
        <v>1.2908553151055258</v>
      </c>
      <c r="J27" s="125">
        <v>1.042372529910631</v>
      </c>
      <c r="K27" s="125">
        <v>1.2502561144209825</v>
      </c>
      <c r="L27" s="125">
        <v>1.0341919778523809</v>
      </c>
      <c r="M27" s="125">
        <v>1.0769230769230769</v>
      </c>
      <c r="N27" s="125">
        <v>1.1428571428571428</v>
      </c>
      <c r="O27" s="354">
        <f>1+INDEX([1]!ScenTempRostZarPl_7,NScenRostZPlat_7,управление!O$20)*0.01</f>
        <v>1.1100000000000001</v>
      </c>
      <c r="P27" s="354">
        <f>1+INDEX([1]!ScenTempRostZarPl_7,NScenRostZPlat_7,управление!P$20)*0.01</f>
        <v>1.1499999999999999</v>
      </c>
      <c r="Q27" s="354">
        <f>1+INDEX([1]!ScenTempRostZarPl_7,NScenRostZPlat_7,управление!Q$20)*0.01</f>
        <v>1.165</v>
      </c>
      <c r="R27" s="354">
        <f>1+INDEX([1]!ScenTempRostZarPl_7,NScenRostZPlat_7,управление!R$20)*0.01</f>
        <v>1.17</v>
      </c>
      <c r="S27" s="354">
        <f>1+INDEX([1]!ScenTempRostZarPl_7,NScenRostZPlat_7,управление!S$20)*0.01</f>
        <v>1.1400000000000001</v>
      </c>
      <c r="T27" s="354">
        <f>1+INDEX([1]!ScenTempRostZarPl_7,NScenRostZPlat_7,управление!T$20)*0.01</f>
        <v>1.1100000000000001</v>
      </c>
      <c r="U27" s="354">
        <f>1+INDEX([1]!ScenTempRostZarPl_7,NScenRostZPlat_7,управление!U$20)*0.01</f>
        <v>1.0900000000000001</v>
      </c>
      <c r="V27" s="354">
        <f>1+INDEX([1]!ScenTempRostZarPl_7,NScenRostZPlat_7,управление!V$20)*0.01</f>
        <v>1.07</v>
      </c>
      <c r="W27" s="354">
        <f>1+INDEX([1]!ScenTempRostZarPl_7,NScenRostZPlat_7,управление!W$20)*0.01</f>
        <v>1.06</v>
      </c>
      <c r="X27" s="354">
        <f>1+INDEX([1]!ScenTempRostZarPl_7,NScenRostZPlat_7,управление!X$20)*0.01</f>
        <v>1.0900000000000001</v>
      </c>
      <c r="Y27" s="354">
        <f>1+INDEX([1]!ScenTempRostZarPl_7,NScenRostZPlat_7,управление!Y$20)*0.01</f>
        <v>1.1000000000000001</v>
      </c>
      <c r="Z27" s="354">
        <f>1+INDEX([1]!ScenTempRostZarPl_7,NScenRostZPlat_7,управление!Z$20)*0.01</f>
        <v>1.0900000000000001</v>
      </c>
      <c r="AA27" s="354">
        <f>1+INDEX([1]!ScenTempRostZarPl_7,NScenRostZPlat_7,управление!AA$20)*0.01</f>
        <v>1.0831999999999999</v>
      </c>
      <c r="AB27" s="354">
        <f>1+INDEX([1]!ScenTempRostZarPl_7,NScenRostZPlat_7,управление!AB$20)*0.01</f>
        <v>1.07</v>
      </c>
      <c r="AC27" s="354">
        <f>1+INDEX([1]!ScenTempRostZarPl_7,NScenRostZPlat_7,управление!AC$20)*0.01</f>
        <v>1.06</v>
      </c>
      <c r="AD27" s="354">
        <f>1+INDEX([1]!ScenTempRostZarPl_7,NScenRostZPlat_7,управление!AD$20)*0.01</f>
        <v>1.06</v>
      </c>
      <c r="AE27" s="354">
        <f>1+INDEX([1]!ScenTempRostZarPl_7,NScenRostZPlat_7,управление!AE$20)*0.01</f>
        <v>1.0695999999999999</v>
      </c>
      <c r="AF27" s="354">
        <f>1+INDEX([1]!ScenTempRostZarPl_7,NScenRostZPlat_7,управление!AF$20)*0.01</f>
        <v>1.0695999999999999</v>
      </c>
    </row>
    <row r="28" spans="1:32" ht="15" x14ac:dyDescent="0.35">
      <c r="A28" s="123"/>
      <c r="B28" s="84"/>
    </row>
    <row r="29" spans="1:32" ht="15" x14ac:dyDescent="0.35">
      <c r="A29" s="123"/>
      <c r="B29" s="84"/>
    </row>
    <row r="30" spans="1:32" s="3" customFormat="1" ht="15.75" x14ac:dyDescent="0.25">
      <c r="A30" s="143" t="s">
        <v>128</v>
      </c>
      <c r="B30" s="142"/>
      <c r="F30" s="141"/>
      <c r="G30" s="141"/>
      <c r="H30" s="141"/>
      <c r="I30" s="141"/>
      <c r="J30" s="141"/>
      <c r="K30" s="141"/>
      <c r="L30" s="141"/>
      <c r="M30" s="141"/>
      <c r="N30" s="141"/>
      <c r="O30" s="145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09"/>
    </row>
    <row r="31" spans="1:32" s="3" customFormat="1" ht="15.75" x14ac:dyDescent="0.25">
      <c r="A31" s="65" t="s">
        <v>89</v>
      </c>
      <c r="B31" s="142"/>
      <c r="F31" s="141"/>
      <c r="G31" s="141"/>
      <c r="H31" s="141"/>
      <c r="I31" s="141"/>
      <c r="J31" s="141"/>
      <c r="K31" s="141"/>
      <c r="L31" s="141"/>
      <c r="M31" s="141"/>
      <c r="N31" s="141"/>
      <c r="O31" s="145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</row>
    <row r="32" spans="1:32" s="3" customFormat="1" ht="15.75" x14ac:dyDescent="0.25">
      <c r="A32" s="65" t="s">
        <v>88</v>
      </c>
      <c r="B32" s="142"/>
      <c r="F32" s="141"/>
      <c r="G32" s="141"/>
      <c r="H32" s="141"/>
      <c r="I32" s="141"/>
      <c r="J32" s="141"/>
      <c r="K32" s="141"/>
      <c r="L32" s="141"/>
      <c r="M32" s="141"/>
      <c r="N32" s="141"/>
      <c r="O32" s="145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</row>
    <row r="33" spans="1:32" s="3" customFormat="1" ht="15.75" x14ac:dyDescent="0.25">
      <c r="A33" s="65"/>
      <c r="B33" s="142"/>
      <c r="F33" s="141"/>
      <c r="G33" s="3">
        <v>2006</v>
      </c>
      <c r="H33" s="3">
        <v>2007</v>
      </c>
      <c r="I33" s="3">
        <v>2008</v>
      </c>
      <c r="J33" s="3">
        <v>2009</v>
      </c>
      <c r="K33" s="3">
        <v>2010</v>
      </c>
      <c r="L33" s="3">
        <v>2011</v>
      </c>
      <c r="M33" s="3">
        <v>2012</v>
      </c>
      <c r="N33" s="3">
        <v>2013</v>
      </c>
      <c r="O33" s="73">
        <v>2014</v>
      </c>
      <c r="P33">
        <v>2015</v>
      </c>
      <c r="Q33">
        <v>2016</v>
      </c>
      <c r="R33">
        <v>2017</v>
      </c>
      <c r="S33">
        <v>2018</v>
      </c>
      <c r="T33">
        <v>2019</v>
      </c>
      <c r="U33">
        <v>2020</v>
      </c>
      <c r="V33">
        <v>2021</v>
      </c>
      <c r="W33">
        <v>2022</v>
      </c>
      <c r="X33">
        <v>2023</v>
      </c>
      <c r="Y33">
        <v>2024</v>
      </c>
      <c r="Z33">
        <v>2025</v>
      </c>
      <c r="AA33">
        <v>2026</v>
      </c>
      <c r="AB33">
        <v>2027</v>
      </c>
      <c r="AC33">
        <v>2028</v>
      </c>
      <c r="AD33">
        <v>2029</v>
      </c>
      <c r="AE33">
        <v>2030</v>
      </c>
      <c r="AF33">
        <v>2031</v>
      </c>
    </row>
    <row r="34" spans="1:32" s="3" customFormat="1" ht="15.75" x14ac:dyDescent="0.25">
      <c r="C34" s="142"/>
      <c r="E34" s="146" t="s">
        <v>129</v>
      </c>
      <c r="G34" s="3">
        <v>1</v>
      </c>
      <c r="H34" s="3">
        <v>2</v>
      </c>
      <c r="I34" s="3">
        <v>3</v>
      </c>
      <c r="J34" s="3">
        <v>4</v>
      </c>
      <c r="K34" s="3">
        <v>5</v>
      </c>
      <c r="L34" s="3">
        <v>6</v>
      </c>
      <c r="M34" s="3">
        <v>7</v>
      </c>
      <c r="N34" s="3">
        <v>8</v>
      </c>
      <c r="O34" s="73">
        <v>9</v>
      </c>
      <c r="P34">
        <v>10</v>
      </c>
      <c r="Q34">
        <v>11</v>
      </c>
      <c r="R34">
        <v>12</v>
      </c>
      <c r="S34">
        <v>13</v>
      </c>
      <c r="T34">
        <v>14</v>
      </c>
      <c r="U34">
        <v>15</v>
      </c>
      <c r="V34">
        <v>16</v>
      </c>
      <c r="W34">
        <v>17</v>
      </c>
      <c r="X34">
        <v>18</v>
      </c>
      <c r="Y34">
        <v>19</v>
      </c>
      <c r="Z34">
        <v>20</v>
      </c>
      <c r="AA34">
        <v>21</v>
      </c>
      <c r="AB34">
        <v>22</v>
      </c>
      <c r="AC34">
        <v>23</v>
      </c>
      <c r="AD34">
        <v>24</v>
      </c>
      <c r="AE34">
        <v>25</v>
      </c>
      <c r="AF34">
        <v>26</v>
      </c>
    </row>
    <row r="35" spans="1:32" x14ac:dyDescent="0.2">
      <c r="F35" s="59"/>
      <c r="G35" s="59">
        <f>ПУЛЬТ!Z8</f>
        <v>0.7</v>
      </c>
      <c r="H35" s="59">
        <f>ПУЛЬТ!AA8</f>
        <v>0.7</v>
      </c>
      <c r="I35" s="59">
        <f>ПУЛЬТ!AB8</f>
        <v>0.7</v>
      </c>
      <c r="J35" s="59">
        <f>ПУЛЬТ!AC8</f>
        <v>0.6</v>
      </c>
      <c r="K35" s="59">
        <f>ПУЛЬТ!AD8</f>
        <v>0.6</v>
      </c>
      <c r="L35" s="59">
        <f>ПУЛЬТ!AE8</f>
        <v>0.7</v>
      </c>
      <c r="M35" s="59">
        <f>ПУЛЬТ!AF8</f>
        <v>0.6</v>
      </c>
      <c r="N35" s="59">
        <f>ПУЛЬТ!AG8</f>
        <v>0.6</v>
      </c>
      <c r="O35" s="59">
        <f>ПУЛЬТ!AH8</f>
        <v>0.8</v>
      </c>
      <c r="P35" s="59">
        <f>ПУЛЬТ!AI8</f>
        <v>0.8</v>
      </c>
      <c r="Q35" s="59">
        <f>ПУЛЬТ!AJ8</f>
        <v>0.8</v>
      </c>
      <c r="R35" s="59">
        <f>ПУЛЬТ!AK8</f>
        <v>0.8</v>
      </c>
      <c r="S35" s="59">
        <f>ПУЛЬТ!AL8</f>
        <v>0.8</v>
      </c>
      <c r="T35" s="59">
        <f>ПУЛЬТ!AM8</f>
        <v>0.8</v>
      </c>
      <c r="U35" s="59">
        <f>ПУЛЬТ!AN8</f>
        <v>0.8</v>
      </c>
      <c r="V35" s="59">
        <f>ПУЛЬТ!AO8</f>
        <v>0.8</v>
      </c>
      <c r="W35" s="59">
        <f>ПУЛЬТ!AP8</f>
        <v>0.8</v>
      </c>
      <c r="X35" s="59">
        <f>ПУЛЬТ!AQ8</f>
        <v>0.8</v>
      </c>
      <c r="Y35" s="59">
        <f>ПУЛЬТ!AR8</f>
        <v>0.8</v>
      </c>
      <c r="Z35" s="59">
        <f>ПУЛЬТ!AS8</f>
        <v>0.8</v>
      </c>
      <c r="AA35" s="59">
        <f>ПУЛЬТ!AT8</f>
        <v>0.8</v>
      </c>
      <c r="AB35" s="59">
        <f>ПУЛЬТ!AU8</f>
        <v>0.8</v>
      </c>
      <c r="AC35" s="59">
        <f>ПУЛЬТ!AV8</f>
        <v>0.8</v>
      </c>
      <c r="AD35" s="59">
        <f>ПУЛЬТ!AW8</f>
        <v>0.8</v>
      </c>
      <c r="AE35" s="59">
        <f>ПУЛЬТ!AX8</f>
        <v>0.8</v>
      </c>
      <c r="AF35" s="59">
        <f>ПУЛЬТ!AY8</f>
        <v>0.8</v>
      </c>
    </row>
    <row r="36" spans="1:32" s="3" customFormat="1" ht="15.75" x14ac:dyDescent="0.25">
      <c r="B36" s="142"/>
      <c r="F36" s="141"/>
      <c r="G36" s="141"/>
      <c r="H36" s="141"/>
      <c r="I36" s="141"/>
      <c r="J36" s="141"/>
      <c r="K36" s="141"/>
      <c r="L36" s="141"/>
      <c r="M36" s="141"/>
      <c r="N36" s="141"/>
      <c r="O36" s="73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</row>
    <row r="37" spans="1:32" s="3" customFormat="1" ht="15.75" x14ac:dyDescent="0.25">
      <c r="B37" s="142"/>
      <c r="F37" s="141"/>
      <c r="G37" s="141"/>
      <c r="H37" s="141"/>
      <c r="I37" s="141"/>
      <c r="J37" s="141"/>
      <c r="K37" s="141"/>
      <c r="L37" s="141"/>
      <c r="M37" s="141"/>
      <c r="N37" s="141"/>
      <c r="O37" s="145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</row>
    <row r="38" spans="1:32" s="3" customFormat="1" ht="15.75" x14ac:dyDescent="0.25">
      <c r="A38" s="65" t="s">
        <v>105</v>
      </c>
      <c r="B38" s="142"/>
      <c r="F38" s="141"/>
      <c r="G38" s="141"/>
      <c r="H38" s="141"/>
      <c r="I38" s="141"/>
      <c r="J38" s="141"/>
      <c r="K38" s="141"/>
      <c r="L38" s="141"/>
      <c r="M38" s="141"/>
      <c r="N38" s="141"/>
      <c r="O38" s="145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</row>
    <row r="39" spans="1:32" s="3" customFormat="1" ht="15.75" x14ac:dyDescent="0.25">
      <c r="A39" s="65" t="s">
        <v>131</v>
      </c>
      <c r="B39" s="142"/>
      <c r="F39" s="141"/>
      <c r="G39" s="141"/>
      <c r="H39" s="141"/>
      <c r="I39" s="141"/>
      <c r="J39" s="141"/>
      <c r="K39" s="141"/>
      <c r="L39" s="141"/>
      <c r="M39" s="141"/>
      <c r="N39" s="141"/>
      <c r="O39" s="145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</row>
    <row r="40" spans="1:32" s="3" customFormat="1" ht="15.75" x14ac:dyDescent="0.25">
      <c r="A40" s="136"/>
      <c r="B40" s="142"/>
      <c r="F40" s="141"/>
      <c r="G40" s="141"/>
      <c r="H40" s="141"/>
      <c r="I40" s="141"/>
      <c r="J40" s="141"/>
      <c r="K40" s="141"/>
      <c r="L40" s="141"/>
      <c r="M40" s="141"/>
      <c r="N40" s="141"/>
      <c r="O40" s="145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</row>
    <row r="41" spans="1:32" s="3" customFormat="1" ht="15.75" x14ac:dyDescent="0.25">
      <c r="A41" s="65"/>
      <c r="B41" s="142"/>
      <c r="F41" s="141"/>
      <c r="G41" s="3">
        <v>2006</v>
      </c>
      <c r="H41" s="3">
        <v>2007</v>
      </c>
      <c r="I41" s="3">
        <v>2008</v>
      </c>
      <c r="J41" s="3">
        <v>2009</v>
      </c>
      <c r="K41" s="3">
        <v>2010</v>
      </c>
      <c r="L41" s="3">
        <v>2011</v>
      </c>
      <c r="M41" s="3">
        <v>2012</v>
      </c>
      <c r="N41" s="3">
        <v>2013</v>
      </c>
      <c r="O41" s="73">
        <v>2014</v>
      </c>
      <c r="P41">
        <v>2015</v>
      </c>
      <c r="Q41">
        <v>2016</v>
      </c>
      <c r="R41">
        <v>2017</v>
      </c>
      <c r="S41">
        <v>2018</v>
      </c>
      <c r="T41">
        <v>2019</v>
      </c>
      <c r="U41">
        <v>2020</v>
      </c>
      <c r="V41">
        <v>2021</v>
      </c>
      <c r="W41">
        <v>2022</v>
      </c>
      <c r="X41">
        <v>2023</v>
      </c>
      <c r="Y41">
        <v>2024</v>
      </c>
      <c r="Z41">
        <v>2025</v>
      </c>
      <c r="AA41">
        <v>2026</v>
      </c>
      <c r="AB41">
        <v>2027</v>
      </c>
      <c r="AC41">
        <v>2028</v>
      </c>
      <c r="AD41">
        <v>2029</v>
      </c>
      <c r="AE41">
        <v>2030</v>
      </c>
      <c r="AF41">
        <v>2031</v>
      </c>
    </row>
    <row r="42" spans="1:32" s="3" customFormat="1" ht="15.75" x14ac:dyDescent="0.25">
      <c r="C42" s="142"/>
      <c r="G42" s="3">
        <v>1</v>
      </c>
      <c r="H42" s="3">
        <v>2</v>
      </c>
      <c r="I42" s="3">
        <v>3</v>
      </c>
      <c r="J42" s="3">
        <v>4</v>
      </c>
      <c r="K42" s="3">
        <v>5</v>
      </c>
      <c r="L42" s="3">
        <v>6</v>
      </c>
      <c r="M42" s="3">
        <v>7</v>
      </c>
      <c r="N42" s="3">
        <v>8</v>
      </c>
      <c r="O42" s="73">
        <v>9</v>
      </c>
      <c r="P42">
        <v>10</v>
      </c>
      <c r="Q42">
        <v>11</v>
      </c>
      <c r="R42">
        <v>12</v>
      </c>
      <c r="S42">
        <v>13</v>
      </c>
      <c r="T42">
        <v>14</v>
      </c>
      <c r="U42">
        <v>15</v>
      </c>
      <c r="V42">
        <v>16</v>
      </c>
      <c r="W42">
        <v>17</v>
      </c>
      <c r="X42">
        <v>18</v>
      </c>
      <c r="Y42">
        <v>19</v>
      </c>
      <c r="Z42">
        <v>20</v>
      </c>
      <c r="AA42">
        <v>21</v>
      </c>
      <c r="AB42">
        <v>22</v>
      </c>
      <c r="AC42">
        <v>23</v>
      </c>
      <c r="AD42">
        <v>24</v>
      </c>
      <c r="AE42">
        <v>25</v>
      </c>
      <c r="AF42">
        <v>26</v>
      </c>
    </row>
    <row r="43" spans="1:32" x14ac:dyDescent="0.2">
      <c r="E43" s="146" t="s">
        <v>132</v>
      </c>
      <c r="F43" s="59"/>
      <c r="G43" s="59">
        <f>ПУЛЬТ!Z63</f>
        <v>0.7</v>
      </c>
      <c r="H43" s="59">
        <f>ПУЛЬТ!AA63</f>
        <v>0.7</v>
      </c>
      <c r="I43" s="59">
        <f>ПУЛЬТ!AB63</f>
        <v>0.7</v>
      </c>
      <c r="J43" s="59">
        <f>ПУЛЬТ!AC63</f>
        <v>0.7</v>
      </c>
      <c r="K43" s="59">
        <f>ПУЛЬТ!AD63</f>
        <v>0.7</v>
      </c>
      <c r="L43" s="59">
        <f>ПУЛЬТ!AE63</f>
        <v>0.7</v>
      </c>
      <c r="M43" s="59">
        <f>ПУЛЬТ!AF63</f>
        <v>0.7</v>
      </c>
      <c r="N43" s="59">
        <f>ПУЛЬТ!AG63</f>
        <v>0.7</v>
      </c>
      <c r="O43" s="59">
        <f>ПУЛЬТ!AH63</f>
        <v>0.7</v>
      </c>
      <c r="P43" s="59">
        <f>ПУЛЬТ!AI63</f>
        <v>0.7</v>
      </c>
      <c r="Q43" s="59">
        <f>ПУЛЬТ!AJ63</f>
        <v>0.7</v>
      </c>
      <c r="R43" s="59">
        <f>ПУЛЬТ!AK63</f>
        <v>0.7</v>
      </c>
      <c r="S43" s="59">
        <f>ПУЛЬТ!AL63</f>
        <v>0.7</v>
      </c>
      <c r="T43" s="59">
        <f>ПУЛЬТ!AM63</f>
        <v>0.7</v>
      </c>
      <c r="U43" s="59">
        <f>ПУЛЬТ!AN63</f>
        <v>0.7</v>
      </c>
      <c r="V43" s="59">
        <f>ПУЛЬТ!AO63</f>
        <v>0.7</v>
      </c>
      <c r="W43" s="59">
        <f>ПУЛЬТ!AP63</f>
        <v>0.7</v>
      </c>
      <c r="X43" s="59">
        <f>ПУЛЬТ!AQ63</f>
        <v>0.7</v>
      </c>
      <c r="Y43" s="59">
        <f>ПУЛЬТ!AR63</f>
        <v>0.7</v>
      </c>
      <c r="Z43" s="59">
        <f>ПУЛЬТ!AS63</f>
        <v>0.7</v>
      </c>
      <c r="AA43" s="59">
        <f>ПУЛЬТ!AT63</f>
        <v>0.7</v>
      </c>
      <c r="AB43" s="59">
        <f>ПУЛЬТ!AU63</f>
        <v>0.7</v>
      </c>
      <c r="AC43" s="59">
        <f>ПУЛЬТ!AV63</f>
        <v>0.7</v>
      </c>
      <c r="AD43" s="59">
        <f>ПУЛЬТ!AW63</f>
        <v>0.7</v>
      </c>
      <c r="AE43" s="59">
        <f>ПУЛЬТ!AX63</f>
        <v>0.7</v>
      </c>
      <c r="AF43" s="59">
        <f>ПУЛЬТ!AY63</f>
        <v>0.7</v>
      </c>
    </row>
    <row r="44" spans="1:32" s="3" customFormat="1" ht="15.75" x14ac:dyDescent="0.25">
      <c r="C44"/>
      <c r="E44"/>
      <c r="G44" s="59"/>
      <c r="H44" s="59"/>
      <c r="I44" s="59"/>
      <c r="J44" s="59"/>
      <c r="K44" s="59"/>
      <c r="L44" s="59"/>
      <c r="M44" s="59"/>
      <c r="N44" s="59"/>
      <c r="O44" s="152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141"/>
    </row>
    <row r="45" spans="1:32" s="3" customFormat="1" ht="15.75" x14ac:dyDescent="0.25">
      <c r="C45"/>
      <c r="E45"/>
      <c r="G45" s="59"/>
      <c r="H45" s="59"/>
      <c r="I45" s="59"/>
      <c r="J45" s="59"/>
      <c r="K45" s="59"/>
      <c r="L45" s="59"/>
      <c r="M45" s="59"/>
      <c r="N45" s="59"/>
      <c r="O45" s="152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141"/>
    </row>
    <row r="46" spans="1:32" s="3" customFormat="1" ht="15.75" x14ac:dyDescent="0.25">
      <c r="C46"/>
      <c r="E46"/>
      <c r="G46" s="59"/>
      <c r="H46" s="59"/>
      <c r="I46" s="59"/>
      <c r="J46" s="59"/>
      <c r="K46" s="59"/>
      <c r="L46" s="59"/>
      <c r="M46" s="59"/>
      <c r="N46" s="59"/>
      <c r="O46" s="152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141"/>
    </row>
    <row r="47" spans="1:32" s="3" customFormat="1" ht="16.5" thickBot="1" x14ac:dyDescent="0.3">
      <c r="A47" s="65"/>
      <c r="B47" s="142"/>
      <c r="E47"/>
      <c r="F47"/>
      <c r="G47">
        <v>1</v>
      </c>
      <c r="H47">
        <v>2</v>
      </c>
      <c r="I47">
        <v>3</v>
      </c>
      <c r="J47">
        <v>4</v>
      </c>
      <c r="K47">
        <v>5</v>
      </c>
      <c r="L47">
        <v>6</v>
      </c>
      <c r="M47">
        <v>7</v>
      </c>
      <c r="N47">
        <v>8</v>
      </c>
      <c r="O47">
        <v>9</v>
      </c>
      <c r="P47">
        <v>10</v>
      </c>
      <c r="Q47">
        <v>11</v>
      </c>
      <c r="R47">
        <v>12</v>
      </c>
      <c r="S47">
        <v>13</v>
      </c>
      <c r="T47">
        <v>14</v>
      </c>
      <c r="U47">
        <v>15</v>
      </c>
      <c r="V47">
        <v>16</v>
      </c>
      <c r="W47">
        <v>17</v>
      </c>
      <c r="X47">
        <v>18</v>
      </c>
      <c r="Y47">
        <v>19</v>
      </c>
      <c r="Z47">
        <v>20</v>
      </c>
      <c r="AA47">
        <v>21</v>
      </c>
      <c r="AB47">
        <v>22</v>
      </c>
      <c r="AC47">
        <v>23</v>
      </c>
      <c r="AD47">
        <v>24</v>
      </c>
      <c r="AE47">
        <v>25</v>
      </c>
      <c r="AF47">
        <v>26</v>
      </c>
    </row>
    <row r="48" spans="1:32" s="3" customFormat="1" ht="16.5" thickBot="1" x14ac:dyDescent="0.3">
      <c r="A48" s="65" t="s">
        <v>165</v>
      </c>
      <c r="B48" s="142"/>
      <c r="E48"/>
      <c r="F48" t="s">
        <v>0</v>
      </c>
      <c r="G48" s="204">
        <f>ПУЛЬТ!Z52</f>
        <v>0.75</v>
      </c>
      <c r="H48" s="204">
        <f>ПУЛЬТ!AA52</f>
        <v>0.86499999999999999</v>
      </c>
      <c r="I48" s="204">
        <f>ПУЛЬТ!AB52</f>
        <v>0.4</v>
      </c>
      <c r="J48" s="204">
        <f>ПУЛЬТ!AC52</f>
        <v>0.5</v>
      </c>
      <c r="K48" s="204">
        <f>ПУЛЬТ!AD52</f>
        <v>0.5</v>
      </c>
      <c r="L48" s="204">
        <f>ПУЛЬТ!AE52</f>
        <v>0</v>
      </c>
      <c r="M48" s="204">
        <f>ПУЛЬТ!AF52</f>
        <v>1</v>
      </c>
      <c r="N48" s="204">
        <f>ПУЛЬТ!AG52</f>
        <v>0.95</v>
      </c>
      <c r="O48" s="204">
        <f>ПУЛЬТ!AH52</f>
        <v>0.7</v>
      </c>
      <c r="P48" s="204">
        <f>ПУЛЬТ!AI52</f>
        <v>0.7</v>
      </c>
      <c r="Q48" s="204">
        <f>ПУЛЬТ!AJ52</f>
        <v>0.7</v>
      </c>
      <c r="R48" s="204">
        <f>ПУЛЬТ!AK52</f>
        <v>0.7</v>
      </c>
      <c r="S48" s="204">
        <f>ПУЛЬТ!AL52</f>
        <v>0.7</v>
      </c>
      <c r="T48" s="204">
        <f>ПУЛЬТ!AM52</f>
        <v>0.7</v>
      </c>
      <c r="U48" s="204">
        <f>ПУЛЬТ!AN52</f>
        <v>0.7</v>
      </c>
      <c r="V48" s="204">
        <f>ПУЛЬТ!AO52</f>
        <v>0.7</v>
      </c>
      <c r="W48" s="204">
        <f>ПУЛЬТ!AP52</f>
        <v>0.7</v>
      </c>
      <c r="X48" s="204">
        <f>ПУЛЬТ!AQ52</f>
        <v>0.7</v>
      </c>
      <c r="Y48" s="204">
        <f>ПУЛЬТ!AR52</f>
        <v>0.7</v>
      </c>
      <c r="Z48" s="204">
        <f>ПУЛЬТ!AS52</f>
        <v>0.7</v>
      </c>
      <c r="AA48" s="204">
        <f>ПУЛЬТ!AT52</f>
        <v>0.7</v>
      </c>
      <c r="AB48" s="204">
        <f>ПУЛЬТ!AU52</f>
        <v>0.7</v>
      </c>
      <c r="AC48" s="204">
        <f>ПУЛЬТ!AV52</f>
        <v>0.7</v>
      </c>
      <c r="AD48" s="204">
        <f>ПУЛЬТ!AW52</f>
        <v>0.7</v>
      </c>
      <c r="AE48" s="204">
        <f>ПУЛЬТ!AX52</f>
        <v>0.7</v>
      </c>
      <c r="AF48" s="204">
        <f>ПУЛЬТ!AY52</f>
        <v>0.7</v>
      </c>
    </row>
    <row r="49" spans="1:32" s="3" customFormat="1" ht="16.5" thickBot="1" x14ac:dyDescent="0.3">
      <c r="A49" s="203" t="s">
        <v>166</v>
      </c>
      <c r="B49" s="142"/>
      <c r="E49"/>
      <c r="F49" t="s">
        <v>3</v>
      </c>
      <c r="G49" s="204">
        <f>ПУЛЬТ!Z53</f>
        <v>0.33</v>
      </c>
      <c r="H49" s="204">
        <f>ПУЛЬТ!AA53</f>
        <v>0.5</v>
      </c>
      <c r="I49" s="204">
        <f>ПУЛЬТ!AB53</f>
        <v>1</v>
      </c>
      <c r="J49" s="204">
        <f>ПУЛЬТ!AC53</f>
        <v>0.5</v>
      </c>
      <c r="K49" s="204">
        <f>ПУЛЬТ!AD53</f>
        <v>1</v>
      </c>
      <c r="L49" s="204">
        <f>ПУЛЬТ!AE53</f>
        <v>1</v>
      </c>
      <c r="M49" s="204">
        <f>ПУЛЬТ!AF53</f>
        <v>0.5</v>
      </c>
      <c r="N49" s="204">
        <f>ПУЛЬТ!AG53</f>
        <v>0.5</v>
      </c>
      <c r="O49" s="204">
        <f>ПУЛЬТ!AH53</f>
        <v>0.7</v>
      </c>
      <c r="P49" s="204">
        <f>ПУЛЬТ!AI53</f>
        <v>0.7</v>
      </c>
      <c r="Q49" s="204">
        <f>ПУЛЬТ!AJ53</f>
        <v>0.7</v>
      </c>
      <c r="R49" s="204">
        <f>ПУЛЬТ!AK53</f>
        <v>0.7</v>
      </c>
      <c r="S49" s="204">
        <f>ПУЛЬТ!AL53</f>
        <v>0.7</v>
      </c>
      <c r="T49" s="204">
        <f>ПУЛЬТ!AM53</f>
        <v>0.7</v>
      </c>
      <c r="U49" s="204">
        <f>ПУЛЬТ!AN53</f>
        <v>0.7</v>
      </c>
      <c r="V49" s="204">
        <f>ПУЛЬТ!AO53</f>
        <v>0.7</v>
      </c>
      <c r="W49" s="204">
        <f>ПУЛЬТ!AP53</f>
        <v>0.7</v>
      </c>
      <c r="X49" s="204">
        <f>ПУЛЬТ!AQ53</f>
        <v>0.7</v>
      </c>
      <c r="Y49" s="204">
        <f>ПУЛЬТ!AR53</f>
        <v>0.7</v>
      </c>
      <c r="Z49" s="204">
        <f>ПУЛЬТ!AS53</f>
        <v>0.7</v>
      </c>
      <c r="AA49" s="204">
        <f>ПУЛЬТ!AT53</f>
        <v>0.7</v>
      </c>
      <c r="AB49" s="204">
        <f>ПУЛЬТ!AU53</f>
        <v>0.7</v>
      </c>
      <c r="AC49" s="204">
        <f>ПУЛЬТ!AV53</f>
        <v>0.7</v>
      </c>
      <c r="AD49" s="204">
        <f>ПУЛЬТ!AW53</f>
        <v>0.7</v>
      </c>
      <c r="AE49" s="204">
        <f>ПУЛЬТ!AX53</f>
        <v>0.7</v>
      </c>
      <c r="AF49" s="204">
        <f>ПУЛЬТ!AY53</f>
        <v>0.7</v>
      </c>
    </row>
    <row r="50" spans="1:32" s="3" customFormat="1" ht="16.5" thickBot="1" x14ac:dyDescent="0.3">
      <c r="A50" s="65"/>
      <c r="B50" s="142"/>
      <c r="E50"/>
      <c r="F50" t="s">
        <v>4</v>
      </c>
      <c r="G50" s="204">
        <f>ПУЛЬТ!Z54</f>
        <v>0.5</v>
      </c>
      <c r="H50" s="204">
        <f>ПУЛЬТ!AA54</f>
        <v>0.5</v>
      </c>
      <c r="I50" s="204">
        <f>ПУЛЬТ!AB54</f>
        <v>1</v>
      </c>
      <c r="J50" s="204">
        <f>ПУЛЬТ!AC54</f>
        <v>0.5</v>
      </c>
      <c r="K50" s="204">
        <f>ПУЛЬТ!AD54</f>
        <v>1</v>
      </c>
      <c r="L50" s="204">
        <f>ПУЛЬТ!AE54</f>
        <v>1</v>
      </c>
      <c r="M50" s="204">
        <f>ПУЛЬТ!AF54</f>
        <v>1</v>
      </c>
      <c r="N50" s="204">
        <f>ПУЛЬТ!AG54</f>
        <v>0.77</v>
      </c>
      <c r="O50" s="204">
        <f>ПУЛЬТ!AH54</f>
        <v>0.75</v>
      </c>
      <c r="P50" s="204">
        <f>ПУЛЬТ!AI54</f>
        <v>0.75</v>
      </c>
      <c r="Q50" s="204">
        <f>ПУЛЬТ!AJ54</f>
        <v>0.75</v>
      </c>
      <c r="R50" s="204">
        <f>ПУЛЬТ!AK54</f>
        <v>0.75</v>
      </c>
      <c r="S50" s="204">
        <f>ПУЛЬТ!AL54</f>
        <v>0.75</v>
      </c>
      <c r="T50" s="204">
        <f>ПУЛЬТ!AM54</f>
        <v>0.75</v>
      </c>
      <c r="U50" s="204">
        <f>ПУЛЬТ!AN54</f>
        <v>0.75</v>
      </c>
      <c r="V50" s="204">
        <f>ПУЛЬТ!AO54</f>
        <v>0.75</v>
      </c>
      <c r="W50" s="204">
        <f>ПУЛЬТ!AP54</f>
        <v>0.75</v>
      </c>
      <c r="X50" s="204">
        <f>ПУЛЬТ!AQ54</f>
        <v>0.75</v>
      </c>
      <c r="Y50" s="204">
        <f>ПУЛЬТ!AR54</f>
        <v>0.75</v>
      </c>
      <c r="Z50" s="204">
        <f>ПУЛЬТ!AS54</f>
        <v>0.75</v>
      </c>
      <c r="AA50" s="204">
        <f>ПУЛЬТ!AT54</f>
        <v>0.75</v>
      </c>
      <c r="AB50" s="204">
        <f>ПУЛЬТ!AU54</f>
        <v>0.75</v>
      </c>
      <c r="AC50" s="204">
        <f>ПУЛЬТ!AV54</f>
        <v>0.75</v>
      </c>
      <c r="AD50" s="204">
        <f>ПУЛЬТ!AW54</f>
        <v>0.75</v>
      </c>
      <c r="AE50" s="204">
        <f>ПУЛЬТ!AX54</f>
        <v>0.75</v>
      </c>
      <c r="AF50" s="204">
        <f>ПУЛЬТ!AY54</f>
        <v>0.75</v>
      </c>
    </row>
    <row r="51" spans="1:32" s="3" customFormat="1" ht="16.5" thickBot="1" x14ac:dyDescent="0.3">
      <c r="A51" s="65"/>
      <c r="B51" s="142"/>
      <c r="E51"/>
      <c r="F51" t="s">
        <v>5</v>
      </c>
      <c r="G51" s="204">
        <f>ПУЛЬТ!Z55</f>
        <v>1</v>
      </c>
      <c r="H51" s="204">
        <f>ПУЛЬТ!AA55</f>
        <v>0.55000000000000004</v>
      </c>
      <c r="I51" s="204">
        <f>ПУЛЬТ!AB55</f>
        <v>0.5</v>
      </c>
      <c r="J51" s="204">
        <f>ПУЛЬТ!AC55</f>
        <v>1</v>
      </c>
      <c r="K51" s="204">
        <f>ПУЛЬТ!AD55</f>
        <v>0.6</v>
      </c>
      <c r="L51" s="204">
        <f>ПУЛЬТ!AE55</f>
        <v>0.7</v>
      </c>
      <c r="M51" s="204">
        <f>ПУЛЬТ!AF55</f>
        <v>0.5</v>
      </c>
      <c r="N51" s="204">
        <f>ПУЛЬТ!AG55</f>
        <v>0.5</v>
      </c>
      <c r="O51" s="204">
        <f>ПУЛЬТ!AH55</f>
        <v>0.65</v>
      </c>
      <c r="P51" s="204">
        <f>ПУЛЬТ!AI55</f>
        <v>0.65</v>
      </c>
      <c r="Q51" s="204">
        <f>ПУЛЬТ!AJ55</f>
        <v>0.65</v>
      </c>
      <c r="R51" s="204">
        <f>ПУЛЬТ!AK55</f>
        <v>0.65</v>
      </c>
      <c r="S51" s="204">
        <f>ПУЛЬТ!AL55</f>
        <v>0.65</v>
      </c>
      <c r="T51" s="204">
        <f>ПУЛЬТ!AM55</f>
        <v>0.65</v>
      </c>
      <c r="U51" s="204">
        <f>ПУЛЬТ!AN55</f>
        <v>0.65</v>
      </c>
      <c r="V51" s="204">
        <f>ПУЛЬТ!AO55</f>
        <v>0.65</v>
      </c>
      <c r="W51" s="204">
        <f>ПУЛЬТ!AP55</f>
        <v>0.65</v>
      </c>
      <c r="X51" s="204">
        <f>ПУЛЬТ!AQ55</f>
        <v>0.65</v>
      </c>
      <c r="Y51" s="204">
        <f>ПУЛЬТ!AR55</f>
        <v>0.65</v>
      </c>
      <c r="Z51" s="204">
        <f>ПУЛЬТ!AS55</f>
        <v>0.65</v>
      </c>
      <c r="AA51" s="204">
        <f>ПУЛЬТ!AT55</f>
        <v>0.65</v>
      </c>
      <c r="AB51" s="204">
        <f>ПУЛЬТ!AU55</f>
        <v>0.65</v>
      </c>
      <c r="AC51" s="204">
        <f>ПУЛЬТ!AV55</f>
        <v>0.65</v>
      </c>
      <c r="AD51" s="204">
        <f>ПУЛЬТ!AW55</f>
        <v>0.65</v>
      </c>
      <c r="AE51" s="204">
        <f>ПУЛЬТ!AX55</f>
        <v>0.65</v>
      </c>
      <c r="AF51" s="204">
        <f>ПУЛЬТ!AY55</f>
        <v>0.65</v>
      </c>
    </row>
    <row r="52" spans="1:32" s="3" customFormat="1" ht="16.5" thickBot="1" x14ac:dyDescent="0.3">
      <c r="A52" s="65"/>
      <c r="B52" s="142"/>
      <c r="E52"/>
      <c r="F52" t="s">
        <v>6</v>
      </c>
      <c r="G52" s="204">
        <f>ПУЛЬТ!Z56</f>
        <v>0.5</v>
      </c>
      <c r="H52" s="204">
        <f>ПУЛЬТ!AA56</f>
        <v>0.5</v>
      </c>
      <c r="I52" s="204">
        <f>ПУЛЬТ!AB56</f>
        <v>0.5</v>
      </c>
      <c r="J52" s="204">
        <f>ПУЛЬТ!AC56</f>
        <v>0.5</v>
      </c>
      <c r="K52" s="204">
        <f>ПУЛЬТ!AD56</f>
        <v>0.5</v>
      </c>
      <c r="L52" s="204">
        <f>ПУЛЬТ!AE56</f>
        <v>1</v>
      </c>
      <c r="M52" s="204">
        <f>ПУЛЬТ!AF56</f>
        <v>1</v>
      </c>
      <c r="N52" s="204">
        <f>ПУЛЬТ!AG56</f>
        <v>0.43</v>
      </c>
      <c r="O52" s="204">
        <f>ПУЛЬТ!AH56</f>
        <v>0.65</v>
      </c>
      <c r="P52" s="204">
        <f>ПУЛЬТ!AI56</f>
        <v>0.65</v>
      </c>
      <c r="Q52" s="204">
        <f>ПУЛЬТ!AJ56</f>
        <v>0.65</v>
      </c>
      <c r="R52" s="204">
        <f>ПУЛЬТ!AK56</f>
        <v>0.65</v>
      </c>
      <c r="S52" s="204">
        <f>ПУЛЬТ!AL56</f>
        <v>0.65</v>
      </c>
      <c r="T52" s="204">
        <f>ПУЛЬТ!AM56</f>
        <v>0.65</v>
      </c>
      <c r="U52" s="204">
        <f>ПУЛЬТ!AN56</f>
        <v>0.65</v>
      </c>
      <c r="V52" s="204">
        <f>ПУЛЬТ!AO56</f>
        <v>0.65</v>
      </c>
      <c r="W52" s="204">
        <f>ПУЛЬТ!AP56</f>
        <v>0.65</v>
      </c>
      <c r="X52" s="204">
        <f>ПУЛЬТ!AQ56</f>
        <v>0.65</v>
      </c>
      <c r="Y52" s="204">
        <f>ПУЛЬТ!AR56</f>
        <v>0.65</v>
      </c>
      <c r="Z52" s="204">
        <f>ПУЛЬТ!AS56</f>
        <v>0.65</v>
      </c>
      <c r="AA52" s="204">
        <f>ПУЛЬТ!AT56</f>
        <v>0.65</v>
      </c>
      <c r="AB52" s="204">
        <f>ПУЛЬТ!AU56</f>
        <v>0.65</v>
      </c>
      <c r="AC52" s="204">
        <f>ПУЛЬТ!AV56</f>
        <v>0.65</v>
      </c>
      <c r="AD52" s="204">
        <f>ПУЛЬТ!AW56</f>
        <v>0.65</v>
      </c>
      <c r="AE52" s="204">
        <f>ПУЛЬТ!AX56</f>
        <v>0.65</v>
      </c>
      <c r="AF52" s="204">
        <f>ПУЛЬТ!AY56</f>
        <v>0.65</v>
      </c>
    </row>
    <row r="53" spans="1:32" s="3" customFormat="1" ht="16.5" thickBot="1" x14ac:dyDescent="0.3">
      <c r="A53" s="65"/>
      <c r="B53" s="142"/>
      <c r="E53"/>
      <c r="F53" t="s">
        <v>1</v>
      </c>
      <c r="G53" s="204">
        <f>ПУЛЬТ!Z57</f>
        <v>0.5</v>
      </c>
      <c r="H53" s="204">
        <f>ПУЛЬТ!AA57</f>
        <v>0.5</v>
      </c>
      <c r="I53" s="204">
        <f>ПУЛЬТ!AB57</f>
        <v>0.5</v>
      </c>
      <c r="J53" s="204">
        <f>ПУЛЬТ!AC57</f>
        <v>0.5</v>
      </c>
      <c r="K53" s="204">
        <f>ПУЛЬТ!AD57</f>
        <v>0.5</v>
      </c>
      <c r="L53" s="204">
        <f>ПУЛЬТ!AE57</f>
        <v>0.5</v>
      </c>
      <c r="M53" s="204">
        <f>ПУЛЬТ!AF57</f>
        <v>0.5</v>
      </c>
      <c r="N53" s="204">
        <f>ПУЛЬТ!AG57</f>
        <v>0.5</v>
      </c>
      <c r="O53" s="204">
        <f>ПУЛЬТ!AH57</f>
        <v>0.5</v>
      </c>
      <c r="P53" s="204">
        <f>ПУЛЬТ!AI57</f>
        <v>0.5</v>
      </c>
      <c r="Q53" s="204">
        <f>ПУЛЬТ!AJ57</f>
        <v>0.5</v>
      </c>
      <c r="R53" s="204">
        <f>ПУЛЬТ!AK57</f>
        <v>0.5</v>
      </c>
      <c r="S53" s="204">
        <f>ПУЛЬТ!AL57</f>
        <v>0.5</v>
      </c>
      <c r="T53" s="204">
        <f>ПУЛЬТ!AM57</f>
        <v>0.5</v>
      </c>
      <c r="U53" s="204">
        <f>ПУЛЬТ!AN57</f>
        <v>0.5</v>
      </c>
      <c r="V53" s="204">
        <f>ПУЛЬТ!AO57</f>
        <v>0.5</v>
      </c>
      <c r="W53" s="204">
        <f>ПУЛЬТ!AP57</f>
        <v>0.5</v>
      </c>
      <c r="X53" s="204">
        <f>ПУЛЬТ!AQ57</f>
        <v>0.5</v>
      </c>
      <c r="Y53" s="204">
        <f>ПУЛЬТ!AR57</f>
        <v>0.5</v>
      </c>
      <c r="Z53" s="204">
        <f>ПУЛЬТ!AS57</f>
        <v>0.5</v>
      </c>
      <c r="AA53" s="204">
        <f>ПУЛЬТ!AT57</f>
        <v>0.5</v>
      </c>
      <c r="AB53" s="204">
        <f>ПУЛЬТ!AU57</f>
        <v>0.5</v>
      </c>
      <c r="AC53" s="204">
        <f>ПУЛЬТ!AV57</f>
        <v>0.5</v>
      </c>
      <c r="AD53" s="204">
        <f>ПУЛЬТ!AW57</f>
        <v>0.5</v>
      </c>
      <c r="AE53" s="204">
        <f>ПУЛЬТ!AX57</f>
        <v>0.5</v>
      </c>
      <c r="AF53" s="204">
        <f>ПУЛЬТ!AY57</f>
        <v>0.5</v>
      </c>
    </row>
    <row r="54" spans="1:32" s="3" customFormat="1" ht="16.5" thickBot="1" x14ac:dyDescent="0.3">
      <c r="A54" s="65"/>
      <c r="B54" s="142"/>
      <c r="E54"/>
      <c r="F54" t="s">
        <v>2</v>
      </c>
      <c r="G54" s="205">
        <f>ПУЛЬТ!Z58</f>
        <v>0.5</v>
      </c>
      <c r="H54" s="205">
        <f>ПУЛЬТ!AA58</f>
        <v>0.8</v>
      </c>
      <c r="I54" s="205">
        <f>ПУЛЬТ!AB58</f>
        <v>0.5</v>
      </c>
      <c r="J54" s="205">
        <f>ПУЛЬТ!AC58</f>
        <v>0.5</v>
      </c>
      <c r="K54" s="205">
        <f>ПУЛЬТ!AD58</f>
        <v>0.5</v>
      </c>
      <c r="L54" s="205">
        <f>ПУЛЬТ!AE58</f>
        <v>0.5</v>
      </c>
      <c r="M54" s="205">
        <f>ПУЛЬТ!AF58</f>
        <v>0.5</v>
      </c>
      <c r="N54" s="205">
        <f>ПУЛЬТ!AG58</f>
        <v>0.5</v>
      </c>
      <c r="O54" s="205">
        <f>ПУЛЬТ!AH58</f>
        <v>0.5</v>
      </c>
      <c r="P54" s="205">
        <f>ПУЛЬТ!AI58</f>
        <v>0.5</v>
      </c>
      <c r="Q54" s="205">
        <f>ПУЛЬТ!AJ58</f>
        <v>0.5</v>
      </c>
      <c r="R54" s="205">
        <f>ПУЛЬТ!AK58</f>
        <v>0.5</v>
      </c>
      <c r="S54" s="205">
        <f>ПУЛЬТ!AL58</f>
        <v>0.5</v>
      </c>
      <c r="T54" s="205">
        <f>ПУЛЬТ!AM58</f>
        <v>0.5</v>
      </c>
      <c r="U54" s="205">
        <f>ПУЛЬТ!AN58</f>
        <v>0.5</v>
      </c>
      <c r="V54" s="205">
        <f>ПУЛЬТ!AO58</f>
        <v>0.5</v>
      </c>
      <c r="W54" s="205">
        <f>ПУЛЬТ!AP58</f>
        <v>0.5</v>
      </c>
      <c r="X54" s="205">
        <f>ПУЛЬТ!AQ58</f>
        <v>0.5</v>
      </c>
      <c r="Y54" s="205">
        <f>ПУЛЬТ!AR58</f>
        <v>0.5</v>
      </c>
      <c r="Z54" s="205">
        <f>ПУЛЬТ!AS58</f>
        <v>0.5</v>
      </c>
      <c r="AA54" s="205">
        <f>ПУЛЬТ!AT58</f>
        <v>0.5</v>
      </c>
      <c r="AB54" s="205">
        <f>ПУЛЬТ!AU58</f>
        <v>0.5</v>
      </c>
      <c r="AC54" s="205">
        <f>ПУЛЬТ!AV58</f>
        <v>0.5</v>
      </c>
      <c r="AD54" s="205">
        <f>ПУЛЬТ!AW58</f>
        <v>0.5</v>
      </c>
      <c r="AE54" s="205">
        <f>ПУЛЬТ!AX58</f>
        <v>0.5</v>
      </c>
      <c r="AF54" s="205">
        <f>ПУЛЬТ!AY58</f>
        <v>0.5</v>
      </c>
    </row>
    <row r="55" spans="1:32" s="3" customFormat="1" ht="15.75" x14ac:dyDescent="0.25">
      <c r="A55" s="136"/>
      <c r="B55" s="142"/>
      <c r="F55" s="141"/>
      <c r="G55" s="141"/>
      <c r="H55" s="141"/>
      <c r="I55" s="141"/>
      <c r="J55" s="141"/>
      <c r="K55" s="141"/>
      <c r="L55" s="141"/>
      <c r="M55" s="141"/>
      <c r="N55" s="141"/>
      <c r="O55" s="145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</row>
    <row r="56" spans="1:32" s="3" customFormat="1" ht="15.75" x14ac:dyDescent="0.25">
      <c r="A56" s="136"/>
      <c r="B56" s="142"/>
      <c r="F56" s="141"/>
      <c r="G56" s="141"/>
      <c r="H56" s="141"/>
      <c r="I56" s="141"/>
      <c r="J56" s="141"/>
      <c r="K56" s="141"/>
      <c r="L56" s="141"/>
      <c r="M56" s="141"/>
      <c r="N56" s="141"/>
      <c r="O56" s="145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</row>
    <row r="57" spans="1:32" s="3" customFormat="1" ht="15.75" x14ac:dyDescent="0.25">
      <c r="A57" s="136"/>
      <c r="B57" s="142"/>
      <c r="F57" s="141"/>
      <c r="G57" s="141"/>
      <c r="H57" s="141"/>
      <c r="I57" s="141"/>
      <c r="J57" s="141"/>
      <c r="K57" s="141"/>
      <c r="L57" s="141"/>
      <c r="M57" s="141"/>
      <c r="N57" s="141"/>
      <c r="O57" s="145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</row>
    <row r="58" spans="1:32" s="3" customFormat="1" ht="15.75" x14ac:dyDescent="0.25">
      <c r="A58" s="136"/>
      <c r="B58" s="142"/>
      <c r="F58" s="141"/>
      <c r="G58" s="141"/>
      <c r="H58" s="141"/>
      <c r="I58" s="141"/>
      <c r="J58" s="141"/>
      <c r="K58" s="141"/>
      <c r="L58" s="141"/>
      <c r="M58" s="141"/>
      <c r="N58" s="141"/>
      <c r="O58" s="145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</row>
    <row r="59" spans="1:32" s="3" customFormat="1" ht="15.75" x14ac:dyDescent="0.25">
      <c r="A59" s="136"/>
      <c r="B59" s="142"/>
      <c r="F59" s="141"/>
      <c r="G59" s="141"/>
      <c r="H59" s="141"/>
      <c r="I59" s="141"/>
      <c r="J59" s="141"/>
      <c r="K59" s="141"/>
      <c r="L59" s="141"/>
      <c r="M59" s="141"/>
      <c r="N59" s="141"/>
      <c r="O59" s="145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</row>
  </sheetData>
  <phoneticPr fontId="2" type="noConversion"/>
  <conditionalFormatting sqref="A31:A33 P44:AE46 G44:N46 A38:A48 A50:A59 F35:IV35 F43:IV43">
    <cfRule type="cellIs" dxfId="1" priority="13" stopIfTrue="1" operator="lessThan">
      <formula>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3:K4"/>
  <sheetViews>
    <sheetView workbookViewId="0">
      <selection activeCell="B4" sqref="B4"/>
    </sheetView>
  </sheetViews>
  <sheetFormatPr defaultRowHeight="12.75" x14ac:dyDescent="0.2"/>
  <sheetData>
    <row r="3" spans="1:11" x14ac:dyDescent="0.2">
      <c r="A3" s="58">
        <v>1</v>
      </c>
      <c r="B3" t="s">
        <v>30</v>
      </c>
    </row>
    <row r="4" spans="1:11" x14ac:dyDescent="0.2">
      <c r="A4" s="58">
        <v>2</v>
      </c>
      <c r="B4" t="s">
        <v>51</v>
      </c>
      <c r="K4" s="5"/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C5:C11"/>
  <sheetViews>
    <sheetView workbookViewId="0">
      <selection activeCell="J42" sqref="J42"/>
    </sheetView>
  </sheetViews>
  <sheetFormatPr defaultRowHeight="12.75" x14ac:dyDescent="0.2"/>
  <cols>
    <col min="3" max="3" width="22.28515625" customWidth="1"/>
    <col min="4" max="4" width="21" customWidth="1"/>
  </cols>
  <sheetData>
    <row r="5" spans="3:3" x14ac:dyDescent="0.2">
      <c r="C5" s="76"/>
    </row>
    <row r="6" spans="3:3" x14ac:dyDescent="0.2">
      <c r="C6" s="76"/>
    </row>
    <row r="7" spans="3:3" x14ac:dyDescent="0.2">
      <c r="C7" s="76"/>
    </row>
    <row r="8" spans="3:3" x14ac:dyDescent="0.2">
      <c r="C8" s="76"/>
    </row>
    <row r="9" spans="3:3" x14ac:dyDescent="0.2">
      <c r="C9" s="76"/>
    </row>
    <row r="10" spans="3:3" x14ac:dyDescent="0.2">
      <c r="C10" s="76"/>
    </row>
    <row r="11" spans="3:3" x14ac:dyDescent="0.2">
      <c r="C11" s="76"/>
    </row>
  </sheetData>
  <phoneticPr fontId="2" type="noConversion"/>
  <conditionalFormatting sqref="C5:C1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46</vt:i4>
      </vt:variant>
    </vt:vector>
  </HeadingPairs>
  <TitlesOfParts>
    <vt:vector size="56" baseType="lpstr">
      <vt:lpstr>ПУЛЬТ</vt:lpstr>
      <vt:lpstr>Графики-прогноз</vt:lpstr>
      <vt:lpstr>Лист1_Базовые цены</vt:lpstr>
      <vt:lpstr>Лист2_прогнозные цены</vt:lpstr>
      <vt:lpstr>рынок</vt:lpstr>
      <vt:lpstr>распределение </vt:lpstr>
      <vt:lpstr>управление</vt:lpstr>
      <vt:lpstr>Регуляторы</vt:lpstr>
      <vt:lpstr>Лист1</vt:lpstr>
      <vt:lpstr>Графики</vt:lpstr>
      <vt:lpstr>CumIndFZP</vt:lpstr>
      <vt:lpstr>cumindtarif</vt:lpstr>
      <vt:lpstr>ditarifnas</vt:lpstr>
      <vt:lpstr>DiZPGOSNS</vt:lpstr>
      <vt:lpstr>Doli_Prior</vt:lpstr>
      <vt:lpstr>Doli_Prop_1</vt:lpstr>
      <vt:lpstr>Doli_Prop_st</vt:lpstr>
      <vt:lpstr>DolPervSprocGil</vt:lpstr>
      <vt:lpstr>dolPropRasDom</vt:lpstr>
      <vt:lpstr>Expl_zatrat_fact</vt:lpstr>
      <vt:lpstr>Fact_finans</vt:lpstr>
      <vt:lpstr>INDPLAN</vt:lpstr>
      <vt:lpstr>INDPLAN_2014</vt:lpstr>
      <vt:lpstr>INDPLAN_2030</vt:lpstr>
      <vt:lpstr>IndPlan_30</vt:lpstr>
      <vt:lpstr>IndUdZa</vt:lpstr>
      <vt:lpstr>KoefRostTarif</vt:lpstr>
      <vt:lpstr>KoefRostZPl</vt:lpstr>
      <vt:lpstr>KVL_fact</vt:lpstr>
      <vt:lpstr>normprio</vt:lpstr>
      <vt:lpstr>NScenDoliFB</vt:lpstr>
      <vt:lpstr>NscenDoliNS</vt:lpstr>
      <vt:lpstr>NscenInfl</vt:lpstr>
      <vt:lpstr>NScenRostTarif_1</vt:lpstr>
      <vt:lpstr>NScenRostTarif_2</vt:lpstr>
      <vt:lpstr>NScenRostTarif_3</vt:lpstr>
      <vt:lpstr>NScenRostTarif_4</vt:lpstr>
      <vt:lpstr>NScenRostTarif_5</vt:lpstr>
      <vt:lpstr>NScenRostTarif_6</vt:lpstr>
      <vt:lpstr>NScenRostTarif_7</vt:lpstr>
      <vt:lpstr>NScenRostZPlat_2</vt:lpstr>
      <vt:lpstr>NScenRostZPlat_3</vt:lpstr>
      <vt:lpstr>NScenRostZPlat_4</vt:lpstr>
      <vt:lpstr>NScenRostZPlat_5</vt:lpstr>
      <vt:lpstr>NScenRostZPlat_6</vt:lpstr>
      <vt:lpstr>NScenRostZPlat_7</vt:lpstr>
      <vt:lpstr>NscenSobDoh</vt:lpstr>
      <vt:lpstr>NScenSocTransFB</vt:lpstr>
      <vt:lpstr>NScenSocTransKB</vt:lpstr>
      <vt:lpstr>NScenVvodNaselGKH</vt:lpstr>
      <vt:lpstr>ObchObFinansOtr</vt:lpstr>
      <vt:lpstr>Opl_truda_fact</vt:lpstr>
      <vt:lpstr>StepUdZa</vt:lpstr>
      <vt:lpstr>stobesp</vt:lpstr>
      <vt:lpstr>VvodNewMosh</vt:lpstr>
      <vt:lpstr>с443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mikerin</dc:creator>
  <cp:lastModifiedBy>Admin</cp:lastModifiedBy>
  <dcterms:created xsi:type="dcterms:W3CDTF">2010-10-20T09:52:40Z</dcterms:created>
  <dcterms:modified xsi:type="dcterms:W3CDTF">2020-06-25T06:55:08Z</dcterms:modified>
</cp:coreProperties>
</file>