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harts/chart41.xml" ContentType="application/vnd.openxmlformats-officedocument.drawingml.chart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BCDCAD13-85E4-4176-A6C8-6CADFA92D9D6}" xr6:coauthVersionLast="40" xr6:coauthVersionMax="40" xr10:uidLastSave="{00000000-0000-0000-0000-000000000000}"/>
  <bookViews>
    <workbookView xWindow="0" yWindow="510" windowWidth="10215" windowHeight="5490" tabRatio="517" firstSheet="11" activeTab="14" xr2:uid="{00000000-000D-0000-FFFF-FFFF00000000}"/>
  </bookViews>
  <sheets>
    <sheet name="Справка" sheetId="45" r:id="rId1"/>
    <sheet name="Комментарии" sheetId="40" r:id="rId2"/>
    <sheet name="НачСост_НС_БД " sheetId="1" r:id="rId3"/>
    <sheet name="ГрСцЭкс" sheetId="47" r:id="rId4"/>
    <sheet name="Графики(МОИТ)" sheetId="48" r:id="rId5"/>
    <sheet name="МОИТ 2" sheetId="49" r:id="rId6"/>
    <sheet name="интерфейс" sheetId="43" r:id="rId7"/>
    <sheet name="Графики-2" sheetId="46" r:id="rId8"/>
    <sheet name="гипотезы" sheetId="10" r:id="rId9"/>
    <sheet name="Сценарии" sheetId="39" r:id="rId10"/>
    <sheet name="Графики-1" sheetId="42" r:id="rId11"/>
    <sheet name="индексы_цен" sheetId="7" r:id="rId12"/>
    <sheet name="КраевойБюджет" sheetId="28" r:id="rId13"/>
    <sheet name="модель внешнего мира" sheetId="3" r:id="rId14"/>
    <sheet name="Демография" sheetId="19" r:id="rId15"/>
    <sheet name="Лист1" sheetId="41" r:id="rId16"/>
    <sheet name="Лист2" sheetId="44" r:id="rId17"/>
  </sheets>
  <externalReferences>
    <externalReference r:id="rId18"/>
    <externalReference r:id="rId19"/>
    <externalReference r:id="rId20"/>
    <externalReference r:id="rId21"/>
  </externalReferences>
  <definedNames>
    <definedName name="_FilterDatabase" localSheetId="6" hidden="1">интерфейс!$C$48:$AD$53</definedName>
    <definedName name="bamonepr">'НачСост_НС_БД '!$C$21:$E$27</definedName>
    <definedName name="baplata">'НачСост_НС_БД '!$C$63:$D$69</definedName>
    <definedName name="bazanepr">'НачСост_НС_БД '!#REF!</definedName>
    <definedName name="BazZpNS">'НачСост_НС_БД '!$C$53:$D$59</definedName>
    <definedName name="demograf">Демография!$C$71:$AB$77</definedName>
    <definedName name="ditarifnas">[1]управление!$F$8:$AF$14</definedName>
    <definedName name="DiZPGOSNS">#REF!</definedName>
    <definedName name="DohodKBneS">интерфейс!$D$167:$AD$171</definedName>
    <definedName name="DohodKBnewEk">интерфейс!$D$176:$AD$180</definedName>
    <definedName name="DoliRashKB">КраевойБюджет!$C$15:$K$22</definedName>
    <definedName name="explzaNS">'НачСост_НС_БД '!$E$33:$AE$39</definedName>
    <definedName name="explzans_fact">'модель внешнего мира'!$D$49:$AC$55</definedName>
    <definedName name="explzans_fact_1">'модель внешнего мира'!$D$60:$AC$66</definedName>
    <definedName name="Gipoteza_Zdrav_zan">гипотезы!$B$10</definedName>
    <definedName name="infl">'модель внешнего мира'!$D$83:$AC$89</definedName>
    <definedName name="infl_ind">индексы_цен!$E$6:$AD$12</definedName>
    <definedName name="infltpotrebs">'модель внешнего мира'!$D$100:$W$100</definedName>
    <definedName name="KoefRostTarif">Сценарии!$L$184:$AB$184</definedName>
    <definedName name="KoefRostTarif_1">Сценарии!$L$184:$AB$184</definedName>
    <definedName name="KoefRostTarif_2">Сценарии!$L$193:$AB$193</definedName>
    <definedName name="KoefRostTarif_3">Сценарии!$L$202:$AB$202</definedName>
    <definedName name="KoefRostTarif_4">Сценарии!$L$211:$AB$211</definedName>
    <definedName name="KoefRostTarif_5">Сценарии!$L$220:$AB$220</definedName>
    <definedName name="KoefRostTarif_6">Сценарии!$L$229:$AB$229</definedName>
    <definedName name="KoefRostTarif_7">Сценарии!$L$238:$AB$238</definedName>
    <definedName name="KoefRostZarPlat">Сценарии!#REF!</definedName>
    <definedName name="KoefRostZarPlat_1">Сценарии!#REF!</definedName>
    <definedName name="KoefRostZarPlat_2">Сценарии!$L$121:$AB$121</definedName>
    <definedName name="KoefRostZarPlat_3">Сценарии!$L$132:$AB$132</definedName>
    <definedName name="KoefRostZarPlat_4">Сценарии!$L$142:$AB$142</definedName>
    <definedName name="KoefRostZarPlat_5">Сценарии!$L$151:$AB$151</definedName>
    <definedName name="KoefRostZarPlat_6">Сценарии!$L$160:$AB$160</definedName>
    <definedName name="KoefRostZarPlat_7">Сценарии!$L$169:$AB$169</definedName>
    <definedName name="KumIndBud">Сценарии!$G$31:$AF$33</definedName>
    <definedName name="KumIndPotrS">Сценарии!$G$45:$AF$47</definedName>
    <definedName name="KumIndPPP">Сценарии!$G$39:$AF$41</definedName>
    <definedName name="NeobhBaKVLEdMosh">'НачСост_НС_БД '!$D$76:$AC$82</definedName>
    <definedName name="NOTRNEPR">'НачСост_НС_БД '!$C$7</definedName>
    <definedName name="ObchObFinansOtr">#REF!</definedName>
    <definedName name="ObExplZAGKH">индексы_цен!$E$22:$AD$22</definedName>
    <definedName name="OsDanGKH">'модель внешнего мира'!$D$71:$AC$73</definedName>
    <definedName name="platanas">'модель внешнего мира'!$D$7:$W$13</definedName>
    <definedName name="PrDohNasREMinNS">интерфейс!$D$323:$AD$327</definedName>
    <definedName name="priemSht">интерфейс!$D$343:$W$344</definedName>
    <definedName name="PrognozKBTek">интерфейс!$D$53:$AD$53</definedName>
    <definedName name="PrognozKBtek_Scenarii">интерфейс!$D$98:$AD$101</definedName>
    <definedName name="RashKB">КраевойБюджет!$D$7:$K$10</definedName>
    <definedName name="RashodKBnaNS">Сценарии!$D$92:$AC$92</definedName>
    <definedName name="ScenBudDohSop">Сценарии!$D$65:$AC$67</definedName>
    <definedName name="ScenBudDohTek">Сценарии!$D$74:$AC$76</definedName>
    <definedName name="ScenDoliFB">интерфейс!$D$193:$AD$195</definedName>
    <definedName name="ScenDoliNS">Сценарии!$D$84:$AC$86</definedName>
    <definedName name="ScenDoliSocTrans">интерфейс!$D$241:$AD$244</definedName>
    <definedName name="ScenInflPotrS">Сценарии!$G$23:$AF$25</definedName>
    <definedName name="ScenInflPPP">Сценарии!$G$16:$AE$18</definedName>
    <definedName name="scenSoctransf">интерфейс!$D$261:$AD$261</definedName>
    <definedName name="ScenSocTransFB">интерфейс!$D$258:$AD$261</definedName>
    <definedName name="ScenSocTransKB">интерфейс!$D$248:$AD$251</definedName>
    <definedName name="ScenTempRostDohBud">Сценарии!$L$56:$AC$58</definedName>
    <definedName name="ScenTempRostTarif_1">Сценарии!$D$187:$AC$189</definedName>
    <definedName name="ScenTempRostTarif_2">Сценарии!$D$196:$AC$198</definedName>
    <definedName name="ScenTempRostTarif_3">Сценарии!$D$205:$AC$207</definedName>
    <definedName name="ScenTempRostTarif_4">Сценарии!$D$214:$AC$216</definedName>
    <definedName name="ScenTempRostTarif_5">Сценарии!$D$223:$AC$225</definedName>
    <definedName name="ScenTempRostTarif_6">Сценарии!$D$232:$AC$234</definedName>
    <definedName name="ScenTempRostTarif_7">Сценарии!$D$241:$AC$243</definedName>
    <definedName name="ScenTempRostZarPl_1">Сценарии!#REF!</definedName>
    <definedName name="ScenTempRostZarPl_2">Сценарии!$D$125:$AC$127</definedName>
    <definedName name="ScenTempRostZarPl_3">Сценарии!$D$135:$AC$137</definedName>
    <definedName name="ScenTempRostZarPl_4">Сценарии!$D$145:$AC$147</definedName>
    <definedName name="ScenTempRostZarPl_5">Сценарии!$D$154:$AC$156</definedName>
    <definedName name="ScenTempRostZarPl_6">Сценарии!$D$163:$AC$165</definedName>
    <definedName name="ScenTempRostZarPl_7">Сценарии!$D$172:$AC$174</definedName>
    <definedName name="ScenVvodGKHNaselen">Сценарии!$D$110:$AC$112</definedName>
    <definedName name="ScMacroSP">Сценарии!$G$4:$AE$12</definedName>
    <definedName name="sdvig">'НачСост_НС_БД '!$G$3</definedName>
    <definedName name="SobDohSopost">интерфейс!$D$202:$AD$205</definedName>
    <definedName name="SpecNormNalogIm">'НачСост_НС_БД '!$C$117</definedName>
    <definedName name="spotrnepr">'НачСост_НС_БД '!$C$11:$D$17</definedName>
    <definedName name="startUPN">'НачСост_НС_БД '!$G$43:$G$47</definedName>
    <definedName name="stavkapodna">'модель внешнего мира'!$D$106:$W$106</definedName>
    <definedName name="TempVibChGF">'НачСост_НС_БД '!$D$119</definedName>
    <definedName name="TransFB1">интерфейс!$D$119:$AD$123</definedName>
    <definedName name="TransFB2">интерфейс!$D$136:$AD$140</definedName>
    <definedName name="TrudZa">'НачСост_НС_БД '!$E$43:$AD$49</definedName>
    <definedName name="Unaltrudbaz">'НачСост_НС_БД '!$G$7</definedName>
    <definedName name="vibofnepr">'НачСост_НС_БД '!#REF!</definedName>
    <definedName name="vibofnepr_NORM">'НачСост_НС_БД '!$D$92:$AC$98</definedName>
    <definedName name="vibofnepr_NULL">'НачСост_НС_БД '!$D$103:$AC$109</definedName>
    <definedName name="VvodNewMosh">#REF!</definedName>
    <definedName name="VVODNMBUD">'модель внешнего мира'!$D$20:$AC$26</definedName>
    <definedName name="VVODNMNAS">'модель внешнего мира'!$D$33:$AC$39</definedName>
    <definedName name="ZPREMinNSSopost">интерфейс!$D$307:$AD$311</definedName>
    <definedName name="ZPREMinNSTek">интерфейс!$D$297:$AD$301</definedName>
  </definedNames>
  <calcPr calcId="191029"/>
</workbook>
</file>

<file path=xl/calcChain.xml><?xml version="1.0" encoding="utf-8"?>
<calcChain xmlns="http://schemas.openxmlformats.org/spreadsheetml/2006/main">
  <c r="E224" i="49" l="1"/>
  <c r="F224" i="49"/>
  <c r="G224" i="49"/>
  <c r="H224" i="49"/>
  <c r="I224" i="49"/>
  <c r="J224" i="49"/>
  <c r="K224" i="49"/>
  <c r="L224" i="49"/>
  <c r="M224" i="49"/>
  <c r="N224" i="49"/>
  <c r="O224" i="49"/>
  <c r="P224" i="49"/>
  <c r="Q224" i="49"/>
  <c r="R224" i="49"/>
  <c r="S224" i="49"/>
  <c r="T224" i="49"/>
  <c r="U224" i="49"/>
  <c r="V224" i="49"/>
  <c r="W224" i="49"/>
  <c r="X224" i="49"/>
  <c r="Y224" i="49"/>
  <c r="Z224" i="49"/>
  <c r="AA224" i="49"/>
  <c r="AB224" i="49"/>
  <c r="AC224" i="49"/>
  <c r="E225" i="49"/>
  <c r="F225" i="49"/>
  <c r="G225" i="49"/>
  <c r="H225" i="49"/>
  <c r="I225" i="49"/>
  <c r="J225" i="49"/>
  <c r="K225" i="49"/>
  <c r="L225" i="49"/>
  <c r="M225" i="49"/>
  <c r="N225" i="49"/>
  <c r="O225" i="49"/>
  <c r="P225" i="49"/>
  <c r="Q225" i="49"/>
  <c r="R225" i="49"/>
  <c r="S225" i="49"/>
  <c r="T225" i="49"/>
  <c r="U225" i="49"/>
  <c r="V225" i="49"/>
  <c r="W225" i="49"/>
  <c r="X225" i="49"/>
  <c r="Y225" i="49"/>
  <c r="Z225" i="49"/>
  <c r="AA225" i="49"/>
  <c r="AB225" i="49"/>
  <c r="AC225" i="49"/>
  <c r="E226" i="49"/>
  <c r="F226" i="49"/>
  <c r="G226" i="49"/>
  <c r="H226" i="49"/>
  <c r="I226" i="49"/>
  <c r="J226" i="49"/>
  <c r="K226" i="49"/>
  <c r="L226" i="49"/>
  <c r="M226" i="49"/>
  <c r="N226" i="49"/>
  <c r="O226" i="49"/>
  <c r="P226" i="49"/>
  <c r="Q226" i="49"/>
  <c r="R226" i="49"/>
  <c r="S226" i="49"/>
  <c r="T226" i="49"/>
  <c r="U226" i="49"/>
  <c r="V226" i="49"/>
  <c r="W226" i="49"/>
  <c r="X226" i="49"/>
  <c r="Y226" i="49"/>
  <c r="Z226" i="49"/>
  <c r="AA226" i="49"/>
  <c r="AB226" i="49"/>
  <c r="AC226" i="49"/>
  <c r="D225" i="49"/>
  <c r="D226" i="49"/>
  <c r="D224" i="49"/>
  <c r="E152" i="49"/>
  <c r="F152" i="49"/>
  <c r="G152" i="49"/>
  <c r="H152" i="49"/>
  <c r="I152" i="49"/>
  <c r="J152" i="49"/>
  <c r="K152" i="49"/>
  <c r="L152" i="49"/>
  <c r="M152" i="49"/>
  <c r="N152" i="49"/>
  <c r="O152" i="49"/>
  <c r="P152" i="49"/>
  <c r="Q152" i="49"/>
  <c r="R152" i="49"/>
  <c r="S152" i="49"/>
  <c r="T152" i="49"/>
  <c r="U152" i="49"/>
  <c r="V152" i="49"/>
  <c r="W152" i="49"/>
  <c r="X152" i="49"/>
  <c r="Y152" i="49"/>
  <c r="Z152" i="49"/>
  <c r="AA152" i="49"/>
  <c r="AB152" i="49"/>
  <c r="AC152" i="49"/>
  <c r="E153" i="49"/>
  <c r="F153" i="49"/>
  <c r="G153" i="49"/>
  <c r="H153" i="49"/>
  <c r="I153" i="49"/>
  <c r="J153" i="49"/>
  <c r="K153" i="49"/>
  <c r="L153" i="49"/>
  <c r="M153" i="49"/>
  <c r="N153" i="49"/>
  <c r="O153" i="49"/>
  <c r="P153" i="49"/>
  <c r="Q153" i="49"/>
  <c r="R153" i="49"/>
  <c r="S153" i="49"/>
  <c r="T153" i="49"/>
  <c r="U153" i="49"/>
  <c r="V153" i="49"/>
  <c r="W153" i="49"/>
  <c r="X153" i="49"/>
  <c r="Y153" i="49"/>
  <c r="Z153" i="49"/>
  <c r="AA153" i="49"/>
  <c r="AB153" i="49"/>
  <c r="AC153" i="49"/>
  <c r="E154" i="49"/>
  <c r="F154" i="49"/>
  <c r="G154" i="49"/>
  <c r="H154" i="49"/>
  <c r="I154" i="49"/>
  <c r="J154" i="49"/>
  <c r="K154" i="49"/>
  <c r="L154" i="49"/>
  <c r="M154" i="49"/>
  <c r="N154" i="49"/>
  <c r="O154" i="49"/>
  <c r="P154" i="49"/>
  <c r="Q154" i="49"/>
  <c r="R154" i="49"/>
  <c r="S154" i="49"/>
  <c r="T154" i="49"/>
  <c r="U154" i="49"/>
  <c r="V154" i="49"/>
  <c r="W154" i="49"/>
  <c r="X154" i="49"/>
  <c r="Y154" i="49"/>
  <c r="Z154" i="49"/>
  <c r="AA154" i="49"/>
  <c r="AB154" i="49"/>
  <c r="AC154" i="49"/>
  <c r="D153" i="49"/>
  <c r="D154" i="49"/>
  <c r="D152" i="49"/>
  <c r="E82" i="49"/>
  <c r="F82" i="49"/>
  <c r="G82" i="49"/>
  <c r="H82" i="49"/>
  <c r="I82" i="49"/>
  <c r="J82" i="49"/>
  <c r="K82" i="49"/>
  <c r="L82" i="49"/>
  <c r="M82" i="49"/>
  <c r="N82" i="49"/>
  <c r="O82" i="49"/>
  <c r="P82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AC82" i="49"/>
  <c r="E83" i="49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AC83" i="49"/>
  <c r="E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D83" i="49"/>
  <c r="D84" i="49"/>
  <c r="D82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D11" i="49"/>
  <c r="D12" i="49"/>
  <c r="D10" i="49"/>
  <c r="B157" i="43" l="1"/>
  <c r="H162" i="43" l="1"/>
  <c r="H171" i="43" s="1"/>
  <c r="G162" i="43"/>
  <c r="G171" i="43" s="1"/>
  <c r="F162" i="43"/>
  <c r="F171" i="43" s="1"/>
  <c r="E162" i="43"/>
  <c r="E171" i="43" s="1"/>
  <c r="D162" i="43"/>
  <c r="D171" i="43" s="1"/>
  <c r="H140" i="43"/>
  <c r="G140" i="43"/>
  <c r="F140" i="43"/>
  <c r="E140" i="43"/>
  <c r="D140" i="43"/>
  <c r="M153" i="43"/>
  <c r="L153" i="43"/>
  <c r="L140" i="43" s="1"/>
  <c r="K153" i="43"/>
  <c r="K140" i="43" s="1"/>
  <c r="J153" i="43"/>
  <c r="J140" i="43" s="1"/>
  <c r="I153" i="43"/>
  <c r="I140" i="43" s="1"/>
  <c r="P123" i="43"/>
  <c r="O123" i="43"/>
  <c r="N123" i="43"/>
  <c r="M123" i="43"/>
  <c r="L123" i="43"/>
  <c r="L131" i="43" s="1"/>
  <c r="K123" i="43"/>
  <c r="K131" i="43" s="1"/>
  <c r="J123" i="43"/>
  <c r="J131" i="43" s="1"/>
  <c r="I123" i="43"/>
  <c r="I131" i="43" s="1"/>
  <c r="H123" i="43"/>
  <c r="H131" i="43" s="1"/>
  <c r="G123" i="43"/>
  <c r="G131" i="43" s="1"/>
  <c r="F123" i="43"/>
  <c r="F131" i="43" s="1"/>
  <c r="E123" i="43"/>
  <c r="E131" i="43" s="1"/>
  <c r="D123" i="43"/>
  <c r="D131" i="43" s="1"/>
  <c r="L83" i="43" l="1"/>
  <c r="K83" i="43"/>
  <c r="J83" i="43"/>
  <c r="I83" i="43"/>
  <c r="H83" i="43"/>
  <c r="G83" i="43"/>
  <c r="F83" i="43"/>
  <c r="E83" i="43"/>
  <c r="D83" i="43"/>
  <c r="D119" i="43"/>
  <c r="E119" i="43"/>
  <c r="F119" i="43"/>
  <c r="G119" i="43"/>
  <c r="H119" i="43"/>
  <c r="I119" i="43"/>
  <c r="J119" i="43"/>
  <c r="K119" i="43"/>
  <c r="L119" i="43"/>
  <c r="M119" i="43"/>
  <c r="N119" i="43"/>
  <c r="O119" i="43"/>
  <c r="P119" i="43"/>
  <c r="D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D121" i="43"/>
  <c r="E121" i="43"/>
  <c r="F121" i="43"/>
  <c r="G121" i="43"/>
  <c r="H121" i="43"/>
  <c r="I121" i="43"/>
  <c r="J121" i="43"/>
  <c r="K121" i="43"/>
  <c r="L121" i="43"/>
  <c r="M121" i="43"/>
  <c r="N121" i="43"/>
  <c r="O121" i="43"/>
  <c r="P121" i="43"/>
  <c r="H159" i="43"/>
  <c r="H168" i="43" s="1"/>
  <c r="G159" i="43"/>
  <c r="G168" i="43" s="1"/>
  <c r="F159" i="43"/>
  <c r="F168" i="43" s="1"/>
  <c r="E159" i="43"/>
  <c r="E168" i="43" s="1"/>
  <c r="D159" i="43"/>
  <c r="D168" i="43" s="1"/>
  <c r="L158" i="43"/>
  <c r="L167" i="43" s="1"/>
  <c r="K158" i="43"/>
  <c r="K167" i="43" s="1"/>
  <c r="J158" i="43"/>
  <c r="J167" i="43" s="1"/>
  <c r="I158" i="43"/>
  <c r="I167" i="43" s="1"/>
  <c r="H158" i="43"/>
  <c r="H167" i="43" s="1"/>
  <c r="G158" i="43"/>
  <c r="G167" i="43" s="1"/>
  <c r="F158" i="43"/>
  <c r="F167" i="43" s="1"/>
  <c r="E158" i="43"/>
  <c r="E167" i="43" s="1"/>
  <c r="D158" i="43"/>
  <c r="D167" i="43" s="1"/>
  <c r="L137" i="43"/>
  <c r="K137" i="43"/>
  <c r="J137" i="43"/>
  <c r="I137" i="43"/>
  <c r="H137" i="43"/>
  <c r="G137" i="43"/>
  <c r="F137" i="43"/>
  <c r="E137" i="43"/>
  <c r="D137" i="43"/>
  <c r="L136" i="43"/>
  <c r="K136" i="43"/>
  <c r="J136" i="43"/>
  <c r="I136" i="43"/>
  <c r="H136" i="43"/>
  <c r="G136" i="43"/>
  <c r="F136" i="43"/>
  <c r="E136" i="43"/>
  <c r="D136" i="43"/>
  <c r="N190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D34" i="3" l="1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P35" i="3"/>
  <c r="P36" i="3"/>
  <c r="P37" i="3"/>
  <c r="P38" i="3"/>
  <c r="P39" i="3"/>
  <c r="P34" i="3"/>
  <c r="AC47" i="19" l="1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J217" i="43" l="1"/>
  <c r="K218" i="43" l="1"/>
  <c r="B351" i="43" l="1"/>
  <c r="B350" i="43"/>
  <c r="D334" i="43"/>
  <c r="D325" i="43" s="1"/>
  <c r="D333" i="43"/>
  <c r="D324" i="43" s="1"/>
  <c r="D332" i="43"/>
  <c r="B348" i="43"/>
  <c r="B349" i="43" s="1"/>
  <c r="W344" i="43"/>
  <c r="V344" i="43"/>
  <c r="U344" i="43"/>
  <c r="T344" i="43"/>
  <c r="S344" i="43"/>
  <c r="R344" i="43"/>
  <c r="Q344" i="43"/>
  <c r="P344" i="43"/>
  <c r="O344" i="43"/>
  <c r="N344" i="43"/>
  <c r="M344" i="43"/>
  <c r="L344" i="43"/>
  <c r="K344" i="43"/>
  <c r="J344" i="43"/>
  <c r="I344" i="43"/>
  <c r="H344" i="43"/>
  <c r="G344" i="43"/>
  <c r="F344" i="43"/>
  <c r="E344" i="43"/>
  <c r="D344" i="43"/>
  <c r="W343" i="43"/>
  <c r="V343" i="43"/>
  <c r="U343" i="43"/>
  <c r="T343" i="43"/>
  <c r="S343" i="43"/>
  <c r="Q343" i="43"/>
  <c r="P343" i="43"/>
  <c r="O343" i="43"/>
  <c r="N343" i="43"/>
  <c r="M343" i="43"/>
  <c r="L343" i="43"/>
  <c r="K343" i="43"/>
  <c r="J343" i="43"/>
  <c r="I343" i="43"/>
  <c r="H343" i="43"/>
  <c r="G343" i="43"/>
  <c r="F343" i="43"/>
  <c r="E343" i="43"/>
  <c r="D343" i="43"/>
  <c r="R343" i="43"/>
  <c r="D323" i="43" l="1"/>
  <c r="D335" i="43"/>
  <c r="Q350" i="43"/>
  <c r="Q227" i="43" s="1"/>
  <c r="Z350" i="43"/>
  <c r="Z227" i="43" s="1"/>
  <c r="Z351" i="43"/>
  <c r="G351" i="43"/>
  <c r="K351" i="43"/>
  <c r="O351" i="43"/>
  <c r="S351" i="43"/>
  <c r="W351" i="43"/>
  <c r="AA351" i="43"/>
  <c r="D351" i="43"/>
  <c r="D228" i="43" s="1"/>
  <c r="H351" i="43"/>
  <c r="L351" i="43"/>
  <c r="P351" i="43"/>
  <c r="T351" i="43"/>
  <c r="X351" i="43"/>
  <c r="AB351" i="43"/>
  <c r="E351" i="43"/>
  <c r="I351" i="43"/>
  <c r="M351" i="43"/>
  <c r="Q351" i="43"/>
  <c r="U351" i="43"/>
  <c r="Y351" i="43"/>
  <c r="F351" i="43"/>
  <c r="J351" i="43"/>
  <c r="N351" i="43"/>
  <c r="R351" i="43"/>
  <c r="V351" i="43"/>
  <c r="G350" i="43"/>
  <c r="W350" i="43"/>
  <c r="W227" i="43" s="1"/>
  <c r="K350" i="43"/>
  <c r="AA350" i="43"/>
  <c r="AA227" i="43" s="1"/>
  <c r="D350" i="43"/>
  <c r="D227" i="43" s="1"/>
  <c r="D177" i="43" s="1"/>
  <c r="O350" i="43"/>
  <c r="O227" i="43" s="1"/>
  <c r="S350" i="43"/>
  <c r="S227" i="43" s="1"/>
  <c r="H350" i="43"/>
  <c r="L350" i="43"/>
  <c r="P350" i="43"/>
  <c r="P227" i="43" s="1"/>
  <c r="T350" i="43"/>
  <c r="T227" i="43" s="1"/>
  <c r="X350" i="43"/>
  <c r="X227" i="43" s="1"/>
  <c r="AB350" i="43"/>
  <c r="AC350" i="43" s="1"/>
  <c r="AD350" i="43" s="1"/>
  <c r="AD227" i="43" s="1"/>
  <c r="E350" i="43"/>
  <c r="I350" i="43"/>
  <c r="M350" i="43"/>
  <c r="M227" i="43" s="1"/>
  <c r="U350" i="43"/>
  <c r="U227" i="43" s="1"/>
  <c r="Y350" i="43"/>
  <c r="Y227" i="43" s="1"/>
  <c r="F350" i="43"/>
  <c r="J350" i="43"/>
  <c r="N350" i="43"/>
  <c r="N227" i="43" s="1"/>
  <c r="R350" i="43"/>
  <c r="R227" i="43" s="1"/>
  <c r="V350" i="43"/>
  <c r="V227" i="43" s="1"/>
  <c r="D326" i="43" l="1"/>
  <c r="D327" i="43" s="1"/>
  <c r="D336" i="43"/>
  <c r="AC351" i="43"/>
  <c r="AC228" i="43" s="1"/>
  <c r="AB228" i="43"/>
  <c r="D356" i="43"/>
  <c r="D355" i="43"/>
  <c r="S228" i="43"/>
  <c r="O228" i="43"/>
  <c r="N228" i="43"/>
  <c r="U228" i="43"/>
  <c r="E228" i="43"/>
  <c r="X228" i="43"/>
  <c r="H228" i="43"/>
  <c r="AA228" i="43"/>
  <c r="Z228" i="43"/>
  <c r="J228" i="43"/>
  <c r="Q228" i="43"/>
  <c r="T228" i="43"/>
  <c r="W228" i="43"/>
  <c r="G228" i="43"/>
  <c r="V228" i="43"/>
  <c r="F228" i="43"/>
  <c r="R228" i="43"/>
  <c r="M228" i="43"/>
  <c r="P228" i="43"/>
  <c r="I228" i="43"/>
  <c r="L228" i="43"/>
  <c r="Y228" i="43"/>
  <c r="K228" i="43"/>
  <c r="G355" i="43"/>
  <c r="G227" i="43"/>
  <c r="G177" i="43" s="1"/>
  <c r="J355" i="43"/>
  <c r="J227" i="43"/>
  <c r="J177" i="43" s="1"/>
  <c r="I355" i="43"/>
  <c r="I227" i="43"/>
  <c r="I177" i="43" s="1"/>
  <c r="AC227" i="43"/>
  <c r="AB227" i="43"/>
  <c r="F355" i="43"/>
  <c r="F227" i="43"/>
  <c r="F177" i="43" s="1"/>
  <c r="H355" i="43"/>
  <c r="H227" i="43"/>
  <c r="H177" i="43" s="1"/>
  <c r="K355" i="43"/>
  <c r="K227" i="43"/>
  <c r="K177" i="43" s="1"/>
  <c r="L355" i="43"/>
  <c r="L227" i="43"/>
  <c r="L177" i="43" s="1"/>
  <c r="E355" i="43"/>
  <c r="E227" i="43"/>
  <c r="E177" i="43" s="1"/>
  <c r="AD351" i="43" l="1"/>
  <c r="AD228" i="43" l="1"/>
  <c r="AE307" i="43" l="1"/>
  <c r="AE202" i="43" l="1"/>
  <c r="AE243" i="43"/>
  <c r="AE241" i="43"/>
  <c r="P260" i="43" l="1"/>
  <c r="O260" i="43"/>
  <c r="N260" i="43"/>
  <c r="M260" i="43"/>
  <c r="L260" i="43"/>
  <c r="K260" i="43"/>
  <c r="J260" i="43"/>
  <c r="I260" i="43"/>
  <c r="H260" i="43"/>
  <c r="G260" i="43"/>
  <c r="F260" i="43"/>
  <c r="E260" i="43"/>
  <c r="D260" i="43"/>
  <c r="P259" i="43"/>
  <c r="O259" i="43"/>
  <c r="N259" i="43"/>
  <c r="M259" i="43"/>
  <c r="L259" i="43"/>
  <c r="K259" i="43"/>
  <c r="J259" i="43"/>
  <c r="I259" i="43"/>
  <c r="H259" i="43"/>
  <c r="G259" i="43"/>
  <c r="F259" i="43"/>
  <c r="E259" i="43"/>
  <c r="D259" i="43"/>
  <c r="P258" i="43"/>
  <c r="O258" i="43"/>
  <c r="N258" i="43"/>
  <c r="M258" i="43"/>
  <c r="L258" i="43"/>
  <c r="K258" i="43"/>
  <c r="J258" i="43"/>
  <c r="I258" i="43"/>
  <c r="H258" i="43"/>
  <c r="G258" i="43"/>
  <c r="F258" i="43"/>
  <c r="E258" i="43"/>
  <c r="D258" i="43"/>
  <c r="D267" i="43" l="1"/>
  <c r="D268" i="43"/>
  <c r="F261" i="43"/>
  <c r="G261" i="43"/>
  <c r="K261" i="43"/>
  <c r="O261" i="43"/>
  <c r="I261" i="43"/>
  <c r="D266" i="43"/>
  <c r="D261" i="43"/>
  <c r="D269" i="43" s="1"/>
  <c r="H261" i="43"/>
  <c r="L261" i="43"/>
  <c r="P261" i="43"/>
  <c r="E261" i="43"/>
  <c r="M261" i="43"/>
  <c r="J261" i="43"/>
  <c r="N26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D17" i="43" l="1"/>
  <c r="D204" i="43" s="1"/>
  <c r="D213" i="43" s="1"/>
  <c r="E17" i="43"/>
  <c r="E202" i="43" s="1"/>
  <c r="F17" i="43"/>
  <c r="F202" i="43" s="1"/>
  <c r="G17" i="43"/>
  <c r="H17" i="43"/>
  <c r="H204" i="43" s="1"/>
  <c r="H213" i="43" s="1"/>
  <c r="I17" i="43"/>
  <c r="J17" i="43"/>
  <c r="J202" i="43" s="1"/>
  <c r="J203" i="43" s="1"/>
  <c r="K17" i="43"/>
  <c r="E50" i="43"/>
  <c r="F50" i="43"/>
  <c r="G50" i="43"/>
  <c r="H50" i="43"/>
  <c r="I50" i="43"/>
  <c r="J50" i="43"/>
  <c r="K50" i="43"/>
  <c r="D52" i="43"/>
  <c r="E52" i="43"/>
  <c r="F52" i="43"/>
  <c r="G52" i="43"/>
  <c r="H52" i="43"/>
  <c r="I52" i="43"/>
  <c r="J52" i="43"/>
  <c r="K52" i="43"/>
  <c r="D50" i="43"/>
  <c r="P17" i="43"/>
  <c r="O17" i="43"/>
  <c r="N17" i="43"/>
  <c r="M17" i="43"/>
  <c r="L17" i="43"/>
  <c r="P50" i="43"/>
  <c r="O50" i="43"/>
  <c r="N50" i="43"/>
  <c r="M50" i="43"/>
  <c r="L50" i="43"/>
  <c r="P52" i="43"/>
  <c r="O52" i="43"/>
  <c r="O194" i="43" s="1"/>
  <c r="N52" i="43"/>
  <c r="N195" i="43" s="1"/>
  <c r="M52" i="43"/>
  <c r="L52" i="43"/>
  <c r="I202" i="43" l="1"/>
  <c r="I211" i="43" s="1"/>
  <c r="I98" i="43" s="1"/>
  <c r="I204" i="43"/>
  <c r="H127" i="43"/>
  <c r="K127" i="43"/>
  <c r="G127" i="43"/>
  <c r="L127" i="43"/>
  <c r="J127" i="43"/>
  <c r="I127" i="43"/>
  <c r="I205" i="43"/>
  <c r="I214" i="43" s="1"/>
  <c r="I213" i="43"/>
  <c r="I203" i="43"/>
  <c r="I212" i="43" s="1"/>
  <c r="E211" i="43"/>
  <c r="E205" i="43"/>
  <c r="E214" i="43" s="1"/>
  <c r="E203" i="43"/>
  <c r="E212" i="43" s="1"/>
  <c r="J205" i="43"/>
  <c r="J214" i="43" s="1"/>
  <c r="J211" i="43"/>
  <c r="J98" i="43" s="1"/>
  <c r="J204" i="43"/>
  <c r="J213" i="43" s="1"/>
  <c r="J212" i="43"/>
  <c r="F205" i="43"/>
  <c r="F214" i="43" s="1"/>
  <c r="F211" i="43"/>
  <c r="F203" i="43"/>
  <c r="F212" i="43" s="1"/>
  <c r="H193" i="43"/>
  <c r="H194" i="43"/>
  <c r="H195" i="43"/>
  <c r="D193" i="43"/>
  <c r="D194" i="43"/>
  <c r="D195" i="43"/>
  <c r="F194" i="43"/>
  <c r="F193" i="43"/>
  <c r="F195" i="43"/>
  <c r="K193" i="43"/>
  <c r="K194" i="43"/>
  <c r="K195" i="43"/>
  <c r="G193" i="43"/>
  <c r="G194" i="43"/>
  <c r="G195" i="43"/>
  <c r="J195" i="43"/>
  <c r="J193" i="43"/>
  <c r="J194" i="43"/>
  <c r="I193" i="43"/>
  <c r="I194" i="43"/>
  <c r="I195" i="43"/>
  <c r="E193" i="43"/>
  <c r="E194" i="43"/>
  <c r="E195" i="43"/>
  <c r="G202" i="43"/>
  <c r="K202" i="43"/>
  <c r="K203" i="43" s="1"/>
  <c r="E204" i="43"/>
  <c r="E213" i="43" s="1"/>
  <c r="H202" i="43"/>
  <c r="F204" i="43"/>
  <c r="F213" i="43" s="1"/>
  <c r="L202" i="43"/>
  <c r="L203" i="43" s="1"/>
  <c r="G204" i="43"/>
  <c r="G213" i="43" s="1"/>
  <c r="D202" i="43"/>
  <c r="P193" i="43"/>
  <c r="Q193" i="43" s="1"/>
  <c r="P195" i="43"/>
  <c r="P194" i="43"/>
  <c r="Q194" i="43" s="1"/>
  <c r="R194" i="43" s="1"/>
  <c r="S194" i="43" s="1"/>
  <c r="T194" i="43" s="1"/>
  <c r="U194" i="43" s="1"/>
  <c r="V194" i="43" s="1"/>
  <c r="W194" i="43" s="1"/>
  <c r="X194" i="43" s="1"/>
  <c r="Y194" i="43" s="1"/>
  <c r="Z194" i="43" s="1"/>
  <c r="AA194" i="43" s="1"/>
  <c r="AB194" i="43" s="1"/>
  <c r="AC194" i="43" s="1"/>
  <c r="AD194" i="43" s="1"/>
  <c r="L193" i="43"/>
  <c r="L194" i="43"/>
  <c r="L195" i="43"/>
  <c r="O195" i="43"/>
  <c r="M195" i="43"/>
  <c r="M194" i="43"/>
  <c r="M193" i="43"/>
  <c r="N193" i="43"/>
  <c r="O193" i="43"/>
  <c r="N194" i="43"/>
  <c r="AA98" i="39"/>
  <c r="Z98" i="39"/>
  <c r="AA97" i="39"/>
  <c r="Z97" i="39"/>
  <c r="I106" i="43" l="1"/>
  <c r="J106" i="43"/>
  <c r="J130" i="43"/>
  <c r="J101" i="43"/>
  <c r="J109" i="43" s="1"/>
  <c r="L130" i="43"/>
  <c r="I130" i="43"/>
  <c r="I101" i="43"/>
  <c r="I109" i="43" s="1"/>
  <c r="K129" i="43"/>
  <c r="K130" i="43"/>
  <c r="I129" i="43"/>
  <c r="I100" i="43"/>
  <c r="I108" i="43" s="1"/>
  <c r="J129" i="43"/>
  <c r="J100" i="43"/>
  <c r="J108" i="43" s="1"/>
  <c r="L129" i="43"/>
  <c r="G130" i="43"/>
  <c r="H130" i="43"/>
  <c r="K128" i="43"/>
  <c r="H128" i="43"/>
  <c r="J128" i="43"/>
  <c r="J99" i="43"/>
  <c r="J107" i="43" s="1"/>
  <c r="L128" i="43"/>
  <c r="G129" i="43"/>
  <c r="G100" i="43"/>
  <c r="G108" i="43" s="1"/>
  <c r="I128" i="43"/>
  <c r="I99" i="43"/>
  <c r="I107" i="43" s="1"/>
  <c r="G128" i="43"/>
  <c r="H129" i="43"/>
  <c r="H100" i="43"/>
  <c r="H108" i="43" s="1"/>
  <c r="D211" i="43"/>
  <c r="D205" i="43"/>
  <c r="D214" i="43" s="1"/>
  <c r="D203" i="43"/>
  <c r="D212" i="43" s="1"/>
  <c r="H205" i="43"/>
  <c r="H214" i="43" s="1"/>
  <c r="H101" i="43" s="1"/>
  <c r="H109" i="43" s="1"/>
  <c r="H211" i="43"/>
  <c r="H98" i="43" s="1"/>
  <c r="H203" i="43"/>
  <c r="H212" i="43" s="1"/>
  <c r="H99" i="43" s="1"/>
  <c r="H107" i="43" s="1"/>
  <c r="L205" i="43"/>
  <c r="L214" i="43" s="1"/>
  <c r="L101" i="43" s="1"/>
  <c r="L109" i="43" s="1"/>
  <c r="L211" i="43"/>
  <c r="L98" i="43" s="1"/>
  <c r="L204" i="43"/>
  <c r="L213" i="43" s="1"/>
  <c r="L100" i="43" s="1"/>
  <c r="L108" i="43" s="1"/>
  <c r="L212" i="43"/>
  <c r="L99" i="43" s="1"/>
  <c r="L107" i="43" s="1"/>
  <c r="K205" i="43"/>
  <c r="K214" i="43" s="1"/>
  <c r="K101" i="43" s="1"/>
  <c r="K109" i="43" s="1"/>
  <c r="K211" i="43"/>
  <c r="K98" i="43" s="1"/>
  <c r="K204" i="43"/>
  <c r="K213" i="43" s="1"/>
  <c r="K100" i="43" s="1"/>
  <c r="K108" i="43" s="1"/>
  <c r="K212" i="43"/>
  <c r="K99" i="43" s="1"/>
  <c r="K107" i="43" s="1"/>
  <c r="G205" i="43"/>
  <c r="G214" i="43" s="1"/>
  <c r="G101" i="43" s="1"/>
  <c r="G109" i="43" s="1"/>
  <c r="G211" i="43"/>
  <c r="G98" i="43" s="1"/>
  <c r="G203" i="43"/>
  <c r="G212" i="43" s="1"/>
  <c r="G99" i="43" s="1"/>
  <c r="G107" i="43" s="1"/>
  <c r="Q195" i="43"/>
  <c r="R195" i="43" s="1"/>
  <c r="S195" i="43" s="1"/>
  <c r="T195" i="43" s="1"/>
  <c r="U195" i="43" s="1"/>
  <c r="V195" i="43" s="1"/>
  <c r="W195" i="43" s="1"/>
  <c r="X195" i="43" s="1"/>
  <c r="Y195" i="43" s="1"/>
  <c r="Z195" i="43" s="1"/>
  <c r="AA195" i="43" s="1"/>
  <c r="AB195" i="43" s="1"/>
  <c r="AC195" i="43" s="1"/>
  <c r="AD195" i="43" s="1"/>
  <c r="U98" i="39"/>
  <c r="R193" i="43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G106" i="43" l="1"/>
  <c r="K106" i="43"/>
  <c r="L106" i="43"/>
  <c r="H106" i="43"/>
  <c r="S193" i="43"/>
  <c r="M7" i="28"/>
  <c r="L7" i="28"/>
  <c r="M9" i="28"/>
  <c r="M15" i="28" s="1"/>
  <c r="L9" i="28"/>
  <c r="L15" i="28" s="1"/>
  <c r="T193" i="43" l="1"/>
  <c r="AD84" i="39"/>
  <c r="L84" i="39" s="1"/>
  <c r="M84" i="39" s="1"/>
  <c r="N84" i="39" s="1"/>
  <c r="O84" i="39" s="1"/>
  <c r="P84" i="39" s="1"/>
  <c r="Q84" i="39" s="1"/>
  <c r="R84" i="39" s="1"/>
  <c r="S84" i="39" s="1"/>
  <c r="T84" i="39" s="1"/>
  <c r="U84" i="39" s="1"/>
  <c r="V84" i="39" s="1"/>
  <c r="W84" i="39" s="1"/>
  <c r="X84" i="39" s="1"/>
  <c r="Y84" i="39" s="1"/>
  <c r="Z84" i="39" s="1"/>
  <c r="AA84" i="39" s="1"/>
  <c r="AB84" i="39" s="1"/>
  <c r="AC84" i="39" s="1"/>
  <c r="U193" i="43" l="1"/>
  <c r="V193" i="43" l="1"/>
  <c r="P57" i="39"/>
  <c r="W193" i="43" l="1"/>
  <c r="V52" i="43"/>
  <c r="S57" i="39"/>
  <c r="X193" i="43" l="1"/>
  <c r="W52" i="43"/>
  <c r="AB57" i="39"/>
  <c r="X57" i="39"/>
  <c r="T57" i="39"/>
  <c r="Q57" i="39"/>
  <c r="Z57" i="39"/>
  <c r="V57" i="39"/>
  <c r="R57" i="39"/>
  <c r="AC57" i="39"/>
  <c r="Y57" i="39"/>
  <c r="U57" i="39"/>
  <c r="AA57" i="39"/>
  <c r="W57" i="39"/>
  <c r="Y193" i="43" l="1"/>
  <c r="X52" i="43"/>
  <c r="AD86" i="39"/>
  <c r="Z193" i="43" l="1"/>
  <c r="Y52" i="43"/>
  <c r="AD85" i="39"/>
  <c r="L85" i="39" s="1"/>
  <c r="AA193" i="43" l="1"/>
  <c r="Z52" i="43"/>
  <c r="S58" i="39"/>
  <c r="W58" i="39"/>
  <c r="AA58" i="39"/>
  <c r="U58" i="39"/>
  <c r="Y58" i="39"/>
  <c r="V58" i="39"/>
  <c r="Q58" i="39"/>
  <c r="T58" i="39"/>
  <c r="X58" i="39"/>
  <c r="AB58" i="39"/>
  <c r="AC58" i="39"/>
  <c r="R58" i="39"/>
  <c r="Z58" i="39"/>
  <c r="AB56" i="39"/>
  <c r="U56" i="39"/>
  <c r="Y56" i="39"/>
  <c r="AC56" i="39"/>
  <c r="AA56" i="39"/>
  <c r="X56" i="39"/>
  <c r="R56" i="39"/>
  <c r="V56" i="39"/>
  <c r="Z56" i="39"/>
  <c r="Q56" i="39"/>
  <c r="S56" i="39"/>
  <c r="W56" i="39"/>
  <c r="T56" i="39"/>
  <c r="AC71" i="19"/>
  <c r="AC66" i="19"/>
  <c r="AC61" i="19"/>
  <c r="AC48" i="19"/>
  <c r="AC72" i="19" s="1"/>
  <c r="AD71" i="3"/>
  <c r="AD72" i="3"/>
  <c r="AD60" i="3"/>
  <c r="AD61" i="3"/>
  <c r="AD62" i="3"/>
  <c r="AD63" i="3"/>
  <c r="AD64" i="3"/>
  <c r="AD65" i="3"/>
  <c r="AD66" i="3"/>
  <c r="AC238" i="39"/>
  <c r="AC229" i="39"/>
  <c r="AC220" i="39"/>
  <c r="AC211" i="39"/>
  <c r="AC202" i="39"/>
  <c r="AC193" i="39"/>
  <c r="AC184" i="39"/>
  <c r="AC169" i="39"/>
  <c r="AC160" i="39"/>
  <c r="AC151" i="39"/>
  <c r="AC142" i="39"/>
  <c r="AC132" i="39"/>
  <c r="AC121" i="39"/>
  <c r="AC102" i="39"/>
  <c r="AC104" i="39"/>
  <c r="AF23" i="39"/>
  <c r="AF24" i="39"/>
  <c r="AF25" i="39"/>
  <c r="AF16" i="39"/>
  <c r="AF17" i="39"/>
  <c r="AF18" i="39"/>
  <c r="AB193" i="43" l="1"/>
  <c r="AA52" i="43"/>
  <c r="AD70" i="3"/>
  <c r="AC193" i="43" l="1"/>
  <c r="AB52" i="43"/>
  <c r="AB104" i="39"/>
  <c r="AA104" i="39"/>
  <c r="Z104" i="39"/>
  <c r="Y104" i="39"/>
  <c r="X104" i="39"/>
  <c r="W104" i="39"/>
  <c r="V104" i="39"/>
  <c r="U104" i="39"/>
  <c r="T104" i="39"/>
  <c r="S104" i="39"/>
  <c r="R104" i="39"/>
  <c r="Q104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4" i="39"/>
  <c r="P102" i="39"/>
  <c r="A98" i="1"/>
  <c r="A97" i="1"/>
  <c r="A96" i="1"/>
  <c r="A95" i="1"/>
  <c r="A94" i="1"/>
  <c r="A93" i="1"/>
  <c r="A92" i="1"/>
  <c r="A82" i="1"/>
  <c r="A81" i="1"/>
  <c r="A80" i="1"/>
  <c r="A79" i="1"/>
  <c r="A78" i="1"/>
  <c r="A77" i="1"/>
  <c r="A76" i="1"/>
  <c r="A39" i="1"/>
  <c r="A38" i="1"/>
  <c r="A37" i="1"/>
  <c r="A36" i="1"/>
  <c r="A35" i="1"/>
  <c r="A34" i="1"/>
  <c r="A33" i="1"/>
  <c r="AD193" i="43" l="1"/>
  <c r="AD52" i="43" s="1"/>
  <c r="AC52" i="43"/>
  <c r="L106" i="39"/>
  <c r="L86" i="39" l="1"/>
  <c r="M86" i="39" s="1"/>
  <c r="N86" i="39" s="1"/>
  <c r="O86" i="39" s="1"/>
  <c r="P86" i="39" s="1"/>
  <c r="Q86" i="39" s="1"/>
  <c r="R86" i="39" s="1"/>
  <c r="S86" i="39" s="1"/>
  <c r="T86" i="39" s="1"/>
  <c r="U86" i="39" s="1"/>
  <c r="V86" i="39" s="1"/>
  <c r="W86" i="39" s="1"/>
  <c r="X86" i="39" s="1"/>
  <c r="Y86" i="39" s="1"/>
  <c r="Z86" i="39" s="1"/>
  <c r="AA86" i="39" s="1"/>
  <c r="AB86" i="39" s="1"/>
  <c r="AC86" i="39" s="1"/>
  <c r="C92" i="39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AB184" i="39"/>
  <c r="AB169" i="39"/>
  <c r="AB160" i="39"/>
  <c r="AB151" i="39"/>
  <c r="AB142" i="39"/>
  <c r="AB132" i="39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C82" i="1"/>
  <c r="C81" i="1"/>
  <c r="C80" i="1"/>
  <c r="C79" i="1"/>
  <c r="C78" i="1"/>
  <c r="C77" i="1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D59" i="1"/>
  <c r="D58" i="1"/>
  <c r="D57" i="1"/>
  <c r="D56" i="1"/>
  <c r="D55" i="1"/>
  <c r="D54" i="1"/>
  <c r="D53" i="1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0" i="3"/>
  <c r="K70" i="3"/>
  <c r="J70" i="3"/>
  <c r="I70" i="3"/>
  <c r="H70" i="3"/>
  <c r="G70" i="3"/>
  <c r="F70" i="3"/>
  <c r="E70" i="3"/>
  <c r="D70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K110" i="39"/>
  <c r="L110" i="39" s="1"/>
  <c r="M110" i="39" s="1"/>
  <c r="N110" i="39" s="1"/>
  <c r="O110" i="39" s="1"/>
  <c r="J110" i="39"/>
  <c r="I110" i="39"/>
  <c r="H110" i="39"/>
  <c r="G110" i="39"/>
  <c r="F110" i="39"/>
  <c r="E110" i="39"/>
  <c r="D110" i="39"/>
  <c r="C110" i="39"/>
  <c r="E27" i="1"/>
  <c r="E26" i="1"/>
  <c r="E25" i="1"/>
  <c r="E24" i="1"/>
  <c r="E22" i="1"/>
  <c r="E21" i="1"/>
  <c r="M85" i="39" l="1"/>
  <c r="D63" i="1"/>
  <c r="E46" i="1"/>
  <c r="E48" i="1"/>
  <c r="E44" i="1"/>
  <c r="D67" i="1"/>
  <c r="D69" i="1"/>
  <c r="D43" i="1"/>
  <c r="D44" i="1"/>
  <c r="D46" i="1"/>
  <c r="D47" i="1"/>
  <c r="D48" i="1"/>
  <c r="D49" i="1"/>
  <c r="D64" i="1"/>
  <c r="D66" i="1"/>
  <c r="D68" i="1"/>
  <c r="E43" i="1"/>
  <c r="E47" i="1"/>
  <c r="E49" i="1"/>
  <c r="N85" i="39" l="1"/>
  <c r="Y48" i="19"/>
  <c r="Z48" i="19"/>
  <c r="AA48" i="19"/>
  <c r="AB48" i="19"/>
  <c r="M47" i="19"/>
  <c r="L47" i="19"/>
  <c r="C47" i="19"/>
  <c r="D47" i="19"/>
  <c r="E47" i="19"/>
  <c r="F47" i="19"/>
  <c r="G47" i="19"/>
  <c r="H47" i="19"/>
  <c r="I47" i="19"/>
  <c r="J47" i="19"/>
  <c r="K47" i="19"/>
  <c r="O85" i="39" l="1"/>
  <c r="D111" i="39"/>
  <c r="J111" i="39"/>
  <c r="H111" i="39"/>
  <c r="F111" i="39"/>
  <c r="C111" i="39"/>
  <c r="C112" i="39" s="1"/>
  <c r="K111" i="39"/>
  <c r="I111" i="39"/>
  <c r="G111" i="39"/>
  <c r="E111" i="39"/>
  <c r="P85" i="39" l="1"/>
  <c r="D112" i="39"/>
  <c r="G112" i="39"/>
  <c r="F112" i="39"/>
  <c r="J112" i="39"/>
  <c r="E112" i="39"/>
  <c r="I112" i="39"/>
  <c r="H112" i="39"/>
  <c r="K112" i="39"/>
  <c r="L112" i="39" s="1"/>
  <c r="L111" i="39"/>
  <c r="Q85" i="39" l="1"/>
  <c r="M111" i="39"/>
  <c r="M112" i="39"/>
  <c r="F33" i="7"/>
  <c r="G33" i="7" s="1"/>
  <c r="H33" i="7" s="1"/>
  <c r="I33" i="7" s="1"/>
  <c r="J33" i="7" s="1"/>
  <c r="K33" i="7" s="1"/>
  <c r="L33" i="7" s="1"/>
  <c r="M33" i="7" s="1"/>
  <c r="R85" i="39" l="1"/>
  <c r="N111" i="39"/>
  <c r="N112" i="39"/>
  <c r="Y72" i="19"/>
  <c r="Z72" i="19"/>
  <c r="AA72" i="19"/>
  <c r="AB72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C71" i="19"/>
  <c r="S85" i="39" l="1"/>
  <c r="O111" i="39"/>
  <c r="O112" i="39"/>
  <c r="C122" i="1"/>
  <c r="C117" i="1" s="1"/>
  <c r="T85" i="39" l="1"/>
  <c r="U85" i="39" l="1"/>
  <c r="V85" i="39" l="1"/>
  <c r="W85" i="39" l="1"/>
  <c r="X85" i="39" l="1"/>
  <c r="Z61" i="19"/>
  <c r="AA61" i="19"/>
  <c r="AB61" i="19"/>
  <c r="Y61" i="19"/>
  <c r="X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C63" i="19"/>
  <c r="C62" i="19"/>
  <c r="D61" i="19"/>
  <c r="D66" i="19" s="1"/>
  <c r="E61" i="19"/>
  <c r="E66" i="19" s="1"/>
  <c r="F61" i="19"/>
  <c r="F66" i="19" s="1"/>
  <c r="G61" i="19"/>
  <c r="G66" i="19" s="1"/>
  <c r="H61" i="19"/>
  <c r="H66" i="19" s="1"/>
  <c r="I61" i="19"/>
  <c r="I66" i="19" s="1"/>
  <c r="J61" i="19"/>
  <c r="J66" i="19" s="1"/>
  <c r="K61" i="19"/>
  <c r="K66" i="19" s="1"/>
  <c r="L61" i="19"/>
  <c r="L66" i="19" s="1"/>
  <c r="M61" i="19"/>
  <c r="M66" i="19" s="1"/>
  <c r="N61" i="19"/>
  <c r="N66" i="19" s="1"/>
  <c r="O61" i="19"/>
  <c r="O66" i="19" s="1"/>
  <c r="P61" i="19"/>
  <c r="P66" i="19" s="1"/>
  <c r="Q61" i="19"/>
  <c r="Q66" i="19" s="1"/>
  <c r="R61" i="19"/>
  <c r="R66" i="19" s="1"/>
  <c r="S61" i="19"/>
  <c r="S66" i="19" s="1"/>
  <c r="T61" i="19"/>
  <c r="T66" i="19" s="1"/>
  <c r="U61" i="19"/>
  <c r="U66" i="19" s="1"/>
  <c r="V61" i="19"/>
  <c r="V66" i="19" s="1"/>
  <c r="W61" i="19"/>
  <c r="W66" i="19" s="1"/>
  <c r="X61" i="19"/>
  <c r="X66" i="19" s="1"/>
  <c r="C61" i="19"/>
  <c r="C66" i="19" s="1"/>
  <c r="Y85" i="39" l="1"/>
  <c r="Y66" i="19"/>
  <c r="Y71" i="19"/>
  <c r="Z66" i="19"/>
  <c r="Z71" i="19"/>
  <c r="AA66" i="19"/>
  <c r="AA71" i="19"/>
  <c r="AB71" i="19"/>
  <c r="AB66" i="19"/>
  <c r="X56" i="19"/>
  <c r="X73" i="19" s="1"/>
  <c r="W56" i="19"/>
  <c r="W73" i="19" s="1"/>
  <c r="V56" i="19"/>
  <c r="V73" i="19" s="1"/>
  <c r="U56" i="19"/>
  <c r="U73" i="19" s="1"/>
  <c r="T56" i="19"/>
  <c r="T73" i="19" s="1"/>
  <c r="S56" i="19"/>
  <c r="S73" i="19" s="1"/>
  <c r="R56" i="19"/>
  <c r="R73" i="19" s="1"/>
  <c r="Q56" i="19"/>
  <c r="Q73" i="19" s="1"/>
  <c r="P56" i="19"/>
  <c r="P73" i="19" s="1"/>
  <c r="O56" i="19"/>
  <c r="O73" i="19" s="1"/>
  <c r="N56" i="19"/>
  <c r="N73" i="19" s="1"/>
  <c r="M56" i="19"/>
  <c r="M73" i="19" s="1"/>
  <c r="L56" i="19"/>
  <c r="L73" i="19" s="1"/>
  <c r="K56" i="19"/>
  <c r="K73" i="19" s="1"/>
  <c r="J56" i="19"/>
  <c r="J73" i="19" s="1"/>
  <c r="I56" i="19"/>
  <c r="I73" i="19" s="1"/>
  <c r="H56" i="19"/>
  <c r="H73" i="19" s="1"/>
  <c r="G56" i="19"/>
  <c r="G73" i="19" s="1"/>
  <c r="F56" i="19"/>
  <c r="F73" i="19" s="1"/>
  <c r="E56" i="19"/>
  <c r="E73" i="19" s="1"/>
  <c r="D56" i="19"/>
  <c r="D73" i="19" s="1"/>
  <c r="C56" i="19"/>
  <c r="C73" i="19" s="1"/>
  <c r="X48" i="19"/>
  <c r="X72" i="19" s="1"/>
  <c r="W48" i="19"/>
  <c r="W72" i="19" s="1"/>
  <c r="V48" i="19"/>
  <c r="V72" i="19" s="1"/>
  <c r="U48" i="19"/>
  <c r="U72" i="19" s="1"/>
  <c r="T48" i="19"/>
  <c r="T72" i="19" s="1"/>
  <c r="S48" i="19"/>
  <c r="S72" i="19" s="1"/>
  <c r="R48" i="19"/>
  <c r="R72" i="19" s="1"/>
  <c r="Q48" i="19"/>
  <c r="Q72" i="19" s="1"/>
  <c r="P48" i="19"/>
  <c r="P72" i="19" s="1"/>
  <c r="O48" i="19"/>
  <c r="O72" i="19" s="1"/>
  <c r="N48" i="19"/>
  <c r="N72" i="19" s="1"/>
  <c r="M48" i="19"/>
  <c r="M72" i="19" s="1"/>
  <c r="L48" i="19"/>
  <c r="L72" i="19" s="1"/>
  <c r="K48" i="19"/>
  <c r="K72" i="19" s="1"/>
  <c r="J48" i="19"/>
  <c r="J72" i="19" s="1"/>
  <c r="I48" i="19"/>
  <c r="I72" i="19" s="1"/>
  <c r="H48" i="19"/>
  <c r="H72" i="19" s="1"/>
  <c r="G48" i="19"/>
  <c r="G72" i="19" s="1"/>
  <c r="F48" i="19"/>
  <c r="F72" i="19" s="1"/>
  <c r="E48" i="19"/>
  <c r="E72" i="19" s="1"/>
  <c r="D48" i="19"/>
  <c r="D72" i="19" s="1"/>
  <c r="C48" i="19"/>
  <c r="C72" i="19" s="1"/>
  <c r="Z85" i="39" l="1"/>
  <c r="AA85" i="39" l="1"/>
  <c r="AB85" i="39" l="1"/>
  <c r="AC85" i="39" s="1"/>
  <c r="D50" i="3" l="1"/>
  <c r="D51" i="3"/>
  <c r="D52" i="3"/>
  <c r="D53" i="3"/>
  <c r="D54" i="3"/>
  <c r="D55" i="3"/>
  <c r="D49" i="3"/>
  <c r="K92" i="39" l="1"/>
  <c r="F92" i="39" l="1"/>
  <c r="G92" i="39"/>
  <c r="D92" i="39"/>
  <c r="H92" i="39"/>
  <c r="J92" i="39"/>
  <c r="I92" i="39"/>
  <c r="E92" i="39"/>
  <c r="E16" i="10"/>
  <c r="AE25" i="39" l="1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G47" i="39" s="1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G46" i="39" s="1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G45" i="39" s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L18" i="39"/>
  <c r="K18" i="39"/>
  <c r="J18" i="39"/>
  <c r="I18" i="39"/>
  <c r="H18" i="39"/>
  <c r="G18" i="39"/>
  <c r="G41" i="39" s="1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L17" i="39"/>
  <c r="K17" i="39"/>
  <c r="J17" i="39"/>
  <c r="I17" i="39"/>
  <c r="H17" i="39"/>
  <c r="G17" i="39"/>
  <c r="G40" i="39" s="1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G39" i="39" s="1"/>
  <c r="H47" i="39" l="1"/>
  <c r="H45" i="39"/>
  <c r="H46" i="39"/>
  <c r="H39" i="39"/>
  <c r="H40" i="39"/>
  <c r="I40" i="39" s="1"/>
  <c r="J40" i="39" s="1"/>
  <c r="K40" i="39" s="1"/>
  <c r="L40" i="39" s="1"/>
  <c r="M40" i="39" s="1"/>
  <c r="N40" i="39" s="1"/>
  <c r="O40" i="39" s="1"/>
  <c r="P40" i="39" s="1"/>
  <c r="Q40" i="39" s="1"/>
  <c r="R40" i="39" s="1"/>
  <c r="S40" i="39" s="1"/>
  <c r="T40" i="39" s="1"/>
  <c r="U40" i="39" s="1"/>
  <c r="V40" i="39" s="1"/>
  <c r="W40" i="39" s="1"/>
  <c r="X40" i="39" s="1"/>
  <c r="Y40" i="39" s="1"/>
  <c r="Z40" i="39" s="1"/>
  <c r="AA40" i="39" s="1"/>
  <c r="AB40" i="39" s="1"/>
  <c r="H41" i="39"/>
  <c r="I41" i="39" s="1"/>
  <c r="J41" i="39" s="1"/>
  <c r="K41" i="39" s="1"/>
  <c r="L41" i="39" s="1"/>
  <c r="M41" i="39" s="1"/>
  <c r="N41" i="39" s="1"/>
  <c r="O41" i="39" s="1"/>
  <c r="P41" i="39" s="1"/>
  <c r="Q41" i="39" s="1"/>
  <c r="R41" i="39" s="1"/>
  <c r="S41" i="39" s="1"/>
  <c r="T41" i="39" s="1"/>
  <c r="U41" i="39" s="1"/>
  <c r="V41" i="39" s="1"/>
  <c r="W41" i="39" s="1"/>
  <c r="X41" i="39" s="1"/>
  <c r="Y41" i="39" s="1"/>
  <c r="Z41" i="39" s="1"/>
  <c r="AA41" i="39" s="1"/>
  <c r="AB41" i="39" s="1"/>
  <c r="AC40" i="39" l="1"/>
  <c r="AD40" i="39" s="1"/>
  <c r="AE40" i="39" s="1"/>
  <c r="AF40" i="39" s="1"/>
  <c r="I39" i="39"/>
  <c r="I46" i="39"/>
  <c r="I45" i="39"/>
  <c r="I47" i="39"/>
  <c r="AC41" i="39"/>
  <c r="AD41" i="39" s="1"/>
  <c r="AE41" i="39" s="1"/>
  <c r="AF41" i="39" s="1"/>
  <c r="J46" i="39" l="1"/>
  <c r="J39" i="39"/>
  <c r="J45" i="39"/>
  <c r="J47" i="39"/>
  <c r="K39" i="39" l="1"/>
  <c r="K46" i="39"/>
  <c r="K45" i="39"/>
  <c r="K47" i="39"/>
  <c r="K8" i="28"/>
  <c r="L16" i="28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C7" i="3"/>
  <c r="C8" i="3"/>
  <c r="C9" i="3"/>
  <c r="C10" i="3"/>
  <c r="C11" i="3"/>
  <c r="C12" i="3"/>
  <c r="C13" i="3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I88" i="3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I100" i="3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K15" i="28"/>
  <c r="I15" i="28"/>
  <c r="G15" i="28"/>
  <c r="E15" i="28"/>
  <c r="H15" i="28"/>
  <c r="F15" i="28"/>
  <c r="D15" i="28"/>
  <c r="J15" i="28"/>
  <c r="C15" i="28"/>
  <c r="D8" i="28"/>
  <c r="L46" i="39" l="1"/>
  <c r="L39" i="39"/>
  <c r="L45" i="39"/>
  <c r="L47" i="39"/>
  <c r="I10" i="28"/>
  <c r="E10" i="28"/>
  <c r="H10" i="28"/>
  <c r="E8" i="28"/>
  <c r="E66" i="39" s="1"/>
  <c r="H8" i="28"/>
  <c r="H65" i="39" s="1"/>
  <c r="D10" i="28"/>
  <c r="K10" i="28"/>
  <c r="J10" i="28"/>
  <c r="F8" i="28"/>
  <c r="F67" i="39" s="1"/>
  <c r="C10" i="28"/>
  <c r="G10" i="28"/>
  <c r="G8" i="28"/>
  <c r="G67" i="39" s="1"/>
  <c r="J8" i="28"/>
  <c r="J65" i="39" s="1"/>
  <c r="F10" i="28"/>
  <c r="I8" i="28"/>
  <c r="I67" i="39" s="1"/>
  <c r="E49" i="3"/>
  <c r="G6" i="7"/>
  <c r="F49" i="3" s="1"/>
  <c r="F22" i="7"/>
  <c r="E22" i="7"/>
  <c r="E52" i="3"/>
  <c r="G9" i="7"/>
  <c r="E55" i="3"/>
  <c r="G12" i="7"/>
  <c r="E53" i="3"/>
  <c r="G10" i="7"/>
  <c r="E54" i="3"/>
  <c r="G11" i="7"/>
  <c r="E50" i="3"/>
  <c r="G7" i="7"/>
  <c r="E51" i="3"/>
  <c r="G8" i="7"/>
  <c r="C8" i="28"/>
  <c r="C66" i="39" s="1"/>
  <c r="C75" i="39" s="1"/>
  <c r="K67" i="39"/>
  <c r="K66" i="39"/>
  <c r="K65" i="39"/>
  <c r="D67" i="39"/>
  <c r="D66" i="39"/>
  <c r="D65" i="39"/>
  <c r="N33" i="39"/>
  <c r="O33" i="39" s="1"/>
  <c r="N32" i="39"/>
  <c r="O32" i="39" s="1"/>
  <c r="N31" i="39"/>
  <c r="M33" i="39"/>
  <c r="M32" i="39"/>
  <c r="M31" i="39"/>
  <c r="L35" i="7" s="1"/>
  <c r="L33" i="39"/>
  <c r="L32" i="39"/>
  <c r="L31" i="39"/>
  <c r="K35" i="7" s="1"/>
  <c r="K33" i="39"/>
  <c r="K32" i="39"/>
  <c r="K31" i="39"/>
  <c r="J35" i="7" s="1"/>
  <c r="J33" i="39"/>
  <c r="J32" i="39"/>
  <c r="J31" i="39"/>
  <c r="I35" i="7" s="1"/>
  <c r="I33" i="39"/>
  <c r="I32" i="39"/>
  <c r="I31" i="39"/>
  <c r="H35" i="7" s="1"/>
  <c r="H33" i="39"/>
  <c r="H32" i="39"/>
  <c r="H31" i="39"/>
  <c r="G35" i="7" s="1"/>
  <c r="G33" i="39"/>
  <c r="G32" i="39"/>
  <c r="G31" i="39"/>
  <c r="F35" i="7" s="1"/>
  <c r="L22" i="28"/>
  <c r="L21" i="28"/>
  <c r="L20" i="28"/>
  <c r="L19" i="28"/>
  <c r="L18" i="28"/>
  <c r="L17" i="28"/>
  <c r="L65" i="39" l="1"/>
  <c r="M65" i="39"/>
  <c r="M66" i="39"/>
  <c r="N66" i="39" s="1"/>
  <c r="O66" i="39" s="1"/>
  <c r="P66" i="39" s="1"/>
  <c r="Q66" i="39" s="1"/>
  <c r="R66" i="39" s="1"/>
  <c r="S66" i="39" s="1"/>
  <c r="T66" i="39" s="1"/>
  <c r="U66" i="39" s="1"/>
  <c r="V66" i="39" s="1"/>
  <c r="W66" i="39" s="1"/>
  <c r="X66" i="39" s="1"/>
  <c r="Y66" i="39" s="1"/>
  <c r="Z66" i="39" s="1"/>
  <c r="AA66" i="39" s="1"/>
  <c r="AB66" i="39" s="1"/>
  <c r="AC66" i="39" s="1"/>
  <c r="L66" i="39"/>
  <c r="M67" i="39"/>
  <c r="N67" i="39" s="1"/>
  <c r="O67" i="39" s="1"/>
  <c r="P67" i="39" s="1"/>
  <c r="Q67" i="39" s="1"/>
  <c r="R67" i="39" s="1"/>
  <c r="S67" i="39" s="1"/>
  <c r="T67" i="39" s="1"/>
  <c r="U67" i="39" s="1"/>
  <c r="V67" i="39" s="1"/>
  <c r="W67" i="39" s="1"/>
  <c r="X67" i="39" s="1"/>
  <c r="Y67" i="39" s="1"/>
  <c r="Z67" i="39" s="1"/>
  <c r="AA67" i="39" s="1"/>
  <c r="AB67" i="39" s="1"/>
  <c r="AC67" i="39" s="1"/>
  <c r="L67" i="39"/>
  <c r="M39" i="39"/>
  <c r="M46" i="39"/>
  <c r="N65" i="39"/>
  <c r="O65" i="39" s="1"/>
  <c r="P65" i="39" s="1"/>
  <c r="Q65" i="39" s="1"/>
  <c r="R65" i="39" s="1"/>
  <c r="S65" i="39" s="1"/>
  <c r="T65" i="39" s="1"/>
  <c r="U65" i="39" s="1"/>
  <c r="V65" i="39" s="1"/>
  <c r="W65" i="39" s="1"/>
  <c r="X65" i="39" s="1"/>
  <c r="Y65" i="39" s="1"/>
  <c r="Z65" i="39" s="1"/>
  <c r="AA65" i="39" s="1"/>
  <c r="AB65" i="39" s="1"/>
  <c r="AC65" i="39" s="1"/>
  <c r="M45" i="39"/>
  <c r="O31" i="39"/>
  <c r="M35" i="7"/>
  <c r="I66" i="39"/>
  <c r="M47" i="39"/>
  <c r="I65" i="39"/>
  <c r="H66" i="39"/>
  <c r="H67" i="39"/>
  <c r="E65" i="39"/>
  <c r="E67" i="39"/>
  <c r="J67" i="39"/>
  <c r="J66" i="39"/>
  <c r="C67" i="39"/>
  <c r="C76" i="39" s="1"/>
  <c r="C65" i="39"/>
  <c r="C74" i="39" s="1"/>
  <c r="F66" i="39"/>
  <c r="P33" i="39"/>
  <c r="F65" i="39"/>
  <c r="G65" i="39"/>
  <c r="H6" i="7"/>
  <c r="I6" i="7" s="1"/>
  <c r="G66" i="39"/>
  <c r="G22" i="7"/>
  <c r="F50" i="3"/>
  <c r="H7" i="7"/>
  <c r="F53" i="3"/>
  <c r="H10" i="7"/>
  <c r="F52" i="3"/>
  <c r="H9" i="7"/>
  <c r="F51" i="3"/>
  <c r="H8" i="7"/>
  <c r="F54" i="3"/>
  <c r="H11" i="7"/>
  <c r="F55" i="3"/>
  <c r="H12" i="7"/>
  <c r="P32" i="39"/>
  <c r="N39" i="39" l="1"/>
  <c r="N46" i="39"/>
  <c r="P31" i="39"/>
  <c r="N45" i="39"/>
  <c r="N47" i="39"/>
  <c r="H22" i="7"/>
  <c r="G49" i="3"/>
  <c r="Q33" i="39"/>
  <c r="G54" i="3"/>
  <c r="I11" i="7"/>
  <c r="G52" i="3"/>
  <c r="I9" i="7"/>
  <c r="G50" i="3"/>
  <c r="I7" i="7"/>
  <c r="G55" i="3"/>
  <c r="I12" i="7"/>
  <c r="G51" i="3"/>
  <c r="I8" i="7"/>
  <c r="G53" i="3"/>
  <c r="I10" i="7"/>
  <c r="H49" i="3"/>
  <c r="J6" i="7"/>
  <c r="I22" i="7"/>
  <c r="Q32" i="39"/>
  <c r="O46" i="39" l="1"/>
  <c r="P46" i="39" s="1"/>
  <c r="Q46" i="39" s="1"/>
  <c r="R46" i="39" s="1"/>
  <c r="S46" i="39" s="1"/>
  <c r="T46" i="39" s="1"/>
  <c r="U46" i="39" s="1"/>
  <c r="V46" i="39" s="1"/>
  <c r="W46" i="39" s="1"/>
  <c r="X46" i="39" s="1"/>
  <c r="Y46" i="39" s="1"/>
  <c r="Z46" i="39" s="1"/>
  <c r="AA46" i="39" s="1"/>
  <c r="AB46" i="39" s="1"/>
  <c r="AC46" i="39" s="1"/>
  <c r="AD46" i="39" s="1"/>
  <c r="AE46" i="39" s="1"/>
  <c r="AF46" i="39" s="1"/>
  <c r="O39" i="39"/>
  <c r="P39" i="39" s="1"/>
  <c r="Q39" i="39" s="1"/>
  <c r="R39" i="39" s="1"/>
  <c r="S39" i="39" s="1"/>
  <c r="T39" i="39" s="1"/>
  <c r="U39" i="39" s="1"/>
  <c r="V39" i="39" s="1"/>
  <c r="W39" i="39" s="1"/>
  <c r="X39" i="39" s="1"/>
  <c r="Y39" i="39" s="1"/>
  <c r="Z39" i="39" s="1"/>
  <c r="AA39" i="39" s="1"/>
  <c r="AB39" i="39" s="1"/>
  <c r="AC39" i="39" s="1"/>
  <c r="AD39" i="39" s="1"/>
  <c r="AE39" i="39" s="1"/>
  <c r="AF39" i="39" s="1"/>
  <c r="Q31" i="39"/>
  <c r="O45" i="39"/>
  <c r="O47" i="39"/>
  <c r="R33" i="39"/>
  <c r="H53" i="3"/>
  <c r="J10" i="7"/>
  <c r="H51" i="3"/>
  <c r="J8" i="7"/>
  <c r="H54" i="3"/>
  <c r="J11" i="7"/>
  <c r="I49" i="3"/>
  <c r="J22" i="7"/>
  <c r="K6" i="7"/>
  <c r="H50" i="3"/>
  <c r="J7" i="7"/>
  <c r="H55" i="3"/>
  <c r="J12" i="7"/>
  <c r="H52" i="3"/>
  <c r="J9" i="7"/>
  <c r="R32" i="39"/>
  <c r="R31" i="39" l="1"/>
  <c r="P45" i="39"/>
  <c r="P47" i="39"/>
  <c r="S33" i="39"/>
  <c r="I51" i="3"/>
  <c r="K8" i="7"/>
  <c r="I55" i="3"/>
  <c r="K12" i="7"/>
  <c r="J49" i="3"/>
  <c r="L6" i="7"/>
  <c r="K22" i="7"/>
  <c r="I54" i="3"/>
  <c r="K11" i="7"/>
  <c r="I53" i="3"/>
  <c r="K10" i="7"/>
  <c r="I52" i="3"/>
  <c r="K9" i="7"/>
  <c r="I50" i="3"/>
  <c r="K7" i="7"/>
  <c r="S32" i="39"/>
  <c r="S31" i="39" l="1"/>
  <c r="Q45" i="39"/>
  <c r="Q47" i="39"/>
  <c r="T33" i="39"/>
  <c r="J55" i="3"/>
  <c r="L12" i="7"/>
  <c r="J52" i="3"/>
  <c r="L9" i="7"/>
  <c r="J54" i="3"/>
  <c r="L11" i="7"/>
  <c r="K49" i="3"/>
  <c r="M6" i="7"/>
  <c r="L22" i="7"/>
  <c r="J51" i="3"/>
  <c r="L8" i="7"/>
  <c r="J50" i="3"/>
  <c r="L7" i="7"/>
  <c r="J53" i="3"/>
  <c r="L10" i="7"/>
  <c r="T32" i="39"/>
  <c r="T31" i="39" l="1"/>
  <c r="R45" i="39"/>
  <c r="R47" i="39"/>
  <c r="U33" i="39"/>
  <c r="L49" i="3"/>
  <c r="N6" i="7"/>
  <c r="M22" i="7"/>
  <c r="K52" i="3"/>
  <c r="M9" i="7"/>
  <c r="K50" i="3"/>
  <c r="M7" i="7"/>
  <c r="K54" i="3"/>
  <c r="M11" i="7"/>
  <c r="K55" i="3"/>
  <c r="M12" i="7"/>
  <c r="K53" i="3"/>
  <c r="M10" i="7"/>
  <c r="K51" i="3"/>
  <c r="M8" i="7"/>
  <c r="U32" i="39"/>
  <c r="U31" i="39" l="1"/>
  <c r="S45" i="39"/>
  <c r="S47" i="39"/>
  <c r="V33" i="39"/>
  <c r="L53" i="3"/>
  <c r="N10" i="7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L54" i="3"/>
  <c r="N11" i="7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L52" i="3"/>
  <c r="N9" i="7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N22" i="7"/>
  <c r="O6" i="7"/>
  <c r="L51" i="3"/>
  <c r="N8" i="7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L55" i="3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L50" i="3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V32" i="39"/>
  <c r="AD55" i="3" l="1"/>
  <c r="AE12" i="7"/>
  <c r="AD51" i="3"/>
  <c r="AE8" i="7"/>
  <c r="AE10" i="7"/>
  <c r="AD53" i="3"/>
  <c r="AE9" i="7"/>
  <c r="AD52" i="3"/>
  <c r="AE7" i="7"/>
  <c r="AD50" i="3"/>
  <c r="AE11" i="7"/>
  <c r="AD54" i="3"/>
  <c r="V31" i="39"/>
  <c r="T45" i="39"/>
  <c r="T47" i="39"/>
  <c r="W33" i="39"/>
  <c r="P6" i="7"/>
  <c r="O22" i="7"/>
  <c r="W32" i="39"/>
  <c r="W31" i="39" l="1"/>
  <c r="U45" i="39"/>
  <c r="U47" i="39"/>
  <c r="X33" i="39"/>
  <c r="Q6" i="7"/>
  <c r="P22" i="7"/>
  <c r="X32" i="39"/>
  <c r="X31" i="39" l="1"/>
  <c r="V45" i="39"/>
  <c r="V47" i="39"/>
  <c r="Y33" i="39"/>
  <c r="R6" i="7"/>
  <c r="Q22" i="7"/>
  <c r="Y32" i="39"/>
  <c r="Y31" i="39" l="1"/>
  <c r="W45" i="39"/>
  <c r="W47" i="39"/>
  <c r="Z33" i="39"/>
  <c r="S6" i="7"/>
  <c r="R22" i="7"/>
  <c r="Z32" i="39"/>
  <c r="Z31" i="39" l="1"/>
  <c r="X45" i="39"/>
  <c r="X47" i="39"/>
  <c r="AA33" i="39"/>
  <c r="T6" i="7"/>
  <c r="S22" i="7"/>
  <c r="AA32" i="39"/>
  <c r="AA31" i="39" l="1"/>
  <c r="Y45" i="39"/>
  <c r="Y47" i="39"/>
  <c r="AB33" i="39"/>
  <c r="U6" i="7"/>
  <c r="T22" i="7"/>
  <c r="AB32" i="39"/>
  <c r="AB31" i="39" l="1"/>
  <c r="Z45" i="39"/>
  <c r="Z47" i="39"/>
  <c r="AC33" i="39"/>
  <c r="V6" i="7"/>
  <c r="U22" i="7"/>
  <c r="AC32" i="39"/>
  <c r="AC31" i="39" l="1"/>
  <c r="AA45" i="39"/>
  <c r="AA47" i="39"/>
  <c r="AD33" i="39"/>
  <c r="V22" i="7"/>
  <c r="W6" i="7"/>
  <c r="AD32" i="39"/>
  <c r="AD31" i="39" l="1"/>
  <c r="AB45" i="39"/>
  <c r="AB47" i="39"/>
  <c r="AE33" i="39"/>
  <c r="AF33" i="39" s="1"/>
  <c r="X6" i="7"/>
  <c r="W22" i="7"/>
  <c r="AE32" i="39"/>
  <c r="AF32" i="39" s="1"/>
  <c r="AE31" i="39" l="1"/>
  <c r="AF31" i="39" s="1"/>
  <c r="AC45" i="39"/>
  <c r="AC47" i="39"/>
  <c r="Y6" i="7"/>
  <c r="X22" i="7"/>
  <c r="AD45" i="39" l="1"/>
  <c r="AD47" i="39"/>
  <c r="Z6" i="7"/>
  <c r="Y22" i="7"/>
  <c r="AE45" i="39" l="1"/>
  <c r="AF45" i="39" s="1"/>
  <c r="AE47" i="39"/>
  <c r="AF47" i="39" s="1"/>
  <c r="AA6" i="7"/>
  <c r="Z22" i="7"/>
  <c r="AB6" i="7" l="1"/>
  <c r="AA22" i="7"/>
  <c r="AC6" i="7" l="1"/>
  <c r="AB22" i="7"/>
  <c r="AD6" i="7" l="1"/>
  <c r="AC22" i="7"/>
  <c r="AD22" i="7" l="1"/>
  <c r="AE6" i="7"/>
  <c r="AE22" i="7" s="1"/>
  <c r="AD49" i="3"/>
  <c r="AC55" i="3"/>
  <c r="AC54" i="3" l="1"/>
  <c r="M54" i="3" l="1"/>
  <c r="M55" i="3" l="1"/>
  <c r="N55" i="3" l="1"/>
  <c r="N54" i="3" l="1"/>
  <c r="O55" i="3" l="1"/>
  <c r="O54" i="3" l="1"/>
  <c r="P55" i="3" l="1"/>
  <c r="P54" i="3" l="1"/>
  <c r="Q55" i="3" l="1"/>
  <c r="Q54" i="3" l="1"/>
  <c r="R55" i="3" l="1"/>
  <c r="R54" i="3" l="1"/>
  <c r="S55" i="3" l="1"/>
  <c r="S54" i="3" l="1"/>
  <c r="T55" i="3" l="1"/>
  <c r="T54" i="3" l="1"/>
  <c r="U55" i="3" l="1"/>
  <c r="U54" i="3" l="1"/>
  <c r="V55" i="3" l="1"/>
  <c r="V54" i="3" l="1"/>
  <c r="W55" i="3" l="1"/>
  <c r="W54" i="3" l="1"/>
  <c r="X55" i="3" l="1"/>
  <c r="X54" i="3" l="1"/>
  <c r="Y55" i="3" l="1"/>
  <c r="Y54" i="3" l="1"/>
  <c r="Z55" i="3" l="1"/>
  <c r="Z54" i="3" l="1"/>
  <c r="AA55" i="3" l="1"/>
  <c r="AA54" i="3" l="1"/>
  <c r="AB55" i="3" l="1"/>
  <c r="AB54" i="3" l="1"/>
  <c r="L13" i="3" l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L7" i="3" l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E20" i="3" l="1"/>
  <c r="F20" i="3"/>
  <c r="G20" i="3"/>
  <c r="H20" i="3"/>
  <c r="I20" i="3"/>
  <c r="J20" i="3"/>
  <c r="K20" i="3"/>
  <c r="L20" i="3"/>
  <c r="D20" i="3"/>
  <c r="E23" i="1" l="1"/>
  <c r="D65" i="1" l="1"/>
  <c r="D45" i="1"/>
  <c r="E45" i="1"/>
  <c r="AB121" i="39" l="1"/>
  <c r="AB193" i="39" l="1"/>
  <c r="AB202" i="39" l="1"/>
  <c r="AB211" i="39" l="1"/>
  <c r="AB220" i="39" l="1"/>
  <c r="AB238" i="39" l="1"/>
  <c r="AB229" i="39"/>
  <c r="T52" i="43" l="1"/>
  <c r="S52" i="43"/>
  <c r="Q52" i="43"/>
  <c r="U52" i="43"/>
  <c r="R52" i="43"/>
  <c r="E101" i="43" l="1"/>
  <c r="E109" i="43" s="1"/>
  <c r="F100" i="43"/>
  <c r="F108" i="43" s="1"/>
  <c r="F128" i="43"/>
  <c r="F101" i="43"/>
  <c r="F109" i="43" s="1"/>
  <c r="F127" i="43"/>
  <c r="E127" i="43"/>
  <c r="E130" i="43"/>
  <c r="E100" i="43"/>
  <c r="E108" i="43" s="1"/>
  <c r="E128" i="43"/>
  <c r="E98" i="43"/>
  <c r="F98" i="43"/>
  <c r="F106" i="43" s="1"/>
  <c r="D127" i="43"/>
  <c r="D128" i="43"/>
  <c r="D101" i="43"/>
  <c r="D109" i="43" s="1"/>
  <c r="D98" i="43"/>
  <c r="D129" i="43"/>
  <c r="D130" i="43" l="1"/>
  <c r="D106" i="43"/>
  <c r="D100" i="43"/>
  <c r="D108" i="43" s="1"/>
  <c r="D99" i="43"/>
  <c r="D107" i="43" s="1"/>
  <c r="F130" i="43"/>
  <c r="F129" i="43"/>
  <c r="E99" i="43"/>
  <c r="E107" i="43" s="1"/>
  <c r="F99" i="43"/>
  <c r="E106" i="43"/>
  <c r="E129" i="43"/>
  <c r="F107" i="43" l="1"/>
  <c r="K144" i="43" l="1"/>
  <c r="H144" i="43"/>
  <c r="J144" i="43"/>
  <c r="G144" i="43"/>
  <c r="AE161" i="43"/>
  <c r="AE162" i="43"/>
  <c r="AE160" i="43"/>
  <c r="AE159" i="43"/>
  <c r="AE158" i="43"/>
  <c r="AE40" i="43"/>
  <c r="F143" i="43" l="1"/>
  <c r="I151" i="43" s="1"/>
  <c r="I138" i="43" s="1"/>
  <c r="I143" i="43"/>
  <c r="P152" i="43" s="1"/>
  <c r="L159" i="43"/>
  <c r="L168" i="43" s="1"/>
  <c r="J159" i="43"/>
  <c r="J168" i="43" s="1"/>
  <c r="K159" i="43"/>
  <c r="K168" i="43" s="1"/>
  <c r="I159" i="43"/>
  <c r="I168" i="43" s="1"/>
  <c r="E160" i="43"/>
  <c r="E169" i="43" s="1"/>
  <c r="I160" i="43"/>
  <c r="E151" i="43"/>
  <c r="E138" i="43" s="1"/>
  <c r="H160" i="43"/>
  <c r="H169" i="43" s="1"/>
  <c r="D151" i="43"/>
  <c r="D138" i="43" s="1"/>
  <c r="G160" i="43"/>
  <c r="G169" i="43" s="1"/>
  <c r="F160" i="43"/>
  <c r="F169" i="43" s="1"/>
  <c r="H151" i="43"/>
  <c r="H138" i="43" s="1"/>
  <c r="T151" i="43"/>
  <c r="Q151" i="43"/>
  <c r="J151" i="43"/>
  <c r="J138" i="43" s="1"/>
  <c r="Z151" i="43"/>
  <c r="W151" i="43"/>
  <c r="F151" i="43"/>
  <c r="F138" i="43" s="1"/>
  <c r="X151" i="43"/>
  <c r="U151" i="43"/>
  <c r="N151" i="43"/>
  <c r="K151" i="43"/>
  <c r="K138" i="43" s="1"/>
  <c r="AA151" i="43"/>
  <c r="P151" i="43"/>
  <c r="AC151" i="43"/>
  <c r="S151" i="43"/>
  <c r="AD151" i="43"/>
  <c r="D160" i="43"/>
  <c r="D169" i="43" s="1"/>
  <c r="L151" i="43"/>
  <c r="L138" i="43" s="1"/>
  <c r="AB151" i="43"/>
  <c r="Y151" i="43"/>
  <c r="R151" i="43"/>
  <c r="O151" i="43"/>
  <c r="G151" i="43"/>
  <c r="G138" i="43" s="1"/>
  <c r="M151" i="43"/>
  <c r="V151" i="43"/>
  <c r="K160" i="43"/>
  <c r="K169" i="43" s="1"/>
  <c r="K162" i="43"/>
  <c r="K171" i="43" s="1"/>
  <c r="L162" i="43"/>
  <c r="L171" i="43" s="1"/>
  <c r="I162" i="43"/>
  <c r="I171" i="43" s="1"/>
  <c r="J162" i="43"/>
  <c r="J171" i="43" s="1"/>
  <c r="G161" i="43"/>
  <c r="G170" i="43" s="1"/>
  <c r="I161" i="43"/>
  <c r="I170" i="43" s="1"/>
  <c r="AA152" i="43"/>
  <c r="W152" i="43"/>
  <c r="S152" i="43"/>
  <c r="F161" i="43"/>
  <c r="F170" i="43" s="1"/>
  <c r="L161" i="43"/>
  <c r="L170" i="43" s="1"/>
  <c r="AD152" i="43"/>
  <c r="Z152" i="43"/>
  <c r="V152" i="43"/>
  <c r="F152" i="43"/>
  <c r="F139" i="43" s="1"/>
  <c r="E161" i="43"/>
  <c r="E170" i="43" s="1"/>
  <c r="H161" i="43"/>
  <c r="H170" i="43" s="1"/>
  <c r="AC152" i="43"/>
  <c r="Y152" i="43"/>
  <c r="U152" i="43"/>
  <c r="E152" i="43"/>
  <c r="E139" i="43" s="1"/>
  <c r="J161" i="43"/>
  <c r="J170" i="43" s="1"/>
  <c r="K161" i="43"/>
  <c r="K170" i="43" s="1"/>
  <c r="AB152" i="43"/>
  <c r="X152" i="43"/>
  <c r="T152" i="43"/>
  <c r="D152" i="43"/>
  <c r="D139" i="43" s="1"/>
  <c r="R152" i="43"/>
  <c r="Q152" i="43"/>
  <c r="H152" i="43"/>
  <c r="H139" i="43" s="1"/>
  <c r="K152" i="43"/>
  <c r="K139" i="43" s="1"/>
  <c r="O152" i="43"/>
  <c r="G152" i="43"/>
  <c r="G139" i="43" s="1"/>
  <c r="D161" i="43"/>
  <c r="D170" i="43" s="1"/>
  <c r="J152" i="43"/>
  <c r="J139" i="43" s="1"/>
  <c r="L152" i="43" l="1"/>
  <c r="L139" i="43" s="1"/>
  <c r="M152" i="43"/>
  <c r="I152" i="43"/>
  <c r="I139" i="43" s="1"/>
  <c r="I61" i="43" s="1"/>
  <c r="I78" i="43" s="1"/>
  <c r="N152" i="43"/>
  <c r="L160" i="43"/>
  <c r="J160" i="43"/>
  <c r="J169" i="43" s="1"/>
  <c r="I169" i="43"/>
  <c r="K62" i="43"/>
  <c r="G62" i="43"/>
  <c r="H63" i="43"/>
  <c r="H80" i="43" s="1"/>
  <c r="F61" i="43"/>
  <c r="F78" i="43" s="1"/>
  <c r="K63" i="43"/>
  <c r="K80" i="43" s="1"/>
  <c r="H62" i="43"/>
  <c r="L63" i="43"/>
  <c r="L80" i="43" s="1"/>
  <c r="Q63" i="43"/>
  <c r="I62" i="43"/>
  <c r="N199" i="43"/>
  <c r="R63" i="43"/>
  <c r="AC63" i="43"/>
  <c r="F62" i="43"/>
  <c r="G63" i="43"/>
  <c r="G80" i="43" s="1"/>
  <c r="O63" i="43"/>
  <c r="Y63" i="43"/>
  <c r="J62" i="43"/>
  <c r="I63" i="43"/>
  <c r="I80" i="43" s="1"/>
  <c r="W63" i="43"/>
  <c r="E62" i="43"/>
  <c r="J63" i="43"/>
  <c r="J80" i="43" s="1"/>
  <c r="Z63" i="43"/>
  <c r="D61" i="43"/>
  <c r="D78" i="43" s="1"/>
  <c r="F63" i="43"/>
  <c r="F80" i="43" s="1"/>
  <c r="AA63" i="43"/>
  <c r="L61" i="43"/>
  <c r="L78" i="43" s="1"/>
  <c r="P63" i="43"/>
  <c r="H61" i="43"/>
  <c r="H78" i="43" s="1"/>
  <c r="AD63" i="43"/>
  <c r="T63" i="43"/>
  <c r="X63" i="43"/>
  <c r="K61" i="43"/>
  <c r="K78" i="43" s="1"/>
  <c r="S63" i="43"/>
  <c r="E61" i="43"/>
  <c r="E78" i="43" s="1"/>
  <c r="E63" i="43"/>
  <c r="E80" i="43" s="1"/>
  <c r="N63" i="43"/>
  <c r="D60" i="43"/>
  <c r="D63" i="43"/>
  <c r="D80" i="43" s="1"/>
  <c r="U63" i="43"/>
  <c r="D62" i="43"/>
  <c r="G61" i="43"/>
  <c r="G78" i="43" s="1"/>
  <c r="F73" i="43"/>
  <c r="AB63" i="43"/>
  <c r="M63" i="43"/>
  <c r="F56" i="43"/>
  <c r="J61" i="43"/>
  <c r="J78" i="43" s="1"/>
  <c r="V63" i="43"/>
  <c r="H60" i="43" l="1"/>
  <c r="O60" i="43"/>
  <c r="I60" i="43"/>
  <c r="G60" i="43"/>
  <c r="M60" i="43"/>
  <c r="K60" i="43"/>
  <c r="E60" i="43"/>
  <c r="P60" i="43"/>
  <c r="F60" i="43"/>
  <c r="N60" i="43"/>
  <c r="J60" i="43"/>
  <c r="L60" i="43"/>
  <c r="D65" i="43"/>
  <c r="D82" i="43" s="1"/>
  <c r="D12" i="47" s="1"/>
  <c r="D79" i="43"/>
  <c r="D77" i="43"/>
  <c r="D64" i="43"/>
  <c r="E79" i="43"/>
  <c r="E65" i="43"/>
  <c r="E82" i="43" s="1"/>
  <c r="E12" i="47" s="1"/>
  <c r="J79" i="43"/>
  <c r="J65" i="43"/>
  <c r="J82" i="43" s="1"/>
  <c r="J12" i="47" s="1"/>
  <c r="F65" i="43"/>
  <c r="F82" i="43" s="1"/>
  <c r="F12" i="47" s="1"/>
  <c r="F79" i="43"/>
  <c r="I65" i="43"/>
  <c r="I82" i="43" s="1"/>
  <c r="I12" i="47" s="1"/>
  <c r="I79" i="43"/>
  <c r="H65" i="43"/>
  <c r="H82" i="43" s="1"/>
  <c r="H12" i="47" s="1"/>
  <c r="H79" i="43"/>
  <c r="G65" i="43"/>
  <c r="G82" i="43" s="1"/>
  <c r="G12" i="47" s="1"/>
  <c r="G79" i="43"/>
  <c r="K79" i="43"/>
  <c r="K65" i="43"/>
  <c r="K82" i="43" s="1"/>
  <c r="K12" i="47" s="1"/>
  <c r="L169" i="43"/>
  <c r="L62" i="43" s="1"/>
  <c r="M160" i="43"/>
  <c r="L79" i="43" l="1"/>
  <c r="L65" i="43"/>
  <c r="L82" i="43" s="1"/>
  <c r="L12" i="47" s="1"/>
  <c r="F64" i="43"/>
  <c r="F77" i="43"/>
  <c r="H77" i="43"/>
  <c r="H64" i="43"/>
  <c r="L77" i="43"/>
  <c r="L64" i="43"/>
  <c r="G64" i="43"/>
  <c r="G77" i="43"/>
  <c r="J77" i="43"/>
  <c r="J64" i="43"/>
  <c r="E64" i="43"/>
  <c r="E77" i="43"/>
  <c r="I64" i="43"/>
  <c r="I77" i="43"/>
  <c r="N160" i="43"/>
  <c r="D81" i="43"/>
  <c r="D11" i="47" s="1"/>
  <c r="D13" i="47" s="1"/>
  <c r="D67" i="43"/>
  <c r="K77" i="43"/>
  <c r="K64" i="43"/>
  <c r="H81" i="43" l="1"/>
  <c r="H11" i="47" s="1"/>
  <c r="H13" i="47" s="1"/>
  <c r="H67" i="43"/>
  <c r="O160" i="43"/>
  <c r="E81" i="43"/>
  <c r="E11" i="47" s="1"/>
  <c r="E13" i="47" s="1"/>
  <c r="E67" i="43"/>
  <c r="F67" i="43"/>
  <c r="F81" i="43"/>
  <c r="F11" i="47" s="1"/>
  <c r="F13" i="47" s="1"/>
  <c r="J67" i="43"/>
  <c r="J81" i="43"/>
  <c r="J11" i="47" s="1"/>
  <c r="J13" i="47" s="1"/>
  <c r="L81" i="43"/>
  <c r="L11" i="47" s="1"/>
  <c r="L13" i="47" s="1"/>
  <c r="L67" i="43"/>
  <c r="K81" i="43"/>
  <c r="K11" i="47" s="1"/>
  <c r="K13" i="47" s="1"/>
  <c r="K67" i="43"/>
  <c r="D84" i="43"/>
  <c r="D53" i="43"/>
  <c r="I67" i="43"/>
  <c r="I81" i="43"/>
  <c r="I11" i="47" s="1"/>
  <c r="I13" i="47" s="1"/>
  <c r="G67" i="43"/>
  <c r="G81" i="43"/>
  <c r="G11" i="47" s="1"/>
  <c r="G13" i="47" s="1"/>
  <c r="E84" i="43" l="1"/>
  <c r="E53" i="43"/>
  <c r="P160" i="43"/>
  <c r="H53" i="43"/>
  <c r="H84" i="43"/>
  <c r="K53" i="43"/>
  <c r="K84" i="43"/>
  <c r="G53" i="43"/>
  <c r="G84" i="43"/>
  <c r="I84" i="43"/>
  <c r="I53" i="43"/>
  <c r="J84" i="43"/>
  <c r="J53" i="43"/>
  <c r="F53" i="43"/>
  <c r="F84" i="43"/>
  <c r="D345" i="43"/>
  <c r="D243" i="43"/>
  <c r="D250" i="43" s="1"/>
  <c r="D242" i="43"/>
  <c r="D249" i="43" s="1"/>
  <c r="D241" i="43"/>
  <c r="L84" i="43"/>
  <c r="L53" i="43"/>
  <c r="D248" i="43" l="1"/>
  <c r="D244" i="43"/>
  <c r="F345" i="43"/>
  <c r="K345" i="43"/>
  <c r="H345" i="43"/>
  <c r="J345" i="43"/>
  <c r="Q160" i="43"/>
  <c r="L345" i="43"/>
  <c r="G345" i="43"/>
  <c r="I345" i="43"/>
  <c r="E345" i="43"/>
  <c r="R160" i="43" l="1"/>
  <c r="D251" i="43"/>
  <c r="D276" i="43"/>
  <c r="S160" i="43" l="1"/>
  <c r="D298" i="43"/>
  <c r="D308" i="43" s="1"/>
  <c r="D299" i="43"/>
  <c r="D309" i="43" s="1"/>
  <c r="D300" i="43"/>
  <c r="D297" i="43"/>
  <c r="D307" i="43" s="1"/>
  <c r="D310" i="43" l="1"/>
  <c r="D311" i="43" s="1"/>
  <c r="D301" i="43"/>
  <c r="T160" i="43"/>
  <c r="U160" i="43" l="1"/>
  <c r="V160" i="43" l="1"/>
  <c r="W160" i="43" l="1"/>
  <c r="X160" i="43" l="1"/>
  <c r="Y160" i="43" l="1"/>
  <c r="Z160" i="43" l="1"/>
  <c r="AA160" i="43" l="1"/>
  <c r="AB160" i="43" l="1"/>
  <c r="AC160" i="43" l="1"/>
  <c r="AD160" i="43" l="1"/>
  <c r="D51" i="43" l="1"/>
  <c r="D318" i="43"/>
  <c r="D292" i="43"/>
  <c r="L51" i="43"/>
  <c r="J51" i="43"/>
  <c r="E51" i="43"/>
  <c r="I51" i="43"/>
  <c r="K51" i="43"/>
  <c r="G51" i="43"/>
  <c r="F51" i="43"/>
  <c r="H51" i="43"/>
  <c r="D339" i="43" l="1"/>
  <c r="A187" i="39" l="1"/>
  <c r="AA121" i="39" l="1"/>
  <c r="Z121" i="39"/>
  <c r="Y121" i="39"/>
  <c r="X121" i="39"/>
  <c r="W121" i="39"/>
  <c r="V121" i="39"/>
  <c r="U121" i="39"/>
  <c r="T121" i="39"/>
  <c r="S121" i="39"/>
  <c r="R121" i="39"/>
  <c r="Q121" i="39"/>
  <c r="P121" i="39"/>
  <c r="O121" i="39"/>
  <c r="N121" i="39"/>
  <c r="M121" i="39"/>
  <c r="L121" i="39"/>
  <c r="AA238" i="39"/>
  <c r="AA229" i="39"/>
  <c r="AA220" i="39"/>
  <c r="AA211" i="39"/>
  <c r="AA202" i="39"/>
  <c r="AA184" i="39"/>
  <c r="Z184" i="39"/>
  <c r="Y184" i="39"/>
  <c r="X184" i="39"/>
  <c r="W184" i="39"/>
  <c r="V184" i="39"/>
  <c r="U184" i="39"/>
  <c r="T184" i="39"/>
  <c r="S184" i="39"/>
  <c r="R184" i="39"/>
  <c r="Q184" i="39"/>
  <c r="P184" i="39"/>
  <c r="O184" i="39"/>
  <c r="N184" i="39"/>
  <c r="M184" i="39"/>
  <c r="L184" i="39"/>
  <c r="A110" i="39"/>
  <c r="A125" i="39" l="1"/>
  <c r="K8" i="43"/>
  <c r="O197" i="39"/>
  <c r="Y136" i="39"/>
  <c r="N173" i="39"/>
  <c r="P197" i="39"/>
  <c r="T188" i="39"/>
  <c r="Z206" i="39"/>
  <c r="D75" i="39"/>
  <c r="U76" i="39"/>
  <c r="V136" i="39"/>
  <c r="X126" i="39"/>
  <c r="W188" i="39"/>
  <c r="I76" i="39"/>
  <c r="T173" i="39"/>
  <c r="Y4" i="43"/>
  <c r="Q8" i="43"/>
  <c r="Q356" i="43" s="1"/>
  <c r="AA8" i="43"/>
  <c r="AA356" i="43" s="1"/>
  <c r="Q74" i="39"/>
  <c r="O74" i="39"/>
  <c r="P224" i="39"/>
  <c r="AA188" i="39"/>
  <c r="P4" i="43"/>
  <c r="T155" i="39"/>
  <c r="Y146" i="39"/>
  <c r="Y126" i="39"/>
  <c r="W164" i="39"/>
  <c r="Q164" i="39"/>
  <c r="N242" i="39"/>
  <c r="U136" i="39"/>
  <c r="T224" i="39"/>
  <c r="S215" i="39"/>
  <c r="V76" i="39"/>
  <c r="N76" i="39"/>
  <c r="P146" i="39"/>
  <c r="P233" i="39"/>
  <c r="U8" i="43"/>
  <c r="U356" i="43" s="1"/>
  <c r="E8" i="43"/>
  <c r="R75" i="39"/>
  <c r="X233" i="39"/>
  <c r="Y233" i="39"/>
  <c r="AB4" i="43"/>
  <c r="S4" i="43"/>
  <c r="AB242" i="39"/>
  <c r="R164" i="39"/>
  <c r="N75" i="39"/>
  <c r="S164" i="39"/>
  <c r="N164" i="39"/>
  <c r="Z242" i="39"/>
  <c r="AA215" i="39"/>
  <c r="S76" i="39"/>
  <c r="X155" i="39"/>
  <c r="Y164" i="39"/>
  <c r="P173" i="39"/>
  <c r="O155" i="39"/>
  <c r="W206" i="39"/>
  <c r="L126" i="39"/>
  <c r="AD8" i="43"/>
  <c r="AD356" i="43" s="1"/>
  <c r="Z188" i="39"/>
  <c r="R173" i="39"/>
  <c r="U242" i="39"/>
  <c r="S74" i="39"/>
  <c r="AB173" i="39"/>
  <c r="X197" i="39"/>
  <c r="N146" i="39"/>
  <c r="J75" i="39"/>
  <c r="W4" i="43"/>
  <c r="L215" i="39"/>
  <c r="X242" i="39"/>
  <c r="S197" i="39"/>
  <c r="AC164" i="39"/>
  <c r="Q146" i="39"/>
  <c r="Q155" i="39"/>
  <c r="Z155" i="39"/>
  <c r="F75" i="39"/>
  <c r="V215" i="39"/>
  <c r="T242" i="39"/>
  <c r="AC8" i="43"/>
  <c r="AC356" i="43" s="1"/>
  <c r="L8" i="43"/>
  <c r="N155" i="39"/>
  <c r="S173" i="39"/>
  <c r="M164" i="39"/>
  <c r="T215" i="39"/>
  <c r="Q197" i="39"/>
  <c r="AC155" i="39"/>
  <c r="D74" i="39"/>
  <c r="S242" i="39"/>
  <c r="U146" i="39"/>
  <c r="U4" i="43"/>
  <c r="I74" i="39"/>
  <c r="Y75" i="39"/>
  <c r="P164" i="39"/>
  <c r="N188" i="39"/>
  <c r="U224" i="39"/>
  <c r="L224" i="39"/>
  <c r="AA224" i="39"/>
  <c r="AB126" i="39"/>
  <c r="Y188" i="39"/>
  <c r="F8" i="43"/>
  <c r="P8" i="43"/>
  <c r="U215" i="39"/>
  <c r="R146" i="39"/>
  <c r="R74" i="39"/>
  <c r="S136" i="39"/>
  <c r="M242" i="39"/>
  <c r="T4" i="43"/>
  <c r="W74" i="39"/>
  <c r="M173" i="39"/>
  <c r="O188" i="39"/>
  <c r="X206" i="39"/>
  <c r="AC215" i="39"/>
  <c r="H74" i="39"/>
  <c r="Z233" i="39"/>
  <c r="J74" i="39"/>
  <c r="N197" i="39"/>
  <c r="AA173" i="39"/>
  <c r="J76" i="39"/>
  <c r="Y224" i="39"/>
  <c r="J8" i="43"/>
  <c r="T8" i="43"/>
  <c r="T356" i="43" s="1"/>
  <c r="V173" i="39"/>
  <c r="M197" i="39"/>
  <c r="AC206" i="39"/>
  <c r="U188" i="39"/>
  <c r="Z224" i="39"/>
  <c r="P206" i="39"/>
  <c r="AC76" i="39"/>
  <c r="M188" i="39"/>
  <c r="D76" i="39"/>
  <c r="N74" i="39"/>
  <c r="P74" i="39"/>
  <c r="X136" i="39"/>
  <c r="AA136" i="39"/>
  <c r="L75" i="39"/>
  <c r="T136" i="39"/>
  <c r="Q126" i="39"/>
  <c r="S206" i="39"/>
  <c r="R233" i="39"/>
  <c r="I8" i="43"/>
  <c r="S8" i="43"/>
  <c r="S356" i="43" s="1"/>
  <c r="T146" i="39"/>
  <c r="K74" i="39"/>
  <c r="M4" i="43"/>
  <c r="M206" i="39"/>
  <c r="AB224" i="39"/>
  <c r="S188" i="39"/>
  <c r="AA76" i="39"/>
  <c r="X215" i="39"/>
  <c r="L233" i="39"/>
  <c r="L74" i="39"/>
  <c r="AC146" i="39"/>
  <c r="AB197" i="39"/>
  <c r="O146" i="39"/>
  <c r="AB75" i="39"/>
  <c r="N215" i="39"/>
  <c r="Q224" i="39"/>
  <c r="L164" i="39"/>
  <c r="H75" i="39"/>
  <c r="Y215" i="39"/>
  <c r="R8" i="43"/>
  <c r="R356" i="43" s="1"/>
  <c r="AB8" i="43"/>
  <c r="AB356" i="43" s="1"/>
  <c r="T76" i="39"/>
  <c r="AA164" i="39"/>
  <c r="N126" i="39"/>
  <c r="K76" i="39"/>
  <c r="V74" i="39"/>
  <c r="AC173" i="39"/>
  <c r="V8" i="43"/>
  <c r="V356" i="43" s="1"/>
  <c r="X4" i="43"/>
  <c r="V126" i="39"/>
  <c r="AB188" i="39"/>
  <c r="AB136" i="39"/>
  <c r="F74" i="39"/>
  <c r="Y76" i="39"/>
  <c r="X164" i="39"/>
  <c r="L206" i="39"/>
  <c r="M74" i="39"/>
  <c r="AB146" i="39"/>
  <c r="AC75" i="39"/>
  <c r="W146" i="39"/>
  <c r="O206" i="39"/>
  <c r="AC136" i="39"/>
  <c r="Q136" i="39"/>
  <c r="M224" i="39"/>
  <c r="F76" i="39"/>
  <c r="U206" i="39"/>
  <c r="W76" i="39"/>
  <c r="Z8" i="43"/>
  <c r="Z356" i="43" s="1"/>
  <c r="G74" i="39"/>
  <c r="R155" i="39"/>
  <c r="S146" i="39"/>
  <c r="W233" i="39"/>
  <c r="P215" i="39"/>
  <c r="Q233" i="39"/>
  <c r="Y206" i="39"/>
  <c r="H76" i="39"/>
  <c r="O75" i="39"/>
  <c r="R4" i="43"/>
  <c r="M146" i="39"/>
  <c r="W136" i="39"/>
  <c r="AC4" i="43"/>
  <c r="S233" i="39"/>
  <c r="R242" i="39"/>
  <c r="M233" i="39"/>
  <c r="AB206" i="39"/>
  <c r="P76" i="39"/>
  <c r="T75" i="39"/>
  <c r="Y8" i="43"/>
  <c r="Y356" i="43" s="1"/>
  <c r="H8" i="43"/>
  <c r="R197" i="39"/>
  <c r="W173" i="39"/>
  <c r="E75" i="39"/>
  <c r="AC74" i="39"/>
  <c r="V188" i="39"/>
  <c r="AB215" i="39"/>
  <c r="R136" i="39"/>
  <c r="Q76" i="39"/>
  <c r="U173" i="39"/>
  <c r="Z164" i="39"/>
  <c r="Z146" i="39"/>
  <c r="M136" i="39"/>
  <c r="Y74" i="39"/>
  <c r="T197" i="39"/>
  <c r="V155" i="39"/>
  <c r="X74" i="39"/>
  <c r="AD4" i="43"/>
  <c r="O164" i="39"/>
  <c r="U164" i="39"/>
  <c r="G8" i="43"/>
  <c r="O173" i="39"/>
  <c r="Q4" i="43"/>
  <c r="Q188" i="39"/>
  <c r="Z75" i="39"/>
  <c r="V146" i="39"/>
  <c r="X173" i="39"/>
  <c r="Z76" i="39"/>
  <c r="T233" i="39"/>
  <c r="L197" i="39"/>
  <c r="Z215" i="39"/>
  <c r="O76" i="39"/>
  <c r="R215" i="39"/>
  <c r="P75" i="39"/>
  <c r="K75" i="39"/>
  <c r="U74" i="39"/>
  <c r="AC224" i="39"/>
  <c r="M126" i="39"/>
  <c r="S75" i="39"/>
  <c r="V75" i="39"/>
  <c r="V206" i="39"/>
  <c r="R76" i="39"/>
  <c r="I75" i="39"/>
  <c r="Y197" i="39"/>
  <c r="R224" i="39"/>
  <c r="V224" i="39"/>
  <c r="S155" i="39"/>
  <c r="X75" i="39"/>
  <c r="AA75" i="39"/>
  <c r="W155" i="39"/>
  <c r="O215" i="39"/>
  <c r="O233" i="39"/>
  <c r="V4" i="43"/>
  <c r="L136" i="39"/>
  <c r="AA206" i="39"/>
  <c r="M75" i="39"/>
  <c r="T126" i="39"/>
  <c r="O224" i="39"/>
  <c r="Z4" i="43"/>
  <c r="P126" i="39"/>
  <c r="Q215" i="39"/>
  <c r="AC233" i="39"/>
  <c r="N8" i="43"/>
  <c r="AB74" i="39"/>
  <c r="M8" i="43"/>
  <c r="AA126" i="39"/>
  <c r="U197" i="39"/>
  <c r="P136" i="39"/>
  <c r="Y173" i="39"/>
  <c r="L76" i="39"/>
  <c r="L188" i="39"/>
  <c r="AC242" i="39"/>
  <c r="V164" i="39"/>
  <c r="V233" i="39"/>
  <c r="G76" i="39"/>
  <c r="Q242" i="39"/>
  <c r="N233" i="39"/>
  <c r="AA155" i="39"/>
  <c r="X8" i="43"/>
  <c r="X356" i="43" s="1"/>
  <c r="X188" i="39"/>
  <c r="V197" i="39"/>
  <c r="Z136" i="39"/>
  <c r="AB76" i="39"/>
  <c r="W8" i="43"/>
  <c r="W356" i="43" s="1"/>
  <c r="AB233" i="39"/>
  <c r="X146" i="39"/>
  <c r="G75" i="39"/>
  <c r="M155" i="39"/>
  <c r="L155" i="39"/>
  <c r="S224" i="39"/>
  <c r="X224" i="39"/>
  <c r="R188" i="39"/>
  <c r="U126" i="39"/>
  <c r="R206" i="39"/>
  <c r="X76" i="39"/>
  <c r="P155" i="39"/>
  <c r="P188" i="39"/>
  <c r="L173" i="39"/>
  <c r="AB155" i="39"/>
  <c r="N136" i="39"/>
  <c r="AA197" i="39"/>
  <c r="E74" i="39"/>
  <c r="W197" i="39"/>
  <c r="AC197" i="39"/>
  <c r="P242" i="39"/>
  <c r="W224" i="39"/>
  <c r="L146" i="39"/>
  <c r="AB164" i="39"/>
  <c r="AA242" i="39"/>
  <c r="W75" i="39"/>
  <c r="R126" i="39"/>
  <c r="N224" i="39"/>
  <c r="M76" i="39"/>
  <c r="E76" i="39"/>
  <c r="O126" i="39"/>
  <c r="Z197" i="39"/>
  <c r="Q75" i="39"/>
  <c r="U233" i="39"/>
  <c r="Z74" i="39"/>
  <c r="W126" i="39"/>
  <c r="AA74" i="39"/>
  <c r="S126" i="39"/>
  <c r="M215" i="39"/>
  <c r="AA4" i="43"/>
  <c r="Z126" i="39"/>
  <c r="T74" i="39"/>
  <c r="AA146" i="39"/>
  <c r="Q206" i="39"/>
  <c r="N206" i="39"/>
  <c r="T164" i="39"/>
  <c r="W215" i="39"/>
  <c r="Y155" i="39"/>
  <c r="Y242" i="39"/>
  <c r="Q173" i="39"/>
  <c r="AA233" i="39"/>
  <c r="L242" i="39"/>
  <c r="W242" i="39"/>
  <c r="Z173" i="39"/>
  <c r="O136" i="39"/>
  <c r="U75" i="39"/>
  <c r="O8" i="43"/>
  <c r="O242" i="39"/>
  <c r="N4" i="43"/>
  <c r="T206" i="39"/>
  <c r="AC188" i="39"/>
  <c r="U155" i="39"/>
  <c r="V242" i="39"/>
  <c r="O4" i="43"/>
  <c r="AC126" i="39"/>
  <c r="I33" i="3"/>
  <c r="N33" i="3"/>
  <c r="O33" i="3"/>
  <c r="G33" i="3"/>
  <c r="D33" i="3"/>
  <c r="H33" i="3"/>
  <c r="F33" i="3"/>
  <c r="L33" i="3"/>
  <c r="AD33" i="3"/>
  <c r="K33" i="3"/>
  <c r="E33" i="3"/>
  <c r="J33" i="3"/>
  <c r="M33" i="3"/>
  <c r="AB145" i="39" l="1"/>
  <c r="AB147" i="39"/>
  <c r="AC125" i="39"/>
  <c r="AC127" i="39"/>
  <c r="AC187" i="39"/>
  <c r="AC189" i="39"/>
  <c r="O332" i="43"/>
  <c r="O268" i="43"/>
  <c r="O356" i="43"/>
  <c r="O267" i="43"/>
  <c r="O269" i="43"/>
  <c r="O266" i="43"/>
  <c r="Z125" i="39"/>
  <c r="Z127" i="39"/>
  <c r="AA243" i="39"/>
  <c r="AA241" i="39"/>
  <c r="P189" i="39"/>
  <c r="P187" i="39"/>
  <c r="U125" i="39"/>
  <c r="U127" i="39"/>
  <c r="AB234" i="39"/>
  <c r="AB232" i="39"/>
  <c r="M332" i="43"/>
  <c r="M267" i="43"/>
  <c r="M268" i="43"/>
  <c r="M266" i="43"/>
  <c r="M356" i="43"/>
  <c r="M269" i="43"/>
  <c r="T125" i="39"/>
  <c r="T127" i="39"/>
  <c r="V1" i="43"/>
  <c r="V136" i="43"/>
  <c r="V355" i="43"/>
  <c r="V140" i="43"/>
  <c r="V83" i="43"/>
  <c r="V177" i="43"/>
  <c r="V137" i="43"/>
  <c r="V139" i="43"/>
  <c r="V138" i="43"/>
  <c r="V80" i="43"/>
  <c r="V169" i="43"/>
  <c r="AC225" i="39"/>
  <c r="AC223" i="39"/>
  <c r="G333" i="43"/>
  <c r="G324" i="43" s="1"/>
  <c r="G334" i="43"/>
  <c r="G325" i="43" s="1"/>
  <c r="G332" i="43"/>
  <c r="G356" i="43"/>
  <c r="G266" i="43"/>
  <c r="G269" i="43"/>
  <c r="G267" i="43"/>
  <c r="G268" i="43"/>
  <c r="H333" i="43"/>
  <c r="H324" i="43" s="1"/>
  <c r="H334" i="43"/>
  <c r="H325" i="43" s="1"/>
  <c r="H266" i="43"/>
  <c r="H268" i="43"/>
  <c r="H267" i="43"/>
  <c r="H356" i="43"/>
  <c r="H269" i="43"/>
  <c r="H332" i="43"/>
  <c r="AB207" i="39"/>
  <c r="AB205" i="39"/>
  <c r="AC1" i="43"/>
  <c r="AC83" i="43"/>
  <c r="AC177" i="43"/>
  <c r="AC137" i="43"/>
  <c r="AC136" i="43"/>
  <c r="AC355" i="43"/>
  <c r="AC140" i="43"/>
  <c r="AC138" i="43"/>
  <c r="AC139" i="43"/>
  <c r="AC80" i="43"/>
  <c r="AC169" i="43"/>
  <c r="X1" i="43"/>
  <c r="X140" i="43"/>
  <c r="X177" i="43"/>
  <c r="X136" i="43"/>
  <c r="X83" i="43"/>
  <c r="X355" i="43"/>
  <c r="X137" i="43"/>
  <c r="X138" i="43"/>
  <c r="X139" i="43"/>
  <c r="X80" i="43"/>
  <c r="X169" i="43"/>
  <c r="AB225" i="39"/>
  <c r="AB223" i="39"/>
  <c r="O189" i="39"/>
  <c r="O187" i="39"/>
  <c r="AB127" i="39"/>
  <c r="AB125" i="39"/>
  <c r="N187" i="39"/>
  <c r="N189" i="39"/>
  <c r="U1" i="43"/>
  <c r="U137" i="43"/>
  <c r="U355" i="43"/>
  <c r="U140" i="43"/>
  <c r="U177" i="43"/>
  <c r="U83" i="43"/>
  <c r="U136" i="43"/>
  <c r="U139" i="43"/>
  <c r="U138" i="43"/>
  <c r="U80" i="43"/>
  <c r="U169" i="43"/>
  <c r="AC156" i="39"/>
  <c r="AC154" i="39"/>
  <c r="L127" i="39"/>
  <c r="L125" i="39"/>
  <c r="W187" i="39"/>
  <c r="W189" i="39"/>
  <c r="S125" i="39"/>
  <c r="S127" i="39"/>
  <c r="AA125" i="39"/>
  <c r="AA127" i="39"/>
  <c r="M127" i="39"/>
  <c r="M125" i="39"/>
  <c r="AD1" i="43"/>
  <c r="AD140" i="43"/>
  <c r="AD355" i="43"/>
  <c r="AD83" i="43"/>
  <c r="AD136" i="43"/>
  <c r="AD177" i="43"/>
  <c r="AD137" i="43"/>
  <c r="AD139" i="43"/>
  <c r="AD138" i="43"/>
  <c r="AD80" i="43"/>
  <c r="AD169" i="43"/>
  <c r="AC137" i="39"/>
  <c r="AC135" i="39"/>
  <c r="O140" i="43"/>
  <c r="O202" i="43"/>
  <c r="O137" i="43"/>
  <c r="O177" i="43"/>
  <c r="O83" i="43"/>
  <c r="O128" i="43"/>
  <c r="O158" i="43"/>
  <c r="O136" i="43"/>
  <c r="O127" i="43"/>
  <c r="O131" i="43"/>
  <c r="O129" i="43"/>
  <c r="O130" i="43"/>
  <c r="O355" i="43"/>
  <c r="O139" i="43"/>
  <c r="O138" i="43"/>
  <c r="O80" i="43"/>
  <c r="O77" i="43"/>
  <c r="O169" i="43"/>
  <c r="AA1" i="43"/>
  <c r="AA136" i="43"/>
  <c r="AA140" i="43"/>
  <c r="AA83" i="43"/>
  <c r="AA355" i="43"/>
  <c r="AA137" i="43"/>
  <c r="AA177" i="43"/>
  <c r="AA138" i="43"/>
  <c r="AA139" i="43"/>
  <c r="AA80" i="43"/>
  <c r="AA169" i="43"/>
  <c r="W127" i="39"/>
  <c r="W125" i="39"/>
  <c r="AB165" i="39"/>
  <c r="AB163" i="39"/>
  <c r="AC196" i="39"/>
  <c r="AC198" i="39"/>
  <c r="R187" i="39"/>
  <c r="R189" i="39"/>
  <c r="X187" i="39"/>
  <c r="X189" i="39"/>
  <c r="AC241" i="39"/>
  <c r="AC243" i="39"/>
  <c r="P127" i="39"/>
  <c r="P125" i="39"/>
  <c r="Q187" i="39"/>
  <c r="Q189" i="39"/>
  <c r="AB135" i="39"/>
  <c r="AB137" i="39"/>
  <c r="N125" i="39"/>
  <c r="N127" i="39"/>
  <c r="AB196" i="39"/>
  <c r="AB198" i="39"/>
  <c r="Q127" i="39"/>
  <c r="Q125" i="39"/>
  <c r="M187" i="39"/>
  <c r="M189" i="39"/>
  <c r="U189" i="39"/>
  <c r="U187" i="39"/>
  <c r="P267" i="43"/>
  <c r="Q267" i="43" s="1"/>
  <c r="P356" i="43"/>
  <c r="P268" i="43"/>
  <c r="Q268" i="43" s="1"/>
  <c r="P269" i="43"/>
  <c r="Q269" i="43" s="1"/>
  <c r="R269" i="43" s="1"/>
  <c r="S269" i="43" s="1"/>
  <c r="T269" i="43" s="1"/>
  <c r="U269" i="43" s="1"/>
  <c r="V269" i="43" s="1"/>
  <c r="W269" i="43" s="1"/>
  <c r="X269" i="43" s="1"/>
  <c r="Y269" i="43" s="1"/>
  <c r="Z269" i="43" s="1"/>
  <c r="AA269" i="43" s="1"/>
  <c r="AB269" i="43" s="1"/>
  <c r="AC269" i="43" s="1"/>
  <c r="AD269" i="43" s="1"/>
  <c r="P332" i="43"/>
  <c r="P266" i="43"/>
  <c r="Q266" i="43" s="1"/>
  <c r="AA225" i="39"/>
  <c r="AA223" i="39"/>
  <c r="AB241" i="39"/>
  <c r="AB243" i="39"/>
  <c r="Y1" i="43"/>
  <c r="Y83" i="43"/>
  <c r="Y355" i="43"/>
  <c r="Y137" i="43"/>
  <c r="Y177" i="43"/>
  <c r="Y140" i="43"/>
  <c r="Y136" i="43"/>
  <c r="Y138" i="43"/>
  <c r="Y139" i="43"/>
  <c r="Y80" i="43"/>
  <c r="Y169" i="43"/>
  <c r="X127" i="39"/>
  <c r="X125" i="39"/>
  <c r="AC232" i="39"/>
  <c r="AC234" i="39"/>
  <c r="V187" i="39"/>
  <c r="V189" i="39"/>
  <c r="S187" i="39"/>
  <c r="S189" i="39"/>
  <c r="N130" i="43"/>
  <c r="N158" i="43"/>
  <c r="N83" i="43"/>
  <c r="N127" i="43"/>
  <c r="N136" i="43"/>
  <c r="N137" i="43"/>
  <c r="N131" i="43"/>
  <c r="N355" i="43"/>
  <c r="N129" i="43"/>
  <c r="N202" i="43"/>
  <c r="N140" i="43"/>
  <c r="N177" i="43"/>
  <c r="N128" i="43"/>
  <c r="N138" i="43"/>
  <c r="N139" i="43"/>
  <c r="N80" i="43"/>
  <c r="N77" i="43"/>
  <c r="N169" i="43"/>
  <c r="AA232" i="39"/>
  <c r="AA234" i="39"/>
  <c r="O125" i="39"/>
  <c r="O127" i="39"/>
  <c r="R125" i="39"/>
  <c r="R127" i="39"/>
  <c r="AB156" i="39"/>
  <c r="AB154" i="39"/>
  <c r="L189" i="39"/>
  <c r="L187" i="39"/>
  <c r="N332" i="43"/>
  <c r="N266" i="43"/>
  <c r="N267" i="43"/>
  <c r="N268" i="43"/>
  <c r="N356" i="43"/>
  <c r="N269" i="43"/>
  <c r="Z1" i="43"/>
  <c r="Z136" i="43"/>
  <c r="Z140" i="43"/>
  <c r="Z355" i="43"/>
  <c r="Z177" i="43"/>
  <c r="Z137" i="43"/>
  <c r="Z83" i="43"/>
  <c r="Z139" i="43"/>
  <c r="Z138" i="43"/>
  <c r="Z80" i="43"/>
  <c r="Z169" i="43"/>
  <c r="AA207" i="39"/>
  <c r="AA205" i="39"/>
  <c r="Q1" i="43"/>
  <c r="Q40" i="43" s="1"/>
  <c r="Q137" i="43"/>
  <c r="Q140" i="43"/>
  <c r="Q136" i="43"/>
  <c r="Q83" i="43"/>
  <c r="Q355" i="43"/>
  <c r="Q177" i="43"/>
  <c r="Q139" i="43"/>
  <c r="Q138" i="43"/>
  <c r="Q80" i="43"/>
  <c r="Q169" i="43"/>
  <c r="AB214" i="39"/>
  <c r="AB216" i="39"/>
  <c r="AB189" i="39"/>
  <c r="AB187" i="39"/>
  <c r="AC174" i="39"/>
  <c r="AC172" i="39"/>
  <c r="AC145" i="39"/>
  <c r="AC147" i="39"/>
  <c r="M140" i="43"/>
  <c r="M129" i="43"/>
  <c r="M177" i="43"/>
  <c r="M83" i="43"/>
  <c r="M355" i="43"/>
  <c r="M158" i="43"/>
  <c r="M137" i="43"/>
  <c r="M202" i="43"/>
  <c r="M136" i="43"/>
  <c r="M131" i="43"/>
  <c r="M127" i="43"/>
  <c r="M130" i="43"/>
  <c r="M128" i="43"/>
  <c r="M162" i="43"/>
  <c r="M159" i="43"/>
  <c r="M139" i="43"/>
  <c r="M138" i="43"/>
  <c r="M80" i="43"/>
  <c r="M77" i="43"/>
  <c r="M169" i="43"/>
  <c r="I266" i="43"/>
  <c r="I356" i="43"/>
  <c r="I268" i="43"/>
  <c r="I269" i="43"/>
  <c r="I332" i="43"/>
  <c r="I267" i="43"/>
  <c r="AC207" i="39"/>
  <c r="AC205" i="39"/>
  <c r="J356" i="43"/>
  <c r="J269" i="43"/>
  <c r="J332" i="43"/>
  <c r="J268" i="43"/>
  <c r="J266" i="43"/>
  <c r="J267" i="43"/>
  <c r="AC216" i="39"/>
  <c r="AC214" i="39"/>
  <c r="F356" i="43"/>
  <c r="F333" i="43"/>
  <c r="F324" i="43" s="1"/>
  <c r="F269" i="43"/>
  <c r="F268" i="43"/>
  <c r="F332" i="43"/>
  <c r="F334" i="43"/>
  <c r="F325" i="43" s="1"/>
  <c r="F267" i="43"/>
  <c r="F266" i="43"/>
  <c r="L332" i="43"/>
  <c r="L266" i="43"/>
  <c r="L268" i="43"/>
  <c r="L356" i="43"/>
  <c r="L267" i="43"/>
  <c r="L269" i="43"/>
  <c r="AC163" i="39"/>
  <c r="AC165" i="39"/>
  <c r="W1" i="43"/>
  <c r="W136" i="43"/>
  <c r="W83" i="43"/>
  <c r="W140" i="43"/>
  <c r="W137" i="43"/>
  <c r="W177" i="43"/>
  <c r="W355" i="43"/>
  <c r="W139" i="43"/>
  <c r="W138" i="43"/>
  <c r="W80" i="43"/>
  <c r="W169" i="43"/>
  <c r="AB172" i="39"/>
  <c r="AB174" i="39"/>
  <c r="Z189" i="39"/>
  <c r="Z187" i="39"/>
  <c r="S1" i="43"/>
  <c r="S83" i="43"/>
  <c r="S136" i="43"/>
  <c r="S140" i="43"/>
  <c r="S137" i="43"/>
  <c r="S177" i="43"/>
  <c r="S355" i="43"/>
  <c r="S139" i="43"/>
  <c r="S138" i="43"/>
  <c r="S80" i="43"/>
  <c r="S169" i="43"/>
  <c r="P131" i="43"/>
  <c r="P136" i="43"/>
  <c r="P177" i="43"/>
  <c r="P127" i="43"/>
  <c r="P140" i="43"/>
  <c r="P130" i="43"/>
  <c r="P355" i="43"/>
  <c r="P83" i="43"/>
  <c r="P137" i="43"/>
  <c r="P128" i="43"/>
  <c r="P158" i="43"/>
  <c r="P202" i="43"/>
  <c r="P129" i="43"/>
  <c r="P139" i="43"/>
  <c r="P138" i="43"/>
  <c r="P80" i="43"/>
  <c r="P77" i="43"/>
  <c r="P169" i="43"/>
  <c r="T189" i="39"/>
  <c r="T187" i="39"/>
  <c r="R1" i="43"/>
  <c r="R137" i="43"/>
  <c r="R136" i="43"/>
  <c r="R140" i="43"/>
  <c r="R355" i="43"/>
  <c r="R177" i="43"/>
  <c r="R83" i="43"/>
  <c r="R139" i="43"/>
  <c r="R138" i="43"/>
  <c r="R80" i="43"/>
  <c r="R169" i="43"/>
  <c r="V125" i="39"/>
  <c r="V127" i="39"/>
  <c r="T140" i="43"/>
  <c r="T83" i="43"/>
  <c r="T136" i="43"/>
  <c r="T355" i="43"/>
  <c r="T177" i="43"/>
  <c r="T1" i="43"/>
  <c r="T137" i="43"/>
  <c r="T139" i="43"/>
  <c r="T138" i="43"/>
  <c r="T80" i="43"/>
  <c r="T169" i="43"/>
  <c r="Y187" i="39"/>
  <c r="Y189" i="39"/>
  <c r="AA214" i="39"/>
  <c r="AA216" i="39"/>
  <c r="AB140" i="43"/>
  <c r="AB83" i="43"/>
  <c r="AB1" i="43"/>
  <c r="AB136" i="43"/>
  <c r="AB355" i="43"/>
  <c r="AB137" i="43"/>
  <c r="AB177" i="43"/>
  <c r="AB138" i="43"/>
  <c r="AB139" i="43"/>
  <c r="AB80" i="43"/>
  <c r="AB169" i="43"/>
  <c r="E334" i="43"/>
  <c r="E325" i="43" s="1"/>
  <c r="E356" i="43"/>
  <c r="E267" i="43"/>
  <c r="E266" i="43"/>
  <c r="E333" i="43"/>
  <c r="E324" i="43" s="1"/>
  <c r="E269" i="43"/>
  <c r="E268" i="43"/>
  <c r="E332" i="43"/>
  <c r="Y127" i="39"/>
  <c r="Y125" i="39"/>
  <c r="AA187" i="39"/>
  <c r="AA189" i="39"/>
  <c r="K269" i="43"/>
  <c r="K268" i="43"/>
  <c r="K266" i="43"/>
  <c r="K267" i="43"/>
  <c r="K356" i="43"/>
  <c r="K332" i="43"/>
  <c r="AC61" i="43" l="1"/>
  <c r="AC78" i="43" s="1"/>
  <c r="O61" i="43"/>
  <c r="O78" i="43" s="1"/>
  <c r="AD61" i="43"/>
  <c r="AD78" i="43" s="1"/>
  <c r="Q61" i="43"/>
  <c r="Q78" i="43" s="1"/>
  <c r="Z61" i="43"/>
  <c r="Z78" i="43" s="1"/>
  <c r="X61" i="43"/>
  <c r="X78" i="43" s="1"/>
  <c r="T61" i="43"/>
  <c r="T78" i="43" s="1"/>
  <c r="U61" i="43"/>
  <c r="U78" i="43" s="1"/>
  <c r="AB61" i="43"/>
  <c r="AB78" i="43" s="1"/>
  <c r="W61" i="43"/>
  <c r="W78" i="43" s="1"/>
  <c r="M61" i="43"/>
  <c r="M78" i="43" s="1"/>
  <c r="V61" i="43"/>
  <c r="V78" i="43" s="1"/>
  <c r="R61" i="43"/>
  <c r="R78" i="43" s="1"/>
  <c r="P61" i="43"/>
  <c r="P78" i="43" s="1"/>
  <c r="S61" i="43"/>
  <c r="S78" i="43" s="1"/>
  <c r="N61" i="43"/>
  <c r="N78" i="43" s="1"/>
  <c r="Y61" i="43"/>
  <c r="Y78" i="43" s="1"/>
  <c r="AA61" i="43"/>
  <c r="AA78" i="43" s="1"/>
  <c r="K333" i="43"/>
  <c r="K324" i="43" s="1"/>
  <c r="K334" i="43"/>
  <c r="K325" i="43" s="1"/>
  <c r="K335" i="43"/>
  <c r="K323" i="43"/>
  <c r="M168" i="43"/>
  <c r="N159" i="43"/>
  <c r="AC112" i="39"/>
  <c r="AC110" i="39"/>
  <c r="AC111" i="39"/>
  <c r="N323" i="43"/>
  <c r="N333" i="43"/>
  <c r="N324" i="43" s="1"/>
  <c r="N334" i="43"/>
  <c r="N325" i="43" s="1"/>
  <c r="N335" i="43"/>
  <c r="Q258" i="43"/>
  <c r="R266" i="43"/>
  <c r="R40" i="43"/>
  <c r="S40" i="43" s="1"/>
  <c r="T40" i="43" s="1"/>
  <c r="U40" i="43" s="1"/>
  <c r="V40" i="43" s="1"/>
  <c r="W40" i="43" s="1"/>
  <c r="X40" i="43" s="1"/>
  <c r="Y40" i="43" s="1"/>
  <c r="Z40" i="43" s="1"/>
  <c r="AA40" i="43" s="1"/>
  <c r="AB40" i="43" s="1"/>
  <c r="AC40" i="43" s="1"/>
  <c r="AD40" i="43" s="1"/>
  <c r="O64" i="43"/>
  <c r="E323" i="43"/>
  <c r="E335" i="43"/>
  <c r="N205" i="43"/>
  <c r="N203" i="43"/>
  <c r="N212" i="43" s="1"/>
  <c r="N99" i="43" s="1"/>
  <c r="N107" i="43" s="1"/>
  <c r="N211" i="43"/>
  <c r="N98" i="43" s="1"/>
  <c r="N106" i="43" s="1"/>
  <c r="N204" i="43"/>
  <c r="N213" i="43" s="1"/>
  <c r="N100" i="43" s="1"/>
  <c r="N108" i="43" s="1"/>
  <c r="N167" i="43"/>
  <c r="N161" i="43"/>
  <c r="N170" i="43" s="1"/>
  <c r="F323" i="43"/>
  <c r="F335" i="43"/>
  <c r="J334" i="43"/>
  <c r="J325" i="43" s="1"/>
  <c r="J335" i="43"/>
  <c r="J323" i="43"/>
  <c r="J333" i="43"/>
  <c r="J324" i="43" s="1"/>
  <c r="I323" i="43"/>
  <c r="I334" i="43"/>
  <c r="I325" i="43" s="1"/>
  <c r="I335" i="43"/>
  <c r="I333" i="43"/>
  <c r="I324" i="43" s="1"/>
  <c r="M171" i="43"/>
  <c r="N162" i="43"/>
  <c r="M167" i="43"/>
  <c r="M161" i="43"/>
  <c r="M170" i="43" s="1"/>
  <c r="P334" i="43"/>
  <c r="P325" i="43" s="1"/>
  <c r="P323" i="43"/>
  <c r="P335" i="43"/>
  <c r="Q332" i="43"/>
  <c r="P333" i="43"/>
  <c r="P324" i="43" s="1"/>
  <c r="Q259" i="43"/>
  <c r="R267" i="43"/>
  <c r="H335" i="43"/>
  <c r="H323" i="43"/>
  <c r="P203" i="43"/>
  <c r="P212" i="43" s="1"/>
  <c r="P99" i="43" s="1"/>
  <c r="P107" i="43" s="1"/>
  <c r="P204" i="43"/>
  <c r="P213" i="43" s="1"/>
  <c r="P100" i="43" s="1"/>
  <c r="P108" i="43" s="1"/>
  <c r="P205" i="43"/>
  <c r="P51" i="43" s="1"/>
  <c r="Q202" i="43"/>
  <c r="P211" i="43"/>
  <c r="P98" i="43" s="1"/>
  <c r="P106" i="43" s="1"/>
  <c r="O167" i="43"/>
  <c r="O161" i="43"/>
  <c r="O170" i="43" s="1"/>
  <c r="M333" i="43"/>
  <c r="M324" i="43" s="1"/>
  <c r="M323" i="43"/>
  <c r="M335" i="43"/>
  <c r="M334" i="43"/>
  <c r="M325" i="43" s="1"/>
  <c r="O334" i="43"/>
  <c r="O325" i="43" s="1"/>
  <c r="O323" i="43"/>
  <c r="O335" i="43"/>
  <c r="O333" i="43"/>
  <c r="O324" i="43" s="1"/>
  <c r="P167" i="43"/>
  <c r="Q158" i="43"/>
  <c r="P161" i="43"/>
  <c r="P170" i="43" s="1"/>
  <c r="L323" i="43"/>
  <c r="L334" i="43"/>
  <c r="L325" i="43" s="1"/>
  <c r="L333" i="43"/>
  <c r="L324" i="43" s="1"/>
  <c r="L335" i="43"/>
  <c r="M204" i="43"/>
  <c r="M213" i="43" s="1"/>
  <c r="M100" i="43" s="1"/>
  <c r="M108" i="43" s="1"/>
  <c r="M211" i="43"/>
  <c r="M98" i="43" s="1"/>
  <c r="M106" i="43" s="1"/>
  <c r="M205" i="43"/>
  <c r="M203" i="43"/>
  <c r="M212" i="43" s="1"/>
  <c r="M99" i="43" s="1"/>
  <c r="M107" i="43" s="1"/>
  <c r="R268" i="43"/>
  <c r="Q260" i="43"/>
  <c r="O204" i="43"/>
  <c r="O213" i="43" s="1"/>
  <c r="O100" i="43" s="1"/>
  <c r="O108" i="43" s="1"/>
  <c r="O205" i="43"/>
  <c r="O203" i="43"/>
  <c r="O212" i="43" s="1"/>
  <c r="O99" i="43" s="1"/>
  <c r="O107" i="43" s="1"/>
  <c r="O211" i="43"/>
  <c r="O98" i="43" s="1"/>
  <c r="O106" i="43" s="1"/>
  <c r="G335" i="43"/>
  <c r="G323" i="43"/>
  <c r="N64" i="43" l="1"/>
  <c r="N81" i="43" s="1"/>
  <c r="N11" i="47" s="1"/>
  <c r="M64" i="43"/>
  <c r="P64" i="43"/>
  <c r="P81" i="43" s="1"/>
  <c r="P11" i="47" s="1"/>
  <c r="M62" i="43"/>
  <c r="M65" i="43" s="1"/>
  <c r="M214" i="43"/>
  <c r="M101" i="43" s="1"/>
  <c r="M109" i="43" s="1"/>
  <c r="M51" i="43"/>
  <c r="O214" i="43"/>
  <c r="O101" i="43" s="1"/>
  <c r="O109" i="43" s="1"/>
  <c r="O51" i="43"/>
  <c r="N214" i="43"/>
  <c r="N101" i="43" s="1"/>
  <c r="N109" i="43" s="1"/>
  <c r="N51" i="43"/>
  <c r="AC33" i="3"/>
  <c r="N171" i="43"/>
  <c r="N62" i="43" s="1"/>
  <c r="O162" i="43"/>
  <c r="J326" i="43"/>
  <c r="J327" i="43" s="1"/>
  <c r="J318" i="43" s="1"/>
  <c r="J336" i="43"/>
  <c r="R258" i="43"/>
  <c r="S266" i="43"/>
  <c r="L326" i="43"/>
  <c r="L327" i="43" s="1"/>
  <c r="L318" i="43" s="1"/>
  <c r="L336" i="43"/>
  <c r="O326" i="43"/>
  <c r="O327" i="43" s="1"/>
  <c r="O318" i="43" s="1"/>
  <c r="O336" i="43"/>
  <c r="M326" i="43"/>
  <c r="M327" i="43" s="1"/>
  <c r="M318" i="43" s="1"/>
  <c r="M336" i="43"/>
  <c r="Q211" i="43"/>
  <c r="Q203" i="43"/>
  <c r="Q212" i="43" s="1"/>
  <c r="Q204" i="43"/>
  <c r="Q213" i="43" s="1"/>
  <c r="R202" i="43"/>
  <c r="O81" i="43"/>
  <c r="O11" i="47" s="1"/>
  <c r="Q261" i="43"/>
  <c r="R260" i="43"/>
  <c r="S268" i="43"/>
  <c r="G326" i="43"/>
  <c r="G327" i="43" s="1"/>
  <c r="G318" i="43" s="1"/>
  <c r="G336" i="43"/>
  <c r="Q161" i="43"/>
  <c r="Q170" i="43" s="1"/>
  <c r="Q167" i="43"/>
  <c r="Q39" i="43" s="1"/>
  <c r="Q119" i="43" s="1"/>
  <c r="R158" i="43"/>
  <c r="M81" i="43"/>
  <c r="M11" i="47" s="1"/>
  <c r="Q205" i="43"/>
  <c r="P214" i="43"/>
  <c r="P101" i="43" s="1"/>
  <c r="P109" i="43" s="1"/>
  <c r="H326" i="43"/>
  <c r="H327" i="43" s="1"/>
  <c r="H318" i="43" s="1"/>
  <c r="H336" i="43"/>
  <c r="Q333" i="43"/>
  <c r="Q324" i="43" s="1"/>
  <c r="R332" i="43"/>
  <c r="Q335" i="43"/>
  <c r="Q334" i="43"/>
  <c r="Q325" i="43" s="1"/>
  <c r="Q323" i="43"/>
  <c r="F326" i="43"/>
  <c r="F327" i="43" s="1"/>
  <c r="F318" i="43" s="1"/>
  <c r="F336" i="43"/>
  <c r="N326" i="43"/>
  <c r="N327" i="43" s="1"/>
  <c r="N318" i="43" s="1"/>
  <c r="N336" i="43"/>
  <c r="R259" i="43"/>
  <c r="S267" i="43"/>
  <c r="P326" i="43"/>
  <c r="P327" i="43" s="1"/>
  <c r="P318" i="43" s="1"/>
  <c r="P336" i="43"/>
  <c r="I326" i="43"/>
  <c r="I327" i="43" s="1"/>
  <c r="I318" i="43" s="1"/>
  <c r="I336" i="43"/>
  <c r="E326" i="43"/>
  <c r="E327" i="43" s="1"/>
  <c r="E318" i="43" s="1"/>
  <c r="E336" i="43"/>
  <c r="O159" i="43"/>
  <c r="N168" i="43"/>
  <c r="K326" i="43"/>
  <c r="K327" i="43" s="1"/>
  <c r="K318" i="43" s="1"/>
  <c r="K336" i="43"/>
  <c r="M82" i="43" l="1"/>
  <c r="M12" i="47" s="1"/>
  <c r="M13" i="47" s="1"/>
  <c r="M67" i="43"/>
  <c r="M53" i="43" s="1"/>
  <c r="M79" i="43"/>
  <c r="R261" i="43"/>
  <c r="S332" i="43"/>
  <c r="R323" i="43"/>
  <c r="R333" i="43"/>
  <c r="R324" i="43" s="1"/>
  <c r="R335" i="43"/>
  <c r="R334" i="43"/>
  <c r="R325" i="43" s="1"/>
  <c r="R161" i="43"/>
  <c r="S158" i="43"/>
  <c r="R167" i="43"/>
  <c r="R39" i="43" s="1"/>
  <c r="R119" i="43" s="1"/>
  <c r="R211" i="43"/>
  <c r="R203" i="43"/>
  <c r="R212" i="43" s="1"/>
  <c r="R204" i="43"/>
  <c r="R213" i="43" s="1"/>
  <c r="S202" i="43"/>
  <c r="Q326" i="43"/>
  <c r="Q327" i="43" s="1"/>
  <c r="Q318" i="43" s="1"/>
  <c r="Q336" i="43"/>
  <c r="P159" i="43"/>
  <c r="O168" i="43"/>
  <c r="S259" i="43"/>
  <c r="T267" i="43"/>
  <c r="Q214" i="43"/>
  <c r="R205" i="43"/>
  <c r="Q127" i="43"/>
  <c r="Q98" i="43"/>
  <c r="Q106" i="43" s="1"/>
  <c r="T268" i="43"/>
  <c r="S260" i="43"/>
  <c r="S258" i="43"/>
  <c r="T266" i="43"/>
  <c r="P162" i="43"/>
  <c r="O171" i="43"/>
  <c r="O62" i="43" s="1"/>
  <c r="N79" i="43"/>
  <c r="N65" i="43"/>
  <c r="M84" i="43" l="1"/>
  <c r="R214" i="43"/>
  <c r="S205" i="43"/>
  <c r="R127" i="43"/>
  <c r="R98" i="43"/>
  <c r="R106" i="43" s="1"/>
  <c r="S261" i="43"/>
  <c r="Q159" i="43"/>
  <c r="P168" i="43"/>
  <c r="T158" i="43"/>
  <c r="S167" i="43"/>
  <c r="S39" i="43" s="1"/>
  <c r="S119" i="43" s="1"/>
  <c r="S204" i="43"/>
  <c r="S213" i="43" s="1"/>
  <c r="S203" i="43"/>
  <c r="S212" i="43" s="1"/>
  <c r="T202" i="43"/>
  <c r="S211" i="43"/>
  <c r="O79" i="43"/>
  <c r="O65" i="43"/>
  <c r="U267" i="43"/>
  <c r="T259" i="43"/>
  <c r="S161" i="43"/>
  <c r="R170" i="43"/>
  <c r="T258" i="43"/>
  <c r="U266" i="43"/>
  <c r="R326" i="43"/>
  <c r="R327" i="43" s="1"/>
  <c r="R318" i="43" s="1"/>
  <c r="R336" i="43"/>
  <c r="N82" i="43"/>
  <c r="N12" i="47" s="1"/>
  <c r="N13" i="47" s="1"/>
  <c r="N67" i="43"/>
  <c r="Q162" i="43"/>
  <c r="P171" i="43"/>
  <c r="P62" i="43" s="1"/>
  <c r="T260" i="43"/>
  <c r="U268" i="43"/>
  <c r="Q128" i="43"/>
  <c r="Q129" i="43"/>
  <c r="Q121" i="43" s="1"/>
  <c r="Q100" i="43" s="1"/>
  <c r="Q108" i="43" s="1"/>
  <c r="Q130" i="43"/>
  <c r="Q122" i="43" s="1"/>
  <c r="Q101" i="43" s="1"/>
  <c r="Q109" i="43" s="1"/>
  <c r="S335" i="43"/>
  <c r="S323" i="43"/>
  <c r="S333" i="43"/>
  <c r="S324" i="43" s="1"/>
  <c r="S334" i="43"/>
  <c r="S325" i="43" s="1"/>
  <c r="T332" i="43"/>
  <c r="M345" i="43"/>
  <c r="L92" i="39"/>
  <c r="U202" i="43" l="1"/>
  <c r="T204" i="43"/>
  <c r="T213" i="43" s="1"/>
  <c r="T211" i="43"/>
  <c r="T203" i="43"/>
  <c r="T212" i="43" s="1"/>
  <c r="T167" i="43"/>
  <c r="T39" i="43" s="1"/>
  <c r="T119" i="43" s="1"/>
  <c r="U158" i="43"/>
  <c r="Q120" i="43"/>
  <c r="Q99" i="43" s="1"/>
  <c r="Q107" i="43" s="1"/>
  <c r="Q131" i="43"/>
  <c r="Q123" i="43" s="1"/>
  <c r="Q60" i="43" s="1"/>
  <c r="R162" i="43"/>
  <c r="Q171" i="43"/>
  <c r="Q62" i="43" s="1"/>
  <c r="O82" i="43"/>
  <c r="O12" i="47" s="1"/>
  <c r="O13" i="47" s="1"/>
  <c r="O67" i="43"/>
  <c r="U259" i="43"/>
  <c r="V267" i="43"/>
  <c r="U332" i="43"/>
  <c r="T333" i="43"/>
  <c r="T324" i="43" s="1"/>
  <c r="T323" i="43"/>
  <c r="T334" i="43"/>
  <c r="T325" i="43" s="1"/>
  <c r="S336" i="43"/>
  <c r="T335" i="43"/>
  <c r="S326" i="43"/>
  <c r="S327" i="43" s="1"/>
  <c r="S318" i="43" s="1"/>
  <c r="V268" i="43"/>
  <c r="U260" i="43"/>
  <c r="N84" i="43"/>
  <c r="N53" i="43"/>
  <c r="V266" i="43"/>
  <c r="U258" i="43"/>
  <c r="T161" i="43"/>
  <c r="S170" i="43"/>
  <c r="R159" i="43"/>
  <c r="Q168" i="43"/>
  <c r="R128" i="43"/>
  <c r="R129" i="43"/>
  <c r="R121" i="43" s="1"/>
  <c r="R100" i="43" s="1"/>
  <c r="R108" i="43" s="1"/>
  <c r="R130" i="43"/>
  <c r="R122" i="43" s="1"/>
  <c r="R101" i="43" s="1"/>
  <c r="R109" i="43" s="1"/>
  <c r="P79" i="43"/>
  <c r="P65" i="43"/>
  <c r="T261" i="43"/>
  <c r="S127" i="43"/>
  <c r="S98" i="43"/>
  <c r="S106" i="43" s="1"/>
  <c r="T205" i="43"/>
  <c r="S214" i="43"/>
  <c r="N345" i="43" l="1"/>
  <c r="M92" i="39"/>
  <c r="T127" i="43"/>
  <c r="T98" i="43"/>
  <c r="T106" i="43" s="1"/>
  <c r="P82" i="43"/>
  <c r="P12" i="47" s="1"/>
  <c r="P13" i="47" s="1"/>
  <c r="P67" i="43"/>
  <c r="R120" i="43"/>
  <c r="R99" i="43" s="1"/>
  <c r="R107" i="43" s="1"/>
  <c r="R131" i="43"/>
  <c r="R123" i="43" s="1"/>
  <c r="R60" i="43" s="1"/>
  <c r="U161" i="43"/>
  <c r="T170" i="43"/>
  <c r="T336" i="43"/>
  <c r="T326" i="43"/>
  <c r="T327" i="43" s="1"/>
  <c r="T318" i="43" s="1"/>
  <c r="U335" i="43"/>
  <c r="O53" i="43"/>
  <c r="O84" i="43"/>
  <c r="Q64" i="43"/>
  <c r="Q77" i="43"/>
  <c r="V202" i="43"/>
  <c r="U204" i="43"/>
  <c r="U213" i="43" s="1"/>
  <c r="U211" i="43"/>
  <c r="U203" i="43"/>
  <c r="U212" i="43" s="1"/>
  <c r="S130" i="43"/>
  <c r="S122" i="43" s="1"/>
  <c r="S101" i="43" s="1"/>
  <c r="S109" i="43" s="1"/>
  <c r="S129" i="43"/>
  <c r="S121" i="43" s="1"/>
  <c r="S100" i="43" s="1"/>
  <c r="S108" i="43" s="1"/>
  <c r="S128" i="43"/>
  <c r="U261" i="43"/>
  <c r="U323" i="43"/>
  <c r="U333" i="43"/>
  <c r="U324" i="43" s="1"/>
  <c r="U334" i="43"/>
  <c r="U325" i="43" s="1"/>
  <c r="V332" i="43"/>
  <c r="T214" i="43"/>
  <c r="U205" i="43"/>
  <c r="S162" i="43"/>
  <c r="R171" i="43"/>
  <c r="R62" i="43" s="1"/>
  <c r="S159" i="43"/>
  <c r="R168" i="43"/>
  <c r="V258" i="43"/>
  <c r="W266" i="43"/>
  <c r="V260" i="43"/>
  <c r="W268" i="43"/>
  <c r="V259" i="43"/>
  <c r="W267" i="43"/>
  <c r="Q79" i="43"/>
  <c r="Q65" i="43"/>
  <c r="Q82" i="43" s="1"/>
  <c r="Q12" i="47" s="1"/>
  <c r="U167" i="43"/>
  <c r="U39" i="43" s="1"/>
  <c r="U119" i="43" s="1"/>
  <c r="V158" i="43"/>
  <c r="O345" i="43" l="1"/>
  <c r="N92" i="39"/>
  <c r="P53" i="43"/>
  <c r="P84" i="43"/>
  <c r="W260" i="43"/>
  <c r="X268" i="43"/>
  <c r="U214" i="43"/>
  <c r="V205" i="43"/>
  <c r="S131" i="43"/>
  <c r="S123" i="43" s="1"/>
  <c r="S60" i="43" s="1"/>
  <c r="S120" i="43"/>
  <c r="S99" i="43" s="1"/>
  <c r="S107" i="43" s="1"/>
  <c r="U336" i="43"/>
  <c r="V335" i="43"/>
  <c r="U326" i="43"/>
  <c r="U327" i="43" s="1"/>
  <c r="U318" i="43" s="1"/>
  <c r="V161" i="43"/>
  <c r="U170" i="43"/>
  <c r="U98" i="43"/>
  <c r="U106" i="43" s="1"/>
  <c r="U127" i="43"/>
  <c r="T162" i="43"/>
  <c r="S171" i="43"/>
  <c r="S62" i="43" s="1"/>
  <c r="T159" i="43"/>
  <c r="S168" i="43"/>
  <c r="Q81" i="43"/>
  <c r="Q11" i="47" s="1"/>
  <c r="Q13" i="47" s="1"/>
  <c r="Q67" i="43"/>
  <c r="R77" i="43"/>
  <c r="R64" i="43"/>
  <c r="V261" i="43"/>
  <c r="W158" i="43"/>
  <c r="V167" i="43"/>
  <c r="V39" i="43" s="1"/>
  <c r="V119" i="43" s="1"/>
  <c r="X267" i="43"/>
  <c r="W259" i="43"/>
  <c r="X266" i="43"/>
  <c r="W258" i="43"/>
  <c r="R65" i="43"/>
  <c r="R82" i="43" s="1"/>
  <c r="R12" i="47" s="1"/>
  <c r="R79" i="43"/>
  <c r="V333" i="43"/>
  <c r="V324" i="43" s="1"/>
  <c r="V323" i="43"/>
  <c r="W332" i="43"/>
  <c r="V334" i="43"/>
  <c r="V325" i="43" s="1"/>
  <c r="V204" i="43"/>
  <c r="V213" i="43" s="1"/>
  <c r="W202" i="43"/>
  <c r="V211" i="43"/>
  <c r="V203" i="43"/>
  <c r="V212" i="43" s="1"/>
  <c r="T128" i="43"/>
  <c r="T129" i="43"/>
  <c r="T121" i="43" s="1"/>
  <c r="T100" i="43" s="1"/>
  <c r="T108" i="43" s="1"/>
  <c r="T130" i="43"/>
  <c r="T122" i="43" s="1"/>
  <c r="T101" i="43" s="1"/>
  <c r="T109" i="43" s="1"/>
  <c r="AA132" i="39"/>
  <c r="Y132" i="39"/>
  <c r="W132" i="39"/>
  <c r="U132" i="39"/>
  <c r="S132" i="39"/>
  <c r="Q132" i="39"/>
  <c r="O132" i="39"/>
  <c r="M132" i="39"/>
  <c r="L132" i="39"/>
  <c r="Z132" i="39"/>
  <c r="X132" i="39"/>
  <c r="V132" i="39"/>
  <c r="T132" i="39"/>
  <c r="R132" i="39"/>
  <c r="P132" i="39"/>
  <c r="N132" i="39"/>
  <c r="T120" i="43" l="1"/>
  <c r="T99" i="43" s="1"/>
  <c r="T107" i="43" s="1"/>
  <c r="T131" i="43"/>
  <c r="T123" i="43" s="1"/>
  <c r="T60" i="43" s="1"/>
  <c r="V336" i="43"/>
  <c r="W335" i="43"/>
  <c r="V326" i="43"/>
  <c r="V327" i="43" s="1"/>
  <c r="V318" i="43" s="1"/>
  <c r="Q135" i="39"/>
  <c r="Q137" i="39"/>
  <c r="X158" i="43"/>
  <c r="W167" i="43"/>
  <c r="W39" i="43" s="1"/>
  <c r="W119" i="43" s="1"/>
  <c r="V214" i="43"/>
  <c r="W205" i="43"/>
  <c r="R135" i="39"/>
  <c r="R137" i="39"/>
  <c r="Y137" i="39"/>
  <c r="Y135" i="39"/>
  <c r="Y266" i="43"/>
  <c r="X258" i="43"/>
  <c r="T135" i="39"/>
  <c r="T137" i="39"/>
  <c r="S137" i="39"/>
  <c r="S135" i="39"/>
  <c r="Q53" i="43"/>
  <c r="Q84" i="43"/>
  <c r="N137" i="39"/>
  <c r="N135" i="39"/>
  <c r="M135" i="39"/>
  <c r="M137" i="39"/>
  <c r="U137" i="39"/>
  <c r="U135" i="39"/>
  <c r="W334" i="43"/>
  <c r="W325" i="43" s="1"/>
  <c r="W333" i="43"/>
  <c r="W324" i="43" s="1"/>
  <c r="W323" i="43"/>
  <c r="X332" i="43"/>
  <c r="Y267" i="43"/>
  <c r="X259" i="43"/>
  <c r="U162" i="43"/>
  <c r="T171" i="43"/>
  <c r="T62" i="43" s="1"/>
  <c r="V170" i="43"/>
  <c r="W161" i="43"/>
  <c r="X260" i="43"/>
  <c r="Y268" i="43"/>
  <c r="P345" i="43"/>
  <c r="O92" i="39"/>
  <c r="Z135" i="39"/>
  <c r="Z137" i="39"/>
  <c r="U159" i="43"/>
  <c r="T168" i="43"/>
  <c r="L135" i="39"/>
  <c r="L137" i="39"/>
  <c r="AA137" i="39"/>
  <c r="AA135" i="39"/>
  <c r="S65" i="43"/>
  <c r="S82" i="43" s="1"/>
  <c r="S12" i="47" s="1"/>
  <c r="S79" i="43"/>
  <c r="V135" i="39"/>
  <c r="V137" i="39"/>
  <c r="P137" i="39"/>
  <c r="P135" i="39"/>
  <c r="X137" i="39"/>
  <c r="X135" i="39"/>
  <c r="O137" i="39"/>
  <c r="O135" i="39"/>
  <c r="W135" i="39"/>
  <c r="W137" i="39"/>
  <c r="X202" i="43"/>
  <c r="W204" i="43"/>
  <c r="W213" i="43" s="1"/>
  <c r="W211" i="43"/>
  <c r="W203" i="43"/>
  <c r="W212" i="43" s="1"/>
  <c r="W261" i="43"/>
  <c r="V127" i="43"/>
  <c r="V98" i="43"/>
  <c r="V106" i="43" s="1"/>
  <c r="R81" i="43"/>
  <c r="R11" i="47" s="1"/>
  <c r="R13" i="47" s="1"/>
  <c r="R67" i="43"/>
  <c r="U130" i="43"/>
  <c r="U122" i="43" s="1"/>
  <c r="U101" i="43" s="1"/>
  <c r="U109" i="43" s="1"/>
  <c r="U128" i="43"/>
  <c r="U129" i="43"/>
  <c r="U121" i="43" s="1"/>
  <c r="U100" i="43" s="1"/>
  <c r="U108" i="43" s="1"/>
  <c r="S64" i="43"/>
  <c r="S77" i="43"/>
  <c r="N142" i="39"/>
  <c r="P142" i="39"/>
  <c r="R142" i="39"/>
  <c r="T142" i="39"/>
  <c r="V142" i="39"/>
  <c r="X142" i="39"/>
  <c r="Z142" i="39"/>
  <c r="L142" i="39"/>
  <c r="M142" i="39"/>
  <c r="O142" i="39"/>
  <c r="Q142" i="39"/>
  <c r="S142" i="39"/>
  <c r="U142" i="39"/>
  <c r="W142" i="39"/>
  <c r="Y142" i="39"/>
  <c r="AA142" i="39"/>
  <c r="W145" i="39" l="1"/>
  <c r="W147" i="39"/>
  <c r="P147" i="39"/>
  <c r="P145" i="39"/>
  <c r="R53" i="43"/>
  <c r="R84" i="43"/>
  <c r="X333" i="43"/>
  <c r="X324" i="43" s="1"/>
  <c r="X334" i="43"/>
  <c r="X325" i="43" s="1"/>
  <c r="Y332" i="43"/>
  <c r="X323" i="43"/>
  <c r="W98" i="43"/>
  <c r="W106" i="43" s="1"/>
  <c r="W127" i="43"/>
  <c r="V145" i="39"/>
  <c r="V147" i="39"/>
  <c r="N147" i="39"/>
  <c r="N145" i="39"/>
  <c r="X203" i="43"/>
  <c r="X212" i="43" s="1"/>
  <c r="Y202" i="43"/>
  <c r="X204" i="43"/>
  <c r="X213" i="43" s="1"/>
  <c r="X211" i="43"/>
  <c r="W170" i="43"/>
  <c r="X161" i="43"/>
  <c r="Y258" i="43"/>
  <c r="Z266" i="43"/>
  <c r="Y158" i="43"/>
  <c r="X167" i="43"/>
  <c r="X39" i="43" s="1"/>
  <c r="X119" i="43" s="1"/>
  <c r="W336" i="43"/>
  <c r="W326" i="43"/>
  <c r="W327" i="43" s="1"/>
  <c r="W318" i="43" s="1"/>
  <c r="X335" i="43"/>
  <c r="O147" i="39"/>
  <c r="O145" i="39"/>
  <c r="S81" i="43"/>
  <c r="S11" i="47" s="1"/>
  <c r="S13" i="47" s="1"/>
  <c r="S67" i="43"/>
  <c r="V162" i="43"/>
  <c r="U171" i="43"/>
  <c r="U62" i="43" s="1"/>
  <c r="X261" i="43"/>
  <c r="U145" i="39"/>
  <c r="U147" i="39"/>
  <c r="AA145" i="39"/>
  <c r="AA147" i="39"/>
  <c r="S147" i="39"/>
  <c r="S145" i="39"/>
  <c r="L147" i="39"/>
  <c r="L145" i="39"/>
  <c r="T147" i="39"/>
  <c r="T145" i="39"/>
  <c r="U120" i="43"/>
  <c r="U99" i="43" s="1"/>
  <c r="U107" i="43" s="1"/>
  <c r="U131" i="43"/>
  <c r="U123" i="43" s="1"/>
  <c r="U60" i="43" s="1"/>
  <c r="Y259" i="43"/>
  <c r="Z267" i="43"/>
  <c r="X205" i="43"/>
  <c r="W214" i="43"/>
  <c r="X145" i="39"/>
  <c r="X147" i="39"/>
  <c r="M145" i="39"/>
  <c r="M147" i="39"/>
  <c r="Y147" i="39"/>
  <c r="Y145" i="39"/>
  <c r="Q147" i="39"/>
  <c r="Q145" i="39"/>
  <c r="Z145" i="39"/>
  <c r="Z147" i="39"/>
  <c r="R145" i="39"/>
  <c r="R147" i="39"/>
  <c r="V130" i="43"/>
  <c r="V122" i="43" s="1"/>
  <c r="V101" i="43" s="1"/>
  <c r="V109" i="43" s="1"/>
  <c r="V129" i="43"/>
  <c r="V121" i="43" s="1"/>
  <c r="V100" i="43" s="1"/>
  <c r="V108" i="43" s="1"/>
  <c r="V128" i="43"/>
  <c r="V159" i="43"/>
  <c r="U168" i="43"/>
  <c r="Y260" i="43"/>
  <c r="Z268" i="43"/>
  <c r="T79" i="43"/>
  <c r="T65" i="43"/>
  <c r="T82" i="43" s="1"/>
  <c r="T12" i="47" s="1"/>
  <c r="Q345" i="43"/>
  <c r="P92" i="39"/>
  <c r="T77" i="43"/>
  <c r="T64" i="43"/>
  <c r="AA151" i="39"/>
  <c r="Y151" i="39"/>
  <c r="W151" i="39"/>
  <c r="U151" i="39"/>
  <c r="S151" i="39"/>
  <c r="Q151" i="39"/>
  <c r="O151" i="39"/>
  <c r="M151" i="39"/>
  <c r="L151" i="39"/>
  <c r="Z151" i="39"/>
  <c r="X151" i="39"/>
  <c r="V151" i="39"/>
  <c r="T151" i="39"/>
  <c r="R151" i="39"/>
  <c r="P151" i="39"/>
  <c r="N151" i="39"/>
  <c r="T156" i="39" l="1"/>
  <c r="T154" i="39"/>
  <c r="S156" i="39"/>
  <c r="S154" i="39"/>
  <c r="AA268" i="43"/>
  <c r="Z260" i="43"/>
  <c r="X214" i="43"/>
  <c r="Y205" i="43"/>
  <c r="Z258" i="43"/>
  <c r="AA266" i="43"/>
  <c r="N156" i="39"/>
  <c r="N154" i="39"/>
  <c r="V156" i="39"/>
  <c r="V154" i="39"/>
  <c r="M154" i="39"/>
  <c r="M156" i="39"/>
  <c r="U156" i="39"/>
  <c r="U154" i="39"/>
  <c r="Z259" i="43"/>
  <c r="AA267" i="43"/>
  <c r="U65" i="43"/>
  <c r="U82" i="43" s="1"/>
  <c r="U12" i="47" s="1"/>
  <c r="U79" i="43"/>
  <c r="Y261" i="43"/>
  <c r="W128" i="43"/>
  <c r="W130" i="43"/>
  <c r="W122" i="43" s="1"/>
  <c r="W101" i="43" s="1"/>
  <c r="W109" i="43" s="1"/>
  <c r="W129" i="43"/>
  <c r="W121" i="43" s="1"/>
  <c r="W100" i="43" s="1"/>
  <c r="W108" i="43" s="1"/>
  <c r="L154" i="39"/>
  <c r="L156" i="39"/>
  <c r="AA156" i="39"/>
  <c r="AA154" i="39"/>
  <c r="V120" i="43"/>
  <c r="V99" i="43" s="1"/>
  <c r="V107" i="43" s="1"/>
  <c r="V131" i="43"/>
  <c r="V123" i="43" s="1"/>
  <c r="V60" i="43" s="1"/>
  <c r="P156" i="39"/>
  <c r="P154" i="39"/>
  <c r="O156" i="39"/>
  <c r="O154" i="39"/>
  <c r="W156" i="39"/>
  <c r="W154" i="39"/>
  <c r="T81" i="43"/>
  <c r="T11" i="47" s="1"/>
  <c r="T13" i="47" s="1"/>
  <c r="T67" i="43"/>
  <c r="V171" i="43"/>
  <c r="V62" i="43" s="1"/>
  <c r="W162" i="43"/>
  <c r="X127" i="43"/>
  <c r="X98" i="43"/>
  <c r="X106" i="43" s="1"/>
  <c r="X170" i="43"/>
  <c r="Y161" i="43"/>
  <c r="X154" i="39"/>
  <c r="X156" i="39"/>
  <c r="R154" i="39"/>
  <c r="R156" i="39"/>
  <c r="Z156" i="39"/>
  <c r="Z154" i="39"/>
  <c r="Q154" i="39"/>
  <c r="Q156" i="39"/>
  <c r="Y156" i="39"/>
  <c r="Y154" i="39"/>
  <c r="V168" i="43"/>
  <c r="W159" i="43"/>
  <c r="U77" i="43"/>
  <c r="U64" i="43"/>
  <c r="S53" i="43"/>
  <c r="S84" i="43"/>
  <c r="X336" i="43"/>
  <c r="Y335" i="43"/>
  <c r="X326" i="43"/>
  <c r="X327" i="43" s="1"/>
  <c r="X318" i="43" s="1"/>
  <c r="Y167" i="43"/>
  <c r="Y39" i="43" s="1"/>
  <c r="Y119" i="43" s="1"/>
  <c r="Z158" i="43"/>
  <c r="Y211" i="43"/>
  <c r="Y203" i="43"/>
  <c r="Y212" i="43" s="1"/>
  <c r="Z202" i="43"/>
  <c r="Y204" i="43"/>
  <c r="Y213" i="43" s="1"/>
  <c r="Y333" i="43"/>
  <c r="Y324" i="43" s="1"/>
  <c r="Y323" i="43"/>
  <c r="Z332" i="43"/>
  <c r="Y334" i="43"/>
  <c r="Y325" i="43" s="1"/>
  <c r="Q92" i="39"/>
  <c r="R345" i="43"/>
  <c r="N169" i="39"/>
  <c r="N160" i="39"/>
  <c r="P169" i="39"/>
  <c r="P160" i="39"/>
  <c r="R169" i="39"/>
  <c r="R160" i="39"/>
  <c r="T169" i="39"/>
  <c r="T160" i="39"/>
  <c r="V169" i="39"/>
  <c r="V160" i="39"/>
  <c r="X169" i="39"/>
  <c r="X160" i="39"/>
  <c r="Z169" i="39"/>
  <c r="Z160" i="39"/>
  <c r="L169" i="39"/>
  <c r="L160" i="39"/>
  <c r="M169" i="39"/>
  <c r="M160" i="39"/>
  <c r="O169" i="39"/>
  <c r="O160" i="39"/>
  <c r="Q169" i="39"/>
  <c r="Q160" i="39"/>
  <c r="S169" i="39"/>
  <c r="S160" i="39"/>
  <c r="U169" i="39"/>
  <c r="U160" i="39"/>
  <c r="W169" i="39"/>
  <c r="W160" i="39"/>
  <c r="Y169" i="39"/>
  <c r="Y160" i="39"/>
  <c r="AA169" i="39"/>
  <c r="AA160" i="39"/>
  <c r="Y174" i="39" l="1"/>
  <c r="Y172" i="39"/>
  <c r="M174" i="39"/>
  <c r="M172" i="39"/>
  <c r="N172" i="39"/>
  <c r="N174" i="39"/>
  <c r="AA158" i="43"/>
  <c r="Z167" i="43"/>
  <c r="Z39" i="43" s="1"/>
  <c r="Z119" i="43" s="1"/>
  <c r="X129" i="43"/>
  <c r="X121" i="43" s="1"/>
  <c r="X100" i="43" s="1"/>
  <c r="X108" i="43" s="1"/>
  <c r="X130" i="43"/>
  <c r="X122" i="43" s="1"/>
  <c r="X101" i="43" s="1"/>
  <c r="X109" i="43" s="1"/>
  <c r="X128" i="43"/>
  <c r="T84" i="43"/>
  <c r="T53" i="43"/>
  <c r="AA163" i="39"/>
  <c r="AA165" i="39"/>
  <c r="S165" i="39"/>
  <c r="S163" i="39"/>
  <c r="O165" i="39"/>
  <c r="O163" i="39"/>
  <c r="L165" i="39"/>
  <c r="L163" i="39"/>
  <c r="X163" i="39"/>
  <c r="X165" i="39"/>
  <c r="T165" i="39"/>
  <c r="T163" i="39"/>
  <c r="P165" i="39"/>
  <c r="P163" i="39"/>
  <c r="AA332" i="43"/>
  <c r="Z333" i="43"/>
  <c r="Z324" i="43" s="1"/>
  <c r="Z323" i="43"/>
  <c r="Z334" i="43"/>
  <c r="Z325" i="43" s="1"/>
  <c r="Z203" i="43"/>
  <c r="Z212" i="43" s="1"/>
  <c r="AA202" i="43"/>
  <c r="Z204" i="43"/>
  <c r="Z213" i="43" s="1"/>
  <c r="Z211" i="43"/>
  <c r="Y98" i="43"/>
  <c r="Y106" i="43" s="1"/>
  <c r="Y127" i="43"/>
  <c r="X159" i="43"/>
  <c r="W168" i="43"/>
  <c r="Y170" i="43"/>
  <c r="Z161" i="43"/>
  <c r="X162" i="43"/>
  <c r="W171" i="43"/>
  <c r="W62" i="43" s="1"/>
  <c r="AA259" i="43"/>
  <c r="AB267" i="43"/>
  <c r="Y214" i="43"/>
  <c r="Z205" i="43"/>
  <c r="U172" i="39"/>
  <c r="U174" i="39"/>
  <c r="Z174" i="39"/>
  <c r="Z172" i="39"/>
  <c r="R174" i="39"/>
  <c r="R172" i="39"/>
  <c r="W165" i="39"/>
  <c r="W163" i="39"/>
  <c r="S174" i="39"/>
  <c r="S172" i="39"/>
  <c r="O172" i="39"/>
  <c r="O174" i="39"/>
  <c r="L174" i="39"/>
  <c r="L172" i="39"/>
  <c r="X172" i="39"/>
  <c r="X174" i="39"/>
  <c r="T174" i="39"/>
  <c r="T172" i="39"/>
  <c r="P174" i="39"/>
  <c r="P172" i="39"/>
  <c r="S345" i="43"/>
  <c r="R92" i="39"/>
  <c r="V65" i="43"/>
  <c r="V82" i="43" s="1"/>
  <c r="V12" i="47" s="1"/>
  <c r="V79" i="43"/>
  <c r="Q174" i="39"/>
  <c r="Q172" i="39"/>
  <c r="V172" i="39"/>
  <c r="V174" i="39"/>
  <c r="V77" i="43"/>
  <c r="V64" i="43"/>
  <c r="AA174" i="39"/>
  <c r="AA172" i="39"/>
  <c r="W172" i="39"/>
  <c r="W174" i="39"/>
  <c r="Y163" i="39"/>
  <c r="Y165" i="39"/>
  <c r="U165" i="39"/>
  <c r="U163" i="39"/>
  <c r="Q163" i="39"/>
  <c r="Q165" i="39"/>
  <c r="M165" i="39"/>
  <c r="M163" i="39"/>
  <c r="Z165" i="39"/>
  <c r="Z163" i="39"/>
  <c r="V165" i="39"/>
  <c r="V163" i="39"/>
  <c r="R163" i="39"/>
  <c r="R165" i="39"/>
  <c r="N165" i="39"/>
  <c r="N163" i="39"/>
  <c r="Y336" i="43"/>
  <c r="Z335" i="43"/>
  <c r="Y326" i="43"/>
  <c r="Y327" i="43" s="1"/>
  <c r="Y318" i="43" s="1"/>
  <c r="U81" i="43"/>
  <c r="U11" i="47" s="1"/>
  <c r="U13" i="47" s="1"/>
  <c r="U67" i="43"/>
  <c r="AB266" i="43"/>
  <c r="AA258" i="43"/>
  <c r="W120" i="43"/>
  <c r="W99" i="43" s="1"/>
  <c r="W107" i="43" s="1"/>
  <c r="W131" i="43"/>
  <c r="W123" i="43" s="1"/>
  <c r="W60" i="43" s="1"/>
  <c r="Z261" i="43"/>
  <c r="AA260" i="43"/>
  <c r="AB268" i="43"/>
  <c r="Y128" i="43" l="1"/>
  <c r="Y129" i="43"/>
  <c r="Y121" i="43" s="1"/>
  <c r="Y100" i="43" s="1"/>
  <c r="Y108" i="43" s="1"/>
  <c r="Y130" i="43"/>
  <c r="Y122" i="43" s="1"/>
  <c r="Y101" i="43" s="1"/>
  <c r="Y109" i="43" s="1"/>
  <c r="AA261" i="43"/>
  <c r="AA334" i="43"/>
  <c r="AA325" i="43" s="1"/>
  <c r="AA323" i="43"/>
  <c r="AB332" i="43"/>
  <c r="AA333" i="43"/>
  <c r="AA324" i="43" s="1"/>
  <c r="Z98" i="43"/>
  <c r="Z106" i="43" s="1"/>
  <c r="Z127" i="43"/>
  <c r="AA161" i="43"/>
  <c r="Z170" i="43"/>
  <c r="AA203" i="43"/>
  <c r="AA212" i="43" s="1"/>
  <c r="AA204" i="43"/>
  <c r="AA213" i="43" s="1"/>
  <c r="AA211" i="43"/>
  <c r="AB202" i="43"/>
  <c r="AC268" i="43"/>
  <c r="AB260" i="43"/>
  <c r="AB258" i="43"/>
  <c r="AC266" i="43"/>
  <c r="Z336" i="43"/>
  <c r="Z326" i="43"/>
  <c r="Z327" i="43" s="1"/>
  <c r="Z318" i="43" s="1"/>
  <c r="AA335" i="43"/>
  <c r="Z214" i="43"/>
  <c r="AA205" i="43"/>
  <c r="W79" i="43"/>
  <c r="W65" i="43"/>
  <c r="W82" i="43" s="1"/>
  <c r="W12" i="47" s="1"/>
  <c r="X120" i="43"/>
  <c r="X99" i="43" s="1"/>
  <c r="X107" i="43" s="1"/>
  <c r="X131" i="43"/>
  <c r="X123" i="43" s="1"/>
  <c r="X60" i="43" s="1"/>
  <c r="AB158" i="43"/>
  <c r="AA167" i="43"/>
  <c r="AA39" i="43" s="1"/>
  <c r="AA119" i="43" s="1"/>
  <c r="AC267" i="43"/>
  <c r="AB259" i="43"/>
  <c r="T345" i="43"/>
  <c r="S92" i="39"/>
  <c r="W77" i="43"/>
  <c r="W64" i="43"/>
  <c r="U84" i="43"/>
  <c r="U53" i="43"/>
  <c r="Y162" i="43"/>
  <c r="X171" i="43"/>
  <c r="X62" i="43" s="1"/>
  <c r="Y159" i="43"/>
  <c r="X168" i="43"/>
  <c r="V81" i="43"/>
  <c r="V11" i="47" s="1"/>
  <c r="V13" i="47" s="1"/>
  <c r="V67" i="43"/>
  <c r="L32" i="43"/>
  <c r="AD267" i="43" l="1"/>
  <c r="AD259" i="43" s="1"/>
  <c r="AC259" i="43"/>
  <c r="AB204" i="43"/>
  <c r="AB213" i="43" s="1"/>
  <c r="AB211" i="43"/>
  <c r="AC202" i="43"/>
  <c r="AB203" i="43"/>
  <c r="AB212" i="43" s="1"/>
  <c r="Y131" i="43"/>
  <c r="Y123" i="43" s="1"/>
  <c r="Y60" i="43" s="1"/>
  <c r="Y120" i="43"/>
  <c r="Y99" i="43" s="1"/>
  <c r="Y107" i="43" s="1"/>
  <c r="Z159" i="43"/>
  <c r="Y168" i="43"/>
  <c r="T92" i="39"/>
  <c r="U345" i="43"/>
  <c r="AA127" i="43"/>
  <c r="AA98" i="43"/>
  <c r="AA106" i="43" s="1"/>
  <c r="AA336" i="43"/>
  <c r="AB335" i="43"/>
  <c r="AA326" i="43"/>
  <c r="AA327" i="43" s="1"/>
  <c r="AA318" i="43" s="1"/>
  <c r="AB261" i="43"/>
  <c r="AA170" i="43"/>
  <c r="AB161" i="43"/>
  <c r="AB334" i="43"/>
  <c r="AB325" i="43" s="1"/>
  <c r="AB333" i="43"/>
  <c r="AB324" i="43" s="1"/>
  <c r="AC332" i="43"/>
  <c r="AB323" i="43"/>
  <c r="X65" i="43"/>
  <c r="X82" i="43" s="1"/>
  <c r="X12" i="47" s="1"/>
  <c r="X79" i="43"/>
  <c r="AB167" i="43"/>
  <c r="AB39" i="43" s="1"/>
  <c r="AB119" i="43" s="1"/>
  <c r="AC158" i="43"/>
  <c r="Z128" i="43"/>
  <c r="Z130" i="43"/>
  <c r="Z122" i="43" s="1"/>
  <c r="Z101" i="43" s="1"/>
  <c r="Z109" i="43" s="1"/>
  <c r="Z129" i="43"/>
  <c r="Z121" i="43" s="1"/>
  <c r="Z100" i="43" s="1"/>
  <c r="Z108" i="43" s="1"/>
  <c r="AD266" i="43"/>
  <c r="AD258" i="43" s="1"/>
  <c r="AC258" i="43"/>
  <c r="L243" i="43"/>
  <c r="L250" i="43" s="1"/>
  <c r="L242" i="43"/>
  <c r="L249" i="43" s="1"/>
  <c r="L241" i="43"/>
  <c r="V53" i="43"/>
  <c r="V84" i="43"/>
  <c r="Z162" i="43"/>
  <c r="Y171" i="43"/>
  <c r="Y62" i="43" s="1"/>
  <c r="W81" i="43"/>
  <c r="W11" i="47" s="1"/>
  <c r="W13" i="47" s="1"/>
  <c r="W67" i="43"/>
  <c r="X77" i="43"/>
  <c r="X64" i="43"/>
  <c r="AB205" i="43"/>
  <c r="AA214" i="43"/>
  <c r="AC260" i="43"/>
  <c r="AD268" i="43"/>
  <c r="AD260" i="43" s="1"/>
  <c r="G32" i="43"/>
  <c r="H32" i="43"/>
  <c r="E32" i="43"/>
  <c r="I32" i="43"/>
  <c r="K32" i="43"/>
  <c r="J32" i="43"/>
  <c r="F32" i="43"/>
  <c r="F243" i="43" l="1"/>
  <c r="F250" i="43" s="1"/>
  <c r="F241" i="43"/>
  <c r="F242" i="43"/>
  <c r="F249" i="43" s="1"/>
  <c r="AB336" i="43"/>
  <c r="AC335" i="43"/>
  <c r="AB326" i="43"/>
  <c r="AB327" i="43" s="1"/>
  <c r="AB318" i="43" s="1"/>
  <c r="AC203" i="43"/>
  <c r="AC212" i="43" s="1"/>
  <c r="AD202" i="43"/>
  <c r="AC211" i="43"/>
  <c r="AC204" i="43"/>
  <c r="AC213" i="43" s="1"/>
  <c r="J241" i="43"/>
  <c r="J243" i="43"/>
  <c r="J250" i="43" s="1"/>
  <c r="J242" i="43"/>
  <c r="J249" i="43" s="1"/>
  <c r="H241" i="43"/>
  <c r="H243" i="43"/>
  <c r="H250" i="43" s="1"/>
  <c r="H242" i="43"/>
  <c r="H249" i="43" s="1"/>
  <c r="W84" i="43"/>
  <c r="W53" i="43"/>
  <c r="E243" i="43"/>
  <c r="E250" i="43" s="1"/>
  <c r="E241" i="43"/>
  <c r="E242" i="43"/>
  <c r="E249" i="43" s="1"/>
  <c r="Z171" i="43"/>
  <c r="Z62" i="43" s="1"/>
  <c r="AA162" i="43"/>
  <c r="AB127" i="43"/>
  <c r="AB98" i="43"/>
  <c r="AB106" i="43" s="1"/>
  <c r="AA159" i="43"/>
  <c r="Z168" i="43"/>
  <c r="K242" i="43"/>
  <c r="K249" i="43" s="1"/>
  <c r="K241" i="43"/>
  <c r="K243" i="43"/>
  <c r="K250" i="43" s="1"/>
  <c r="G243" i="43"/>
  <c r="G250" i="43" s="1"/>
  <c r="G241" i="43"/>
  <c r="G242" i="43"/>
  <c r="G249" i="43" s="1"/>
  <c r="AB214" i="43"/>
  <c r="AC205" i="43"/>
  <c r="U92" i="39"/>
  <c r="V345" i="43"/>
  <c r="AC261" i="43"/>
  <c r="Z131" i="43"/>
  <c r="Z123" i="43" s="1"/>
  <c r="Z60" i="43" s="1"/>
  <c r="Z120" i="43"/>
  <c r="Z99" i="43" s="1"/>
  <c r="Z107" i="43" s="1"/>
  <c r="Y77" i="43"/>
  <c r="Y64" i="43"/>
  <c r="AC334" i="43"/>
  <c r="AC325" i="43" s="1"/>
  <c r="AC323" i="43"/>
  <c r="AC333" i="43"/>
  <c r="AC324" i="43" s="1"/>
  <c r="AD332" i="43"/>
  <c r="AA130" i="43"/>
  <c r="AA122" i="43" s="1"/>
  <c r="AA101" i="43" s="1"/>
  <c r="AA109" i="43" s="1"/>
  <c r="AA129" i="43"/>
  <c r="AA121" i="43" s="1"/>
  <c r="AA100" i="43" s="1"/>
  <c r="AA108" i="43" s="1"/>
  <c r="AA128" i="43"/>
  <c r="I241" i="43"/>
  <c r="I248" i="43" s="1"/>
  <c r="I242" i="43"/>
  <c r="I249" i="43" s="1"/>
  <c r="I243" i="43"/>
  <c r="I250" i="43" s="1"/>
  <c r="X81" i="43"/>
  <c r="X11" i="47" s="1"/>
  <c r="X13" i="47" s="1"/>
  <c r="X67" i="43"/>
  <c r="Y79" i="43"/>
  <c r="Y65" i="43"/>
  <c r="Y82" i="43" s="1"/>
  <c r="Y12" i="47" s="1"/>
  <c r="L244" i="43"/>
  <c r="L248" i="43"/>
  <c r="AD261" i="43"/>
  <c r="AC167" i="43"/>
  <c r="AC39" i="43" s="1"/>
  <c r="AC119" i="43" s="1"/>
  <c r="AD158" i="43"/>
  <c r="AD167" i="43" s="1"/>
  <c r="AD39" i="43" s="1"/>
  <c r="AD119" i="43" s="1"/>
  <c r="AC161" i="43"/>
  <c r="AB170" i="43"/>
  <c r="A196" i="39"/>
  <c r="AD161" i="43" l="1"/>
  <c r="AD170" i="43" s="1"/>
  <c r="AC170" i="43"/>
  <c r="K244" i="43"/>
  <c r="K248" i="43"/>
  <c r="AD127" i="43"/>
  <c r="L276" i="43"/>
  <c r="L251" i="43"/>
  <c r="X53" i="43"/>
  <c r="W92" i="39" s="1"/>
  <c r="X84" i="43"/>
  <c r="I251" i="43"/>
  <c r="I276" i="43"/>
  <c r="AD334" i="43"/>
  <c r="AD325" i="43" s="1"/>
  <c r="AI325" i="43" s="1"/>
  <c r="AD333" i="43"/>
  <c r="AD324" i="43" s="1"/>
  <c r="AI324" i="43" s="1"/>
  <c r="AD323" i="43"/>
  <c r="Y81" i="43"/>
  <c r="Y11" i="47" s="1"/>
  <c r="Y13" i="47" s="1"/>
  <c r="Y67" i="43"/>
  <c r="Z64" i="43"/>
  <c r="Z77" i="43"/>
  <c r="G248" i="43"/>
  <c r="G244" i="43"/>
  <c r="AB128" i="43"/>
  <c r="AB129" i="43"/>
  <c r="AB121" i="43" s="1"/>
  <c r="AB100" i="43" s="1"/>
  <c r="AB108" i="43" s="1"/>
  <c r="AB130" i="43"/>
  <c r="AB122" i="43" s="1"/>
  <c r="AB101" i="43" s="1"/>
  <c r="AB109" i="43" s="1"/>
  <c r="E248" i="43"/>
  <c r="E244" i="43"/>
  <c r="AD204" i="43"/>
  <c r="AD213" i="43" s="1"/>
  <c r="AD211" i="43"/>
  <c r="AD98" i="43" s="1"/>
  <c r="AD106" i="43" s="1"/>
  <c r="AD203" i="43"/>
  <c r="AD212" i="43" s="1"/>
  <c r="AC336" i="43"/>
  <c r="AD335" i="43"/>
  <c r="AC326" i="43"/>
  <c r="AC327" i="43" s="1"/>
  <c r="AC318" i="43" s="1"/>
  <c r="AC127" i="43"/>
  <c r="AC98" i="43"/>
  <c r="AC106" i="43" s="1"/>
  <c r="AA120" i="43"/>
  <c r="AA99" i="43" s="1"/>
  <c r="AA107" i="43" s="1"/>
  <c r="AA131" i="43"/>
  <c r="AA123" i="43" s="1"/>
  <c r="AA60" i="43" s="1"/>
  <c r="AD205" i="43"/>
  <c r="AD214" i="43" s="1"/>
  <c r="AC214" i="43"/>
  <c r="AB162" i="43"/>
  <c r="AA171" i="43"/>
  <c r="AA62" i="43" s="1"/>
  <c r="J248" i="43"/>
  <c r="J244" i="43"/>
  <c r="AB159" i="43"/>
  <c r="AA168" i="43"/>
  <c r="Z79" i="43"/>
  <c r="Z65" i="43"/>
  <c r="Z82" i="43" s="1"/>
  <c r="Z12" i="47" s="1"/>
  <c r="W345" i="43"/>
  <c r="V92" i="39"/>
  <c r="H248" i="43"/>
  <c r="H244" i="43"/>
  <c r="I244" i="43" s="1"/>
  <c r="F248" i="43"/>
  <c r="F244" i="43"/>
  <c r="A135" i="39"/>
  <c r="AI323" i="43" l="1"/>
  <c r="AC129" i="43"/>
  <c r="AC121" i="43" s="1"/>
  <c r="AC100" i="43" s="1"/>
  <c r="AC108" i="43" s="1"/>
  <c r="AC128" i="43"/>
  <c r="AC130" i="43"/>
  <c r="AC122" i="43" s="1"/>
  <c r="AC101" i="43" s="1"/>
  <c r="AC109" i="43" s="1"/>
  <c r="F251" i="43"/>
  <c r="F276" i="43"/>
  <c r="AC159" i="43"/>
  <c r="AB168" i="43"/>
  <c r="AA65" i="43"/>
  <c r="AA82" i="43" s="1"/>
  <c r="AA12" i="47" s="1"/>
  <c r="AA79" i="43"/>
  <c r="AA64" i="43"/>
  <c r="AA77" i="43"/>
  <c r="G251" i="43"/>
  <c r="G276" i="43"/>
  <c r="K276" i="43"/>
  <c r="K251" i="43"/>
  <c r="Y84" i="43"/>
  <c r="Y53" i="43"/>
  <c r="X92" i="39" s="1"/>
  <c r="AB171" i="43"/>
  <c r="AB62" i="43" s="1"/>
  <c r="AC162" i="43"/>
  <c r="AD326" i="43"/>
  <c r="AD327" i="43" s="1"/>
  <c r="AD318" i="43" s="1"/>
  <c r="AD336" i="43"/>
  <c r="J251" i="43"/>
  <c r="J276" i="43"/>
  <c r="E251" i="43"/>
  <c r="E276" i="43"/>
  <c r="H251" i="43"/>
  <c r="H276" i="43"/>
  <c r="AB120" i="43"/>
  <c r="AB99" i="43" s="1"/>
  <c r="AB107" i="43" s="1"/>
  <c r="AB131" i="43"/>
  <c r="AB123" i="43" s="1"/>
  <c r="AB60" i="43" s="1"/>
  <c r="Z81" i="43"/>
  <c r="Z11" i="47" s="1"/>
  <c r="Z13" i="47" s="1"/>
  <c r="Z67" i="43"/>
  <c r="AD130" i="43"/>
  <c r="AD122" i="43" s="1"/>
  <c r="AD101" i="43" s="1"/>
  <c r="AD109" i="43" s="1"/>
  <c r="AD129" i="43"/>
  <c r="AD121" i="43" s="1"/>
  <c r="AD100" i="43" s="1"/>
  <c r="AD108" i="43" s="1"/>
  <c r="AD128" i="43"/>
  <c r="M193" i="39"/>
  <c r="N193" i="39"/>
  <c r="O193" i="39"/>
  <c r="P193" i="39"/>
  <c r="Q193" i="39"/>
  <c r="R193" i="39"/>
  <c r="S193" i="39"/>
  <c r="T193" i="39"/>
  <c r="U193" i="39"/>
  <c r="V193" i="39"/>
  <c r="W193" i="39"/>
  <c r="X193" i="39"/>
  <c r="Y193" i="39"/>
  <c r="Z193" i="39"/>
  <c r="AA193" i="39"/>
  <c r="L193" i="39"/>
  <c r="R198" i="39" l="1"/>
  <c r="R196" i="39"/>
  <c r="Y196" i="39"/>
  <c r="Y198" i="39"/>
  <c r="U196" i="39"/>
  <c r="U198" i="39"/>
  <c r="Q196" i="39"/>
  <c r="Q198" i="39"/>
  <c r="M198" i="39"/>
  <c r="M196" i="39"/>
  <c r="Z84" i="43"/>
  <c r="Z53" i="43"/>
  <c r="Y92" i="39" s="1"/>
  <c r="N198" i="39"/>
  <c r="N196" i="39"/>
  <c r="L196" i="39"/>
  <c r="L198" i="39"/>
  <c r="X196" i="39"/>
  <c r="X198" i="39"/>
  <c r="T198" i="39"/>
  <c r="T196" i="39"/>
  <c r="P198" i="39"/>
  <c r="P196" i="39"/>
  <c r="AD131" i="43"/>
  <c r="AD123" i="43" s="1"/>
  <c r="AD60" i="43" s="1"/>
  <c r="AD120" i="43"/>
  <c r="AD99" i="43" s="1"/>
  <c r="AD107" i="43" s="1"/>
  <c r="AD162" i="43"/>
  <c r="AD171" i="43" s="1"/>
  <c r="AD62" i="43" s="1"/>
  <c r="AC171" i="43"/>
  <c r="AC62" i="43" s="1"/>
  <c r="V198" i="39"/>
  <c r="V196" i="39"/>
  <c r="AA196" i="39"/>
  <c r="AA198" i="39"/>
  <c r="W198" i="39"/>
  <c r="W196" i="39"/>
  <c r="S198" i="39"/>
  <c r="S196" i="39"/>
  <c r="O196" i="39"/>
  <c r="O198" i="39"/>
  <c r="AB64" i="43"/>
  <c r="AB77" i="43"/>
  <c r="AB79" i="43"/>
  <c r="AB65" i="43"/>
  <c r="AB82" i="43" s="1"/>
  <c r="AB12" i="47" s="1"/>
  <c r="AA81" i="43"/>
  <c r="AA11" i="47" s="1"/>
  <c r="AA13" i="47" s="1"/>
  <c r="AA67" i="43"/>
  <c r="AD159" i="43"/>
  <c r="AD168" i="43" s="1"/>
  <c r="AC168" i="43"/>
  <c r="AC120" i="43"/>
  <c r="AC99" i="43" s="1"/>
  <c r="AC107" i="43" s="1"/>
  <c r="AC131" i="43"/>
  <c r="AC123" i="43" s="1"/>
  <c r="AC60" i="43" s="1"/>
  <c r="Z198" i="39"/>
  <c r="Z196" i="39"/>
  <c r="AD77" i="43" l="1"/>
  <c r="AD64" i="43"/>
  <c r="AC77" i="43"/>
  <c r="AC64" i="43"/>
  <c r="AA84" i="43"/>
  <c r="AA53" i="43"/>
  <c r="Z92" i="39" s="1"/>
  <c r="AC65" i="43"/>
  <c r="AC82" i="43" s="1"/>
  <c r="AC12" i="47" s="1"/>
  <c r="AC79" i="43"/>
  <c r="AB81" i="43"/>
  <c r="AB11" i="47" s="1"/>
  <c r="AB13" i="47" s="1"/>
  <c r="AB67" i="43"/>
  <c r="AD65" i="43"/>
  <c r="AD82" i="43" s="1"/>
  <c r="AD12" i="47" s="1"/>
  <c r="AD79" i="43"/>
  <c r="A205" i="39"/>
  <c r="M202" i="39"/>
  <c r="N202" i="39"/>
  <c r="O202" i="39"/>
  <c r="P202" i="39"/>
  <c r="Q202" i="39"/>
  <c r="R202" i="39"/>
  <c r="S202" i="39"/>
  <c r="T202" i="39"/>
  <c r="U202" i="39"/>
  <c r="V202" i="39"/>
  <c r="W202" i="39"/>
  <c r="X202" i="39"/>
  <c r="Y202" i="39"/>
  <c r="Z202" i="39"/>
  <c r="L202" i="39"/>
  <c r="W205" i="39" l="1"/>
  <c r="W207" i="39"/>
  <c r="Z205" i="39"/>
  <c r="Z207" i="39"/>
  <c r="V205" i="39"/>
  <c r="V207" i="39"/>
  <c r="R207" i="39"/>
  <c r="R205" i="39"/>
  <c r="N207" i="39"/>
  <c r="N205" i="39"/>
  <c r="AC81" i="43"/>
  <c r="AC11" i="47" s="1"/>
  <c r="AC13" i="47" s="1"/>
  <c r="AC67" i="43"/>
  <c r="L207" i="39"/>
  <c r="L205" i="39"/>
  <c r="O207" i="39"/>
  <c r="O205" i="39"/>
  <c r="Y205" i="39"/>
  <c r="Y207" i="39"/>
  <c r="U205" i="39"/>
  <c r="U207" i="39"/>
  <c r="Q207" i="39"/>
  <c r="Q205" i="39"/>
  <c r="M205" i="39"/>
  <c r="M207" i="39"/>
  <c r="AB84" i="43"/>
  <c r="AB53" i="43"/>
  <c r="AA92" i="39" s="1"/>
  <c r="S207" i="39"/>
  <c r="S205" i="39"/>
  <c r="X207" i="39"/>
  <c r="X205" i="39"/>
  <c r="T205" i="39"/>
  <c r="T207" i="39"/>
  <c r="P207" i="39"/>
  <c r="P205" i="39"/>
  <c r="AD81" i="43"/>
  <c r="AD11" i="47" s="1"/>
  <c r="AD13" i="47" s="1"/>
  <c r="AD67" i="43"/>
  <c r="A214" i="39"/>
  <c r="A145" i="39"/>
  <c r="Z211" i="39"/>
  <c r="X211" i="39"/>
  <c r="V211" i="39"/>
  <c r="T211" i="39"/>
  <c r="R211" i="39"/>
  <c r="P211" i="39"/>
  <c r="N211" i="39"/>
  <c r="Y211" i="39"/>
  <c r="W211" i="39"/>
  <c r="U211" i="39"/>
  <c r="S211" i="39"/>
  <c r="Q211" i="39"/>
  <c r="O211" i="39"/>
  <c r="M211" i="39"/>
  <c r="L211" i="39"/>
  <c r="Q216" i="39" l="1"/>
  <c r="Q214" i="39"/>
  <c r="AC84" i="43"/>
  <c r="AC53" i="43"/>
  <c r="AB92" i="39" s="1"/>
  <c r="L214" i="39"/>
  <c r="L216" i="39"/>
  <c r="S216" i="39"/>
  <c r="S214" i="39"/>
  <c r="N216" i="39"/>
  <c r="N214" i="39"/>
  <c r="V214" i="39"/>
  <c r="V216" i="39"/>
  <c r="Y214" i="39"/>
  <c r="Y216" i="39"/>
  <c r="U214" i="39"/>
  <c r="U216" i="39"/>
  <c r="X216" i="39"/>
  <c r="X214" i="39"/>
  <c r="T216" i="39"/>
  <c r="T214" i="39"/>
  <c r="M214" i="39"/>
  <c r="M216" i="39"/>
  <c r="P214" i="39"/>
  <c r="P216" i="39"/>
  <c r="O216" i="39"/>
  <c r="O214" i="39"/>
  <c r="W216" i="39"/>
  <c r="W214" i="39"/>
  <c r="R216" i="39"/>
  <c r="R214" i="39"/>
  <c r="Z214" i="39"/>
  <c r="Z216" i="39"/>
  <c r="AD84" i="43"/>
  <c r="AD53" i="43"/>
  <c r="AC92" i="39" s="1"/>
  <c r="A154" i="39"/>
  <c r="A223" i="39"/>
  <c r="M220" i="39"/>
  <c r="O220" i="39"/>
  <c r="Q220" i="39"/>
  <c r="S220" i="39"/>
  <c r="U220" i="39"/>
  <c r="W220" i="39"/>
  <c r="Y220" i="39"/>
  <c r="N220" i="39"/>
  <c r="P220" i="39"/>
  <c r="R220" i="39"/>
  <c r="T220" i="39"/>
  <c r="V220" i="39"/>
  <c r="X220" i="39"/>
  <c r="Z220" i="39"/>
  <c r="L220" i="39"/>
  <c r="N223" i="39" l="1"/>
  <c r="N225" i="39"/>
  <c r="T223" i="39"/>
  <c r="T225" i="39"/>
  <c r="Y225" i="39"/>
  <c r="Y223" i="39"/>
  <c r="Q223" i="39"/>
  <c r="Q225" i="39"/>
  <c r="S223" i="39"/>
  <c r="S225" i="39"/>
  <c r="Z225" i="39"/>
  <c r="Z223" i="39"/>
  <c r="R225" i="39"/>
  <c r="R223" i="39"/>
  <c r="W223" i="39"/>
  <c r="W225" i="39"/>
  <c r="O225" i="39"/>
  <c r="O223" i="39"/>
  <c r="V225" i="39"/>
  <c r="V223" i="39"/>
  <c r="L225" i="39"/>
  <c r="L223" i="39"/>
  <c r="X225" i="39"/>
  <c r="X223" i="39"/>
  <c r="P223" i="39"/>
  <c r="P225" i="39"/>
  <c r="U223" i="39"/>
  <c r="U225" i="39"/>
  <c r="M223" i="39"/>
  <c r="M225" i="39"/>
  <c r="A232" i="39"/>
  <c r="A163" i="39"/>
  <c r="Z229" i="39"/>
  <c r="X229" i="39"/>
  <c r="V229" i="39"/>
  <c r="T229" i="39"/>
  <c r="R229" i="39"/>
  <c r="P229" i="39"/>
  <c r="N229" i="39"/>
  <c r="Y229" i="39"/>
  <c r="W229" i="39"/>
  <c r="U229" i="39"/>
  <c r="S229" i="39"/>
  <c r="Q229" i="39"/>
  <c r="O229" i="39"/>
  <c r="M229" i="39"/>
  <c r="L229" i="39"/>
  <c r="T232" i="39" l="1"/>
  <c r="T234" i="39"/>
  <c r="L232" i="39"/>
  <c r="L234" i="39"/>
  <c r="S232" i="39"/>
  <c r="S234" i="39"/>
  <c r="N232" i="39"/>
  <c r="N234" i="39"/>
  <c r="V234" i="39"/>
  <c r="V232" i="39"/>
  <c r="Y232" i="39"/>
  <c r="Y234" i="39"/>
  <c r="U234" i="39"/>
  <c r="U232" i="39"/>
  <c r="P232" i="39"/>
  <c r="P234" i="39"/>
  <c r="X232" i="39"/>
  <c r="X234" i="39"/>
  <c r="Q234" i="39"/>
  <c r="Q232" i="39"/>
  <c r="M232" i="39"/>
  <c r="M234" i="39"/>
  <c r="O234" i="39"/>
  <c r="O232" i="39"/>
  <c r="W234" i="39"/>
  <c r="W232" i="39"/>
  <c r="R232" i="39"/>
  <c r="R234" i="39"/>
  <c r="Z234" i="39"/>
  <c r="Z232" i="39"/>
  <c r="A172" i="39"/>
  <c r="A241" i="39"/>
  <c r="M238" i="39"/>
  <c r="O238" i="39"/>
  <c r="Q238" i="39"/>
  <c r="S238" i="39"/>
  <c r="U238" i="39"/>
  <c r="W238" i="39"/>
  <c r="Y238" i="39"/>
  <c r="N238" i="39"/>
  <c r="P238" i="39"/>
  <c r="R238" i="39"/>
  <c r="T238" i="39"/>
  <c r="V238" i="39"/>
  <c r="X238" i="39"/>
  <c r="Z238" i="39"/>
  <c r="L238" i="39"/>
  <c r="V243" i="39" l="1"/>
  <c r="V241" i="39"/>
  <c r="L243" i="39"/>
  <c r="L241" i="39"/>
  <c r="T243" i="39"/>
  <c r="T241" i="39"/>
  <c r="Y241" i="39"/>
  <c r="Y243" i="39"/>
  <c r="Q241" i="39"/>
  <c r="Q243" i="39"/>
  <c r="R243" i="39"/>
  <c r="R241" i="39"/>
  <c r="W241" i="39"/>
  <c r="W243" i="39"/>
  <c r="O243" i="39"/>
  <c r="O241" i="39"/>
  <c r="Z241" i="39"/>
  <c r="Z243" i="39"/>
  <c r="X241" i="39"/>
  <c r="X243" i="39"/>
  <c r="P241" i="39"/>
  <c r="P243" i="39"/>
  <c r="U241" i="39"/>
  <c r="U243" i="39"/>
  <c r="M243" i="39"/>
  <c r="M241" i="39"/>
  <c r="N241" i="39"/>
  <c r="N243" i="39"/>
  <c r="S241" i="39"/>
  <c r="S243" i="39"/>
  <c r="M72" i="3" l="1"/>
  <c r="N72" i="3" l="1"/>
  <c r="O72" i="3" l="1"/>
  <c r="D71" i="3" l="1"/>
  <c r="E287" i="43" l="1"/>
  <c r="E298" i="43" l="1"/>
  <c r="E308" i="43" s="1"/>
  <c r="E299" i="43"/>
  <c r="E309" i="43" s="1"/>
  <c r="E300" i="43"/>
  <c r="E297" i="43"/>
  <c r="E307" i="43" s="1"/>
  <c r="E301" i="43" l="1"/>
  <c r="E292" i="43" s="1"/>
  <c r="E310" i="43"/>
  <c r="E311" i="43" s="1"/>
  <c r="E339" i="43" l="1"/>
  <c r="S112" i="39" l="1"/>
  <c r="S110" i="39"/>
  <c r="S111" i="39"/>
  <c r="X111" i="39"/>
  <c r="X110" i="39"/>
  <c r="X112" i="39"/>
  <c r="W112" i="39"/>
  <c r="W111" i="39"/>
  <c r="W110" i="39"/>
  <c r="P110" i="39"/>
  <c r="P111" i="39"/>
  <c r="P112" i="39"/>
  <c r="T111" i="39"/>
  <c r="T112" i="39"/>
  <c r="T110" i="39"/>
  <c r="Y110" i="39"/>
  <c r="Y111" i="39"/>
  <c r="Y112" i="39"/>
  <c r="AB111" i="39"/>
  <c r="AB110" i="39"/>
  <c r="AB112" i="39"/>
  <c r="Q112" i="39"/>
  <c r="Q111" i="39"/>
  <c r="Q110" i="39"/>
  <c r="U111" i="39"/>
  <c r="U112" i="39"/>
  <c r="U110" i="39"/>
  <c r="Z111" i="39"/>
  <c r="Z110" i="39"/>
  <c r="Z112" i="39"/>
  <c r="R112" i="39"/>
  <c r="R111" i="39"/>
  <c r="R110" i="39"/>
  <c r="V111" i="39"/>
  <c r="V112" i="39"/>
  <c r="V110" i="39"/>
  <c r="AA111" i="39"/>
  <c r="AA112" i="39"/>
  <c r="AA110" i="39"/>
  <c r="AB33" i="3" l="1"/>
  <c r="V33" i="3"/>
  <c r="Q33" i="3"/>
  <c r="AA33" i="3"/>
  <c r="U33" i="3"/>
  <c r="Y33" i="3"/>
  <c r="T33" i="3"/>
  <c r="R33" i="3"/>
  <c r="Z33" i="3"/>
  <c r="W33" i="3"/>
  <c r="X33" i="3"/>
  <c r="P33" i="3"/>
  <c r="S33" i="3"/>
  <c r="E71" i="3"/>
  <c r="F287" i="43" l="1"/>
  <c r="F298" i="43" l="1"/>
  <c r="F308" i="43" s="1"/>
  <c r="F297" i="43"/>
  <c r="F307" i="43" s="1"/>
  <c r="F300" i="43"/>
  <c r="F299" i="43"/>
  <c r="F309" i="43" s="1"/>
  <c r="F310" i="43" l="1"/>
  <c r="F311" i="43" s="1"/>
  <c r="F301" i="43"/>
  <c r="F292" i="43" s="1"/>
  <c r="F339" i="43" l="1"/>
  <c r="F71" i="3" l="1"/>
  <c r="G287" i="43" l="1"/>
  <c r="G297" i="43" l="1"/>
  <c r="G307" i="43" s="1"/>
  <c r="G299" i="43"/>
  <c r="G309" i="43" s="1"/>
  <c r="G298" i="43"/>
  <c r="G308" i="43" s="1"/>
  <c r="G300" i="43"/>
  <c r="G301" i="43" l="1"/>
  <c r="G292" i="43" s="1"/>
  <c r="G310" i="43"/>
  <c r="G311" i="43" s="1"/>
  <c r="G339" i="43" l="1"/>
  <c r="G71" i="3" l="1"/>
  <c r="H287" i="43" l="1"/>
  <c r="H300" i="43" l="1"/>
  <c r="H299" i="43"/>
  <c r="H309" i="43" s="1"/>
  <c r="H297" i="43"/>
  <c r="H307" i="43" s="1"/>
  <c r="H298" i="43"/>
  <c r="H308" i="43" s="1"/>
  <c r="H301" i="43" l="1"/>
  <c r="H292" i="43" s="1"/>
  <c r="H310" i="43"/>
  <c r="H311" i="43" s="1"/>
  <c r="H339" i="43" l="1"/>
  <c r="H71" i="3" l="1"/>
  <c r="I287" i="43" l="1"/>
  <c r="I300" i="43" l="1"/>
  <c r="I298" i="43"/>
  <c r="I308" i="43" s="1"/>
  <c r="I297" i="43"/>
  <c r="I307" i="43" s="1"/>
  <c r="I299" i="43"/>
  <c r="I309" i="43" s="1"/>
  <c r="I310" i="43" l="1"/>
  <c r="I311" i="43" s="1"/>
  <c r="I301" i="43"/>
  <c r="I292" i="43" s="1"/>
  <c r="I339" i="43" l="1"/>
  <c r="I71" i="3" l="1"/>
  <c r="AC72" i="3" l="1"/>
  <c r="J287" i="43" l="1"/>
  <c r="J298" i="43" l="1"/>
  <c r="J308" i="43" s="1"/>
  <c r="J300" i="43"/>
  <c r="J297" i="43"/>
  <c r="J307" i="43" s="1"/>
  <c r="J299" i="43"/>
  <c r="J309" i="43" s="1"/>
  <c r="N32" i="43"/>
  <c r="M32" i="43"/>
  <c r="O32" i="43"/>
  <c r="J310" i="43" l="1"/>
  <c r="J311" i="43" s="1"/>
  <c r="J301" i="43"/>
  <c r="J292" i="43" s="1"/>
  <c r="O242" i="43"/>
  <c r="O249" i="43" s="1"/>
  <c r="O241" i="43"/>
  <c r="O243" i="43"/>
  <c r="O250" i="43" s="1"/>
  <c r="M241" i="43"/>
  <c r="M243" i="43"/>
  <c r="M250" i="43" s="1"/>
  <c r="M242" i="43"/>
  <c r="M249" i="43" s="1"/>
  <c r="N243" i="43"/>
  <c r="N250" i="43" s="1"/>
  <c r="N242" i="43"/>
  <c r="N249" i="43" s="1"/>
  <c r="N241" i="43"/>
  <c r="J339" i="43" l="1"/>
  <c r="O244" i="43"/>
  <c r="O248" i="43"/>
  <c r="N248" i="43"/>
  <c r="N244" i="43"/>
  <c r="M244" i="43"/>
  <c r="M248" i="43"/>
  <c r="N251" i="43" l="1"/>
  <c r="N276" i="43"/>
  <c r="M251" i="43"/>
  <c r="M276" i="43"/>
  <c r="O251" i="43"/>
  <c r="O276" i="43"/>
  <c r="J71" i="3" l="1"/>
  <c r="K287" i="43" l="1"/>
  <c r="K298" i="43" l="1"/>
  <c r="K308" i="43" s="1"/>
  <c r="K299" i="43"/>
  <c r="K309" i="43" s="1"/>
  <c r="K300" i="43"/>
  <c r="K297" i="43"/>
  <c r="K307" i="43" s="1"/>
  <c r="S72" i="3"/>
  <c r="AB72" i="3"/>
  <c r="U72" i="3"/>
  <c r="Q72" i="3"/>
  <c r="V72" i="3"/>
  <c r="R72" i="3"/>
  <c r="Z72" i="3"/>
  <c r="Y72" i="3"/>
  <c r="T72" i="3"/>
  <c r="P72" i="3"/>
  <c r="W72" i="3"/>
  <c r="X72" i="3"/>
  <c r="AA72" i="3"/>
  <c r="K301" i="43" l="1"/>
  <c r="K292" i="43" s="1"/>
  <c r="K310" i="43"/>
  <c r="K311" i="43" s="1"/>
  <c r="K339" i="43" l="1"/>
  <c r="K71" i="3" l="1"/>
  <c r="L287" i="43" l="1"/>
  <c r="L297" i="43" l="1"/>
  <c r="L307" i="43" s="1"/>
  <c r="L300" i="43"/>
  <c r="L299" i="43"/>
  <c r="L309" i="43" s="1"/>
  <c r="L298" i="43"/>
  <c r="L308" i="43" s="1"/>
  <c r="L301" i="43" l="1"/>
  <c r="L292" i="43" s="1"/>
  <c r="L310" i="43"/>
  <c r="L311" i="43" s="1"/>
  <c r="L339" i="43" l="1"/>
  <c r="E5" i="19"/>
  <c r="L71" i="3" l="1"/>
  <c r="M287" i="43" l="1"/>
  <c r="M26" i="3"/>
  <c r="M298" i="43" l="1"/>
  <c r="M308" i="43" s="1"/>
  <c r="M300" i="43"/>
  <c r="M297" i="43"/>
  <c r="M307" i="43" s="1"/>
  <c r="M299" i="43"/>
  <c r="M309" i="43" s="1"/>
  <c r="M20" i="3"/>
  <c r="M22" i="3"/>
  <c r="M24" i="3"/>
  <c r="M23" i="3"/>
  <c r="M25" i="3"/>
  <c r="M310" i="43" l="1"/>
  <c r="M311" i="43" s="1"/>
  <c r="M301" i="43"/>
  <c r="M292" i="43" s="1"/>
  <c r="M21" i="3"/>
  <c r="M339" i="43" l="1"/>
  <c r="F5" i="19"/>
  <c r="M64" i="3" l="1"/>
  <c r="M53" i="3" s="1"/>
  <c r="M60" i="3" l="1"/>
  <c r="M49" i="3" s="1"/>
  <c r="M63" i="3"/>
  <c r="M52" i="3" s="1"/>
  <c r="M61" i="3"/>
  <c r="M50" i="3" s="1"/>
  <c r="M62" i="3"/>
  <c r="M51" i="3" s="1"/>
  <c r="M71" i="3" l="1"/>
  <c r="M70" i="3" s="1"/>
  <c r="P32" i="43" l="1"/>
  <c r="P241" i="43" l="1"/>
  <c r="P243" i="43"/>
  <c r="P242" i="43"/>
  <c r="Q242" i="43" l="1"/>
  <c r="P249" i="43"/>
  <c r="Q243" i="43"/>
  <c r="P250" i="43"/>
  <c r="P248" i="43"/>
  <c r="Q241" i="43"/>
  <c r="R241" i="43" s="1"/>
  <c r="P244" i="43"/>
  <c r="Q244" i="43" s="1"/>
  <c r="R244" i="43" s="1"/>
  <c r="S244" i="43" s="1"/>
  <c r="T244" i="43" s="1"/>
  <c r="U244" i="43" s="1"/>
  <c r="V244" i="43" s="1"/>
  <c r="W244" i="43" s="1"/>
  <c r="X244" i="43" s="1"/>
  <c r="Y244" i="43" s="1"/>
  <c r="Z244" i="43" s="1"/>
  <c r="AA244" i="43" s="1"/>
  <c r="AB244" i="43" s="1"/>
  <c r="AC244" i="43" s="1"/>
  <c r="AD244" i="43" s="1"/>
  <c r="R243" i="43" l="1"/>
  <c r="S243" i="43" s="1"/>
  <c r="S241" i="43"/>
  <c r="P251" i="43"/>
  <c r="P276" i="43"/>
  <c r="R242" i="43"/>
  <c r="Q32" i="43"/>
  <c r="Q248" i="43" s="1"/>
  <c r="Q249" i="43" l="1"/>
  <c r="Q251" i="43"/>
  <c r="Q276" i="43"/>
  <c r="S242" i="43"/>
  <c r="T242" i="43" s="1"/>
  <c r="U242" i="43" s="1"/>
  <c r="V242" i="43" s="1"/>
  <c r="T241" i="43"/>
  <c r="Q250" i="43"/>
  <c r="T243" i="43"/>
  <c r="R32" i="43"/>
  <c r="S32" i="43"/>
  <c r="S249" i="43" l="1"/>
  <c r="W242" i="43"/>
  <c r="X242" i="43" s="1"/>
  <c r="Y242" i="43" s="1"/>
  <c r="S248" i="43"/>
  <c r="S250" i="43"/>
  <c r="U241" i="43"/>
  <c r="R250" i="43"/>
  <c r="R248" i="43"/>
  <c r="U243" i="43"/>
  <c r="R249" i="43"/>
  <c r="T32" i="43"/>
  <c r="T249" i="43" s="1"/>
  <c r="R251" i="43" l="1"/>
  <c r="R276" i="43"/>
  <c r="S251" i="43"/>
  <c r="S276" i="43"/>
  <c r="V243" i="43"/>
  <c r="W243" i="43" s="1"/>
  <c r="T248" i="43"/>
  <c r="T250" i="43"/>
  <c r="V241" i="43"/>
  <c r="Z242" i="43"/>
  <c r="AA242" i="43" s="1"/>
  <c r="AB242" i="43" s="1"/>
  <c r="AC242" i="43" s="1"/>
  <c r="AD242" i="43" s="1"/>
  <c r="U32" i="43"/>
  <c r="U249" i="43" s="1"/>
  <c r="T251" i="43" l="1"/>
  <c r="T276" i="43"/>
  <c r="U248" i="43"/>
  <c r="X243" i="43"/>
  <c r="W241" i="43"/>
  <c r="U250" i="43"/>
  <c r="U251" i="43" l="1"/>
  <c r="U276" i="43"/>
  <c r="X241" i="43"/>
  <c r="Y243" i="43"/>
  <c r="V32" i="43"/>
  <c r="W32" i="43"/>
  <c r="X32" i="43"/>
  <c r="X249" i="43" s="1"/>
  <c r="W249" i="43" l="1"/>
  <c r="W250" i="43"/>
  <c r="V250" i="43"/>
  <c r="V249" i="43"/>
  <c r="V248" i="43"/>
  <c r="W248" i="43"/>
  <c r="Y241" i="43"/>
  <c r="X248" i="43"/>
  <c r="X250" i="43"/>
  <c r="Z243" i="43"/>
  <c r="X251" i="43" l="1"/>
  <c r="X276" i="43"/>
  <c r="Z241" i="43"/>
  <c r="AA243" i="43"/>
  <c r="W251" i="43"/>
  <c r="W276" i="43"/>
  <c r="V251" i="43"/>
  <c r="V276" i="43"/>
  <c r="Z32" i="43"/>
  <c r="Z249" i="43" s="1"/>
  <c r="Y32" i="43"/>
  <c r="Y248" i="43" s="1"/>
  <c r="Z250" i="43" l="1"/>
  <c r="Y251" i="43"/>
  <c r="Y276" i="43"/>
  <c r="AA241" i="43"/>
  <c r="Z248" i="43"/>
  <c r="Y249" i="43"/>
  <c r="Y250" i="43"/>
  <c r="AB243" i="43"/>
  <c r="AA32" i="43"/>
  <c r="AA249" i="43" s="1"/>
  <c r="AC243" i="43" l="1"/>
  <c r="Z251" i="43"/>
  <c r="Z276" i="43"/>
  <c r="AA250" i="43"/>
  <c r="AB241" i="43"/>
  <c r="AA248" i="43"/>
  <c r="AB32" i="43"/>
  <c r="AB249" i="43" s="1"/>
  <c r="AA251" i="43" l="1"/>
  <c r="AA276" i="43"/>
  <c r="AC241" i="43"/>
  <c r="AB248" i="43"/>
  <c r="AD243" i="43"/>
  <c r="AB250" i="43"/>
  <c r="AB251" i="43" l="1"/>
  <c r="AB276" i="43"/>
  <c r="AD241" i="43"/>
  <c r="AC32" i="43"/>
  <c r="AC248" i="43" s="1"/>
  <c r="AC251" i="43" l="1"/>
  <c r="AC276" i="43"/>
  <c r="AC249" i="43"/>
  <c r="AC250" i="43"/>
  <c r="AD32" i="43"/>
  <c r="AD248" i="43" l="1"/>
  <c r="AD249" i="43"/>
  <c r="AD250" i="43"/>
  <c r="AD251" i="43" l="1"/>
  <c r="AD276" i="43"/>
  <c r="N287" i="43" l="1"/>
  <c r="N26" i="3" l="1"/>
  <c r="N23" i="3"/>
  <c r="N297" i="43"/>
  <c r="N307" i="43" s="1"/>
  <c r="N299" i="43"/>
  <c r="N309" i="43" s="1"/>
  <c r="N298" i="43"/>
  <c r="N308" i="43" s="1"/>
  <c r="N300" i="43"/>
  <c r="N21" i="3"/>
  <c r="N24" i="3" l="1"/>
  <c r="N25" i="3"/>
  <c r="N22" i="3"/>
  <c r="N310" i="43"/>
  <c r="N311" i="43" s="1"/>
  <c r="N301" i="43"/>
  <c r="N292" i="43" s="1"/>
  <c r="N20" i="3"/>
  <c r="G5" i="19"/>
  <c r="N339" i="43" l="1"/>
  <c r="N60" i="3" l="1"/>
  <c r="N49" i="3" s="1"/>
  <c r="N64" i="3"/>
  <c r="N53" i="3" s="1"/>
  <c r="N61" i="3"/>
  <c r="N50" i="3" s="1"/>
  <c r="N63" i="3" l="1"/>
  <c r="N52" i="3" s="1"/>
  <c r="N62" i="3"/>
  <c r="N51" i="3" s="1"/>
  <c r="N71" i="3" l="1"/>
  <c r="N70" i="3" s="1"/>
  <c r="O287" i="43" l="1"/>
  <c r="O23" i="3" l="1"/>
  <c r="O25" i="3"/>
  <c r="O21" i="3"/>
  <c r="O300" i="43"/>
  <c r="O297" i="43"/>
  <c r="O307" i="43" s="1"/>
  <c r="O298" i="43"/>
  <c r="O308" i="43" s="1"/>
  <c r="O299" i="43"/>
  <c r="O309" i="43" s="1"/>
  <c r="O26" i="3" l="1"/>
  <c r="O22" i="3"/>
  <c r="O301" i="43"/>
  <c r="O292" i="43" s="1"/>
  <c r="O310" i="43"/>
  <c r="O311" i="43" s="1"/>
  <c r="H5" i="19"/>
  <c r="O24" i="3"/>
  <c r="O20" i="3" l="1"/>
  <c r="O339" i="43"/>
  <c r="O61" i="3" l="1"/>
  <c r="O50" i="3" s="1"/>
  <c r="O63" i="3"/>
  <c r="O52" i="3" s="1"/>
  <c r="O64" i="3" l="1"/>
  <c r="O53" i="3" s="1"/>
  <c r="O60" i="3"/>
  <c r="O49" i="3" s="1"/>
  <c r="O62" i="3"/>
  <c r="O51" i="3" s="1"/>
  <c r="O71" i="3" l="1"/>
  <c r="O70" i="3" s="1"/>
  <c r="P287" i="43" l="1"/>
  <c r="P23" i="3" l="1"/>
  <c r="P24" i="3"/>
  <c r="P22" i="3"/>
  <c r="P300" i="43"/>
  <c r="P299" i="43"/>
  <c r="P309" i="43" s="1"/>
  <c r="Q309" i="43" s="1"/>
  <c r="P297" i="43"/>
  <c r="P307" i="43" s="1"/>
  <c r="Q307" i="43" s="1"/>
  <c r="P298" i="43"/>
  <c r="P308" i="43" s="1"/>
  <c r="R309" i="43" l="1"/>
  <c r="Q299" i="43"/>
  <c r="P25" i="3"/>
  <c r="P310" i="43"/>
  <c r="P301" i="43"/>
  <c r="P292" i="43" s="1"/>
  <c r="P339" i="43" s="1"/>
  <c r="P21" i="3"/>
  <c r="P26" i="3"/>
  <c r="Q308" i="43"/>
  <c r="Q298" i="43" s="1"/>
  <c r="R307" i="43"/>
  <c r="Q297" i="43"/>
  <c r="P20" i="3" l="1"/>
  <c r="I5" i="19"/>
  <c r="P311" i="43"/>
  <c r="Q310" i="43"/>
  <c r="R297" i="43"/>
  <c r="S307" i="43"/>
  <c r="R308" i="43"/>
  <c r="R298" i="43" s="1"/>
  <c r="S309" i="43"/>
  <c r="R299" i="43"/>
  <c r="T309" i="43" l="1"/>
  <c r="S299" i="43"/>
  <c r="S308" i="43"/>
  <c r="S298" i="43" s="1"/>
  <c r="S297" i="43"/>
  <c r="T307" i="43"/>
  <c r="Q311" i="43"/>
  <c r="Q300" i="43"/>
  <c r="Q301" i="43" s="1"/>
  <c r="Q292" i="43" s="1"/>
  <c r="R310" i="43"/>
  <c r="T308" i="43" l="1"/>
  <c r="T298" i="43" s="1"/>
  <c r="U307" i="43"/>
  <c r="T297" i="43"/>
  <c r="R300" i="43"/>
  <c r="R301" i="43" s="1"/>
  <c r="R292" i="43" s="1"/>
  <c r="R311" i="43"/>
  <c r="S310" i="43"/>
  <c r="U309" i="43"/>
  <c r="T299" i="43"/>
  <c r="U299" i="43" l="1"/>
  <c r="V309" i="43"/>
  <c r="P60" i="3"/>
  <c r="P49" i="3" s="1"/>
  <c r="P61" i="3"/>
  <c r="P50" i="3" s="1"/>
  <c r="U297" i="43"/>
  <c r="V307" i="43"/>
  <c r="U308" i="43"/>
  <c r="U298" i="43" s="1"/>
  <c r="P62" i="3"/>
  <c r="P51" i="3" s="1"/>
  <c r="S300" i="43"/>
  <c r="S301" i="43" s="1"/>
  <c r="S292" i="43" s="1"/>
  <c r="T310" i="43"/>
  <c r="S311" i="43"/>
  <c r="P63" i="3" l="1"/>
  <c r="P52" i="3" s="1"/>
  <c r="T300" i="43"/>
  <c r="T301" i="43" s="1"/>
  <c r="T292" i="43" s="1"/>
  <c r="U310" i="43"/>
  <c r="T311" i="43"/>
  <c r="W307" i="43"/>
  <c r="V297" i="43"/>
  <c r="V308" i="43"/>
  <c r="V298" i="43" s="1"/>
  <c r="V299" i="43"/>
  <c r="W309" i="43"/>
  <c r="P64" i="3"/>
  <c r="P53" i="3" s="1"/>
  <c r="X309" i="43" l="1"/>
  <c r="W299" i="43"/>
  <c r="W297" i="43"/>
  <c r="W308" i="43"/>
  <c r="W298" i="43" s="1"/>
  <c r="X307" i="43"/>
  <c r="U300" i="43"/>
  <c r="U301" i="43" s="1"/>
  <c r="U292" i="43" s="1"/>
  <c r="U311" i="43"/>
  <c r="V310" i="43"/>
  <c r="Y307" i="43" l="1"/>
  <c r="X297" i="43"/>
  <c r="X308" i="43"/>
  <c r="X298" i="43" s="1"/>
  <c r="Q34" i="3"/>
  <c r="Q39" i="3"/>
  <c r="P71" i="3"/>
  <c r="P70" i="3" s="1"/>
  <c r="V311" i="43"/>
  <c r="W310" i="43"/>
  <c r="V300" i="43"/>
  <c r="V301" i="43" s="1"/>
  <c r="V292" i="43" s="1"/>
  <c r="Q38" i="3"/>
  <c r="X299" i="43"/>
  <c r="Y309" i="43"/>
  <c r="Q36" i="3" l="1"/>
  <c r="X310" i="43"/>
  <c r="W300" i="43"/>
  <c r="W301" i="43" s="1"/>
  <c r="W292" i="43" s="1"/>
  <c r="W311" i="43"/>
  <c r="Q37" i="3"/>
  <c r="Y308" i="43"/>
  <c r="Y298" i="43" s="1"/>
  <c r="Y297" i="43"/>
  <c r="Z307" i="43"/>
  <c r="Z309" i="43"/>
  <c r="Y299" i="43"/>
  <c r="Q35" i="3"/>
  <c r="Q51" i="43"/>
  <c r="Q50" i="43" s="1"/>
  <c r="AA309" i="43" l="1"/>
  <c r="Z299" i="43"/>
  <c r="X300" i="43"/>
  <c r="X301" i="43" s="1"/>
  <c r="X292" i="43" s="1"/>
  <c r="Y310" i="43"/>
  <c r="X311" i="43"/>
  <c r="AA307" i="43"/>
  <c r="Z297" i="43"/>
  <c r="Z308" i="43"/>
  <c r="Z298" i="43" s="1"/>
  <c r="Y311" i="43" l="1"/>
  <c r="Y300" i="43"/>
  <c r="Y301" i="43" s="1"/>
  <c r="Y292" i="43" s="1"/>
  <c r="Z310" i="43"/>
  <c r="AB307" i="43"/>
  <c r="AA308" i="43"/>
  <c r="AA298" i="43" s="1"/>
  <c r="AA297" i="43"/>
  <c r="AB309" i="43"/>
  <c r="AA299" i="43"/>
  <c r="AC307" i="43" l="1"/>
  <c r="AB308" i="43"/>
  <c r="AB298" i="43" s="1"/>
  <c r="AB297" i="43"/>
  <c r="Z311" i="43"/>
  <c r="AA310" i="43"/>
  <c r="Z300" i="43"/>
  <c r="Z301" i="43" s="1"/>
  <c r="Z292" i="43" s="1"/>
  <c r="AC309" i="43"/>
  <c r="AB299" i="43"/>
  <c r="AA311" i="43" l="1"/>
  <c r="AB310" i="43"/>
  <c r="AA300" i="43"/>
  <c r="AA301" i="43" s="1"/>
  <c r="AA292" i="43" s="1"/>
  <c r="AC308" i="43"/>
  <c r="AC298" i="43" s="1"/>
  <c r="AC297" i="43"/>
  <c r="AD307" i="43"/>
  <c r="AC299" i="43"/>
  <c r="AD309" i="43"/>
  <c r="AD299" i="43" s="1"/>
  <c r="AD297" i="43" l="1"/>
  <c r="AD308" i="43"/>
  <c r="AD298" i="43" s="1"/>
  <c r="AB300" i="43"/>
  <c r="AB301" i="43" s="1"/>
  <c r="AB292" i="43" s="1"/>
  <c r="AB311" i="43"/>
  <c r="AC310" i="43"/>
  <c r="AC311" i="43" l="1"/>
  <c r="AD310" i="43"/>
  <c r="AC300" i="43"/>
  <c r="AC301" i="43" s="1"/>
  <c r="AC292" i="43" s="1"/>
  <c r="AD300" i="43" l="1"/>
  <c r="AD301" i="43" s="1"/>
  <c r="AD292" i="43" s="1"/>
  <c r="AD311" i="43"/>
  <c r="Q287" i="43" l="1"/>
  <c r="Q339" i="43" s="1"/>
  <c r="Q23" i="3" l="1"/>
  <c r="Q24" i="3" l="1"/>
  <c r="Q22" i="3"/>
  <c r="Q26" i="3"/>
  <c r="Q21" i="3" l="1"/>
  <c r="Q25" i="3"/>
  <c r="J5" i="19" l="1"/>
  <c r="Q20" i="3"/>
  <c r="Q61" i="3" l="1"/>
  <c r="Q50" i="3" s="1"/>
  <c r="Q64" i="3" l="1"/>
  <c r="Q53" i="3" s="1"/>
  <c r="Q62" i="3"/>
  <c r="Q51" i="3" s="1"/>
  <c r="Q60" i="3"/>
  <c r="Q49" i="3" s="1"/>
  <c r="Q63" i="3" l="1"/>
  <c r="Q52" i="3" s="1"/>
  <c r="R38" i="3" l="1"/>
  <c r="Q71" i="3"/>
  <c r="Q70" i="3" s="1"/>
  <c r="R34" i="3"/>
  <c r="R35" i="3" l="1"/>
  <c r="R36" i="3"/>
  <c r="R39" i="3"/>
  <c r="R37" i="3"/>
  <c r="R51" i="43" l="1"/>
  <c r="R50" i="43" s="1"/>
  <c r="R287" i="43" l="1"/>
  <c r="R339" i="43" s="1"/>
  <c r="R26" i="3" l="1"/>
  <c r="R22" i="3"/>
  <c r="R21" i="3" l="1"/>
  <c r="R23" i="3"/>
  <c r="R24" i="3"/>
  <c r="R25" i="3"/>
  <c r="R20" i="3" l="1"/>
  <c r="K5" i="19"/>
  <c r="R64" i="3" l="1"/>
  <c r="R53" i="3" s="1"/>
  <c r="R60" i="3"/>
  <c r="R49" i="3" s="1"/>
  <c r="R63" i="3" l="1"/>
  <c r="R52" i="3" s="1"/>
  <c r="R62" i="3"/>
  <c r="R51" i="3" s="1"/>
  <c r="R61" i="3"/>
  <c r="R50" i="3" s="1"/>
  <c r="R71" i="3" l="1"/>
  <c r="R70" i="3" s="1"/>
  <c r="S36" i="3" l="1"/>
  <c r="S37" i="3"/>
  <c r="S34" i="3" l="1"/>
  <c r="S39" i="3"/>
  <c r="S38" i="3"/>
  <c r="S35" i="3"/>
  <c r="S51" i="43" l="1"/>
  <c r="S50" i="43" s="1"/>
  <c r="S287" i="43" l="1"/>
  <c r="S339" i="43" s="1"/>
  <c r="S25" i="3" l="1"/>
  <c r="S23" i="3"/>
  <c r="S26" i="3" l="1"/>
  <c r="S21" i="3"/>
  <c r="S24" i="3"/>
  <c r="S22" i="3" l="1"/>
  <c r="S20" i="3"/>
  <c r="L5" i="19"/>
  <c r="S61" i="3" l="1"/>
  <c r="S50" i="3" s="1"/>
  <c r="S63" i="3"/>
  <c r="S52" i="3" s="1"/>
  <c r="S62" i="3" l="1"/>
  <c r="S51" i="3" s="1"/>
  <c r="S64" i="3"/>
  <c r="S53" i="3" s="1"/>
  <c r="S60" i="3" l="1"/>
  <c r="S49" i="3" s="1"/>
  <c r="T39" i="3" l="1"/>
  <c r="T37" i="3"/>
  <c r="T34" i="3"/>
  <c r="T35" i="3" l="1"/>
  <c r="T38" i="3"/>
  <c r="S71" i="3"/>
  <c r="S70" i="3" s="1"/>
  <c r="T36" i="3"/>
  <c r="T51" i="43" l="1"/>
  <c r="T50" i="43" s="1"/>
  <c r="O6" i="47" l="1"/>
  <c r="O4" i="47" l="1"/>
  <c r="O3" i="47"/>
  <c r="O5" i="47"/>
  <c r="T287" i="43" l="1"/>
  <c r="T339" i="43" s="1"/>
  <c r="O7" i="47"/>
  <c r="O2" i="47" l="1"/>
  <c r="O8" i="47" s="1"/>
  <c r="P8" i="47" s="1"/>
  <c r="T22" i="3" l="1"/>
  <c r="T24" i="3"/>
  <c r="T21" i="3"/>
  <c r="T20" i="3"/>
  <c r="T23" i="3" l="1"/>
  <c r="M5" i="19"/>
  <c r="T26" i="3"/>
  <c r="T25" i="3"/>
  <c r="T60" i="3" l="1"/>
  <c r="T49" i="3" s="1"/>
  <c r="T62" i="3"/>
  <c r="T51" i="3" s="1"/>
  <c r="T63" i="3" l="1"/>
  <c r="T52" i="3" s="1"/>
  <c r="T61" i="3"/>
  <c r="T50" i="3" s="1"/>
  <c r="T64" i="3"/>
  <c r="T53" i="3" s="1"/>
  <c r="U34" i="3" l="1"/>
  <c r="U37" i="3"/>
  <c r="U35" i="3"/>
  <c r="U36" i="3" l="1"/>
  <c r="U39" i="3"/>
  <c r="U38" i="3"/>
  <c r="T71" i="3"/>
  <c r="T70" i="3" s="1"/>
  <c r="U51" i="43"/>
  <c r="U50" i="43" s="1"/>
  <c r="U287" i="43" l="1"/>
  <c r="U339" i="43" s="1"/>
  <c r="U20" i="3" l="1"/>
  <c r="U24" i="3" l="1"/>
  <c r="U25" i="3"/>
  <c r="U22" i="3"/>
  <c r="U23" i="3"/>
  <c r="U26" i="3"/>
  <c r="U21" i="3" l="1"/>
  <c r="N5" i="19" l="1"/>
  <c r="U61" i="3" l="1"/>
  <c r="U50" i="3" s="1"/>
  <c r="U62" i="3"/>
  <c r="U51" i="3" s="1"/>
  <c r="U60" i="3"/>
  <c r="U49" i="3" s="1"/>
  <c r="U63" i="3"/>
  <c r="U52" i="3" s="1"/>
  <c r="U64" i="3"/>
  <c r="U53" i="3" s="1"/>
  <c r="U71" i="3" l="1"/>
  <c r="U70" i="3" s="1"/>
  <c r="V34" i="3" l="1"/>
  <c r="V36" i="3" l="1"/>
  <c r="V39" i="3"/>
  <c r="V38" i="3"/>
  <c r="V35" i="3"/>
  <c r="V51" i="43"/>
  <c r="V50" i="43" s="1"/>
  <c r="V37" i="3"/>
  <c r="V287" i="43" l="1"/>
  <c r="V339" i="43" s="1"/>
  <c r="V23" i="3" l="1"/>
  <c r="V20" i="3" l="1"/>
  <c r="V26" i="3"/>
  <c r="V25" i="3"/>
  <c r="V22" i="3"/>
  <c r="V24" i="3"/>
  <c r="V21" i="3" l="1"/>
  <c r="O5" i="19" l="1"/>
  <c r="V61" i="3" l="1"/>
  <c r="V50" i="3" s="1"/>
  <c r="V63" i="3" l="1"/>
  <c r="V52" i="3" s="1"/>
  <c r="V60" i="3"/>
  <c r="V49" i="3" s="1"/>
  <c r="V64" i="3"/>
  <c r="V53" i="3" s="1"/>
  <c r="V62" i="3"/>
  <c r="V51" i="3" s="1"/>
  <c r="V71" i="3" l="1"/>
  <c r="V70" i="3" s="1"/>
  <c r="W34" i="3" l="1"/>
  <c r="W35" i="3" l="1"/>
  <c r="W39" i="3"/>
  <c r="W37" i="3"/>
  <c r="W51" i="43"/>
  <c r="W50" i="43" s="1"/>
  <c r="W38" i="3"/>
  <c r="W36" i="3"/>
  <c r="W287" i="43" l="1"/>
  <c r="W339" i="43" s="1"/>
  <c r="W22" i="3" l="1"/>
  <c r="W21" i="3" l="1"/>
  <c r="W26" i="3"/>
  <c r="W24" i="3"/>
  <c r="W23" i="3"/>
  <c r="P5" i="19" l="1"/>
  <c r="W25" i="3"/>
  <c r="W20" i="3"/>
  <c r="W60" i="3" l="1"/>
  <c r="W49" i="3" s="1"/>
  <c r="W64" i="3" l="1"/>
  <c r="W53" i="3" s="1"/>
  <c r="W61" i="3"/>
  <c r="W50" i="3" s="1"/>
  <c r="W62" i="3"/>
  <c r="W51" i="3" s="1"/>
  <c r="W63" i="3" l="1"/>
  <c r="W52" i="3" s="1"/>
  <c r="W71" i="3"/>
  <c r="W70" i="3" s="1"/>
  <c r="X35" i="3" l="1"/>
  <c r="X37" i="3"/>
  <c r="X36" i="3"/>
  <c r="X34" i="3"/>
  <c r="X38" i="3"/>
  <c r="X51" i="43"/>
  <c r="X50" i="43" s="1"/>
  <c r="X39" i="3"/>
  <c r="X287" i="43" l="1"/>
  <c r="X339" i="43" s="1"/>
  <c r="X24" i="3" l="1"/>
  <c r="X25" i="3" l="1"/>
  <c r="X21" i="3" l="1"/>
  <c r="X22" i="3"/>
  <c r="X23" i="3"/>
  <c r="X26" i="3"/>
  <c r="X20" i="3" l="1"/>
  <c r="Q5" i="19"/>
  <c r="X62" i="3" l="1"/>
  <c r="X51" i="3" s="1"/>
  <c r="X63" i="3" l="1"/>
  <c r="X52" i="3" s="1"/>
  <c r="X64" i="3" l="1"/>
  <c r="X53" i="3" s="1"/>
  <c r="X60" i="3"/>
  <c r="X49" i="3" s="1"/>
  <c r="X61" i="3"/>
  <c r="X50" i="3" s="1"/>
  <c r="X71" i="3" l="1"/>
  <c r="X70" i="3" s="1"/>
  <c r="Y36" i="3"/>
  <c r="Y39" i="3" l="1"/>
  <c r="Y38" i="3"/>
  <c r="Y37" i="3"/>
  <c r="Y35" i="3"/>
  <c r="Y34" i="3"/>
  <c r="Y51" i="43"/>
  <c r="Y50" i="43" s="1"/>
  <c r="Y287" i="43" l="1"/>
  <c r="Y339" i="43" s="1"/>
  <c r="Y26" i="3" l="1"/>
  <c r="Y23" i="3" l="1"/>
  <c r="Y25" i="3"/>
  <c r="Y21" i="3"/>
  <c r="Y22" i="3"/>
  <c r="Y24" i="3" l="1"/>
  <c r="Y20" i="3" l="1"/>
  <c r="Y64" i="3" l="1"/>
  <c r="Y53" i="3" s="1"/>
  <c r="Y63" i="3" l="1"/>
  <c r="Y52" i="3" s="1"/>
  <c r="Y60" i="3"/>
  <c r="Y49" i="3" s="1"/>
  <c r="Y61" i="3"/>
  <c r="Y50" i="3" s="1"/>
  <c r="Y62" i="3" l="1"/>
  <c r="Y51" i="3" s="1"/>
  <c r="Y71" i="3" l="1"/>
  <c r="Y70" i="3" s="1"/>
  <c r="Z37" i="3"/>
  <c r="Z39" i="3" l="1"/>
  <c r="Z36" i="3"/>
  <c r="Z35" i="3"/>
  <c r="Z38" i="3"/>
  <c r="Z34" i="3"/>
  <c r="Z51" i="43"/>
  <c r="Z50" i="43" s="1"/>
  <c r="Z287" i="43" l="1"/>
  <c r="Z339" i="43" s="1"/>
  <c r="Z24" i="3" l="1"/>
  <c r="Z26" i="3"/>
  <c r="Z25" i="3"/>
  <c r="Z21" i="3" l="1"/>
  <c r="Z22" i="3"/>
  <c r="Z23" i="3" l="1"/>
  <c r="Z20" i="3"/>
  <c r="Z63" i="3" l="1"/>
  <c r="Z52" i="3" s="1"/>
  <c r="Z62" i="3"/>
  <c r="Z51" i="3" s="1"/>
  <c r="Z64" i="3"/>
  <c r="Z53" i="3" s="1"/>
  <c r="Z60" i="3" l="1"/>
  <c r="Z49" i="3" s="1"/>
  <c r="Z61" i="3" l="1"/>
  <c r="Z50" i="3" s="1"/>
  <c r="AA36" i="3" l="1"/>
  <c r="Z71" i="3"/>
  <c r="Z70" i="3" s="1"/>
  <c r="AA34" i="3" l="1"/>
  <c r="AA39" i="3"/>
  <c r="AA38" i="3"/>
  <c r="AA37" i="3"/>
  <c r="AA35" i="3"/>
  <c r="AA51" i="43" l="1"/>
  <c r="AA50" i="43" s="1"/>
  <c r="AA287" i="43" l="1"/>
  <c r="AA339" i="43" s="1"/>
  <c r="AA22" i="3" l="1"/>
  <c r="AA23" i="3" l="1"/>
  <c r="AA25" i="3"/>
  <c r="AA26" i="3"/>
  <c r="AA21" i="3" l="1"/>
  <c r="AA24" i="3"/>
  <c r="AA20" i="3" l="1"/>
  <c r="AA60" i="3" l="1"/>
  <c r="AA49" i="3" s="1"/>
  <c r="AA64" i="3" l="1"/>
  <c r="AA53" i="3" s="1"/>
  <c r="AA61" i="3"/>
  <c r="AA50" i="3" s="1"/>
  <c r="AA63" i="3"/>
  <c r="AA52" i="3" s="1"/>
  <c r="AA62" i="3" l="1"/>
  <c r="AA51" i="3" s="1"/>
  <c r="AA71" i="3" l="1"/>
  <c r="AA70" i="3" s="1"/>
  <c r="AB34" i="3" l="1"/>
  <c r="AB38" i="3" l="1"/>
  <c r="AB35" i="3"/>
  <c r="AB39" i="3"/>
  <c r="AB37" i="3"/>
  <c r="AB51" i="43"/>
  <c r="AB50" i="43" s="1"/>
  <c r="AB36" i="3"/>
  <c r="AB287" i="43" l="1"/>
  <c r="AB339" i="43" s="1"/>
  <c r="AB25" i="3" l="1"/>
  <c r="AB26" i="3"/>
  <c r="AB20" i="3" l="1"/>
  <c r="AB23" i="3"/>
  <c r="AB22" i="3"/>
  <c r="AB24" i="3"/>
  <c r="AB21" i="3"/>
  <c r="AB63" i="3" l="1"/>
  <c r="AB52" i="3" s="1"/>
  <c r="AB64" i="3"/>
  <c r="AB53" i="3" s="1"/>
  <c r="AB60" i="3" l="1"/>
  <c r="AB49" i="3" s="1"/>
  <c r="AB61" i="3"/>
  <c r="AB50" i="3" s="1"/>
  <c r="AB62" i="3"/>
  <c r="AB51" i="3" s="1"/>
  <c r="AB71" i="3" l="1"/>
  <c r="AB70" i="3" s="1"/>
  <c r="AC34" i="3" l="1"/>
  <c r="AC36" i="3"/>
  <c r="AC37" i="3"/>
  <c r="AC51" i="43" l="1"/>
  <c r="AC50" i="43" s="1"/>
  <c r="AC38" i="3"/>
  <c r="AC39" i="3"/>
  <c r="AC35" i="3"/>
  <c r="AC287" i="43" l="1"/>
  <c r="AC339" i="43" s="1"/>
  <c r="AC24" i="3" l="1"/>
  <c r="AC25" i="3" l="1"/>
  <c r="AC26" i="3"/>
  <c r="AC21" i="3"/>
  <c r="AC20" i="3"/>
  <c r="AC23" i="3"/>
  <c r="AC22" i="3" l="1"/>
  <c r="AC62" i="3" l="1"/>
  <c r="AC51" i="3" s="1"/>
  <c r="AC63" i="3" l="1"/>
  <c r="AC52" i="3" s="1"/>
  <c r="AC64" i="3"/>
  <c r="AC53" i="3" s="1"/>
  <c r="AC61" i="3"/>
  <c r="AC50" i="3" s="1"/>
  <c r="AC60" i="3" l="1"/>
  <c r="AC49" i="3" s="1"/>
  <c r="AC71" i="3" l="1"/>
  <c r="AC70" i="3" s="1"/>
  <c r="AD51" i="43" l="1"/>
  <c r="AD50" i="43" s="1"/>
  <c r="AD287" i="43" l="1"/>
  <c r="AD339" i="43" s="1"/>
  <c r="AD24" i="3" l="1"/>
  <c r="AD25" i="3"/>
  <c r="AD26" i="3"/>
  <c r="AD23" i="3" l="1"/>
  <c r="AD20" i="3"/>
  <c r="AD21" i="3"/>
  <c r="AD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XTreme</author>
    <author>Яковлевы</author>
    <author>Sergey M</author>
    <author>Sergey Mol</author>
  </authors>
  <commentList>
    <comment ref="E2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школы+вечерние+НПО</t>
        </r>
      </text>
    </comment>
    <comment ref="D3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
Выключаем!!!
</t>
        </r>
      </text>
    </comment>
    <comment ref="D33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Данные из \БЛОКИ модели\Бюджет\Динамика эксплозатрат</t>
        </r>
      </text>
    </comment>
    <comment ref="D43" authorId="2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  Число занятых в отрасли/мощности отрасли</t>
        </r>
      </text>
    </comment>
    <comment ref="D46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гипотезой</t>
        </r>
      </text>
    </comment>
    <comment ref="B74" authorId="1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необходимые базовые капвложения на единицу мощности отрасли НС</t>
        </r>
      </text>
    </comment>
    <comment ref="C121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бюджета 2005 года налог на имущество физ лиц (доходы фактические)
</t>
        </r>
      </text>
    </comment>
    <comment ref="G168" authorId="3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Стат. ежегодник 2006</t>
        </r>
      </text>
    </comment>
    <comment ref="B179" authorId="3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Изходя из численности обучающихся в дневных гос. Учреждениях ХМАО.
Требуется уточнение 2001-2005</t>
        </r>
      </text>
    </comment>
    <comment ref="C182" authorId="3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Поправочный коэф-т</t>
        </r>
      </text>
    </comment>
    <comment ref="C190" authorId="3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D190" authorId="3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E190" authorId="3" shapeId="0" xr:uid="{00000000-0006-0000-0200-00000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F190" authorId="3" shapeId="0" xr:uid="{00000000-0006-0000-0200-00000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G190" authorId="3" shapeId="0" xr:uid="{00000000-0006-0000-0200-00000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C191" authorId="3" shapeId="0" xr:uid="{00000000-0006-0000-0200-00001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D191" authorId="3" shapeId="0" xr:uid="{00000000-0006-0000-0200-00001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191" authorId="3" shapeId="0" xr:uid="{00000000-0006-0000-0200-00001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F191" authorId="3" shapeId="0" xr:uid="{00000000-0006-0000-0200-00001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G191" authorId="3" shapeId="0" xr:uid="{00000000-0006-0000-0200-00001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209" authorId="3" shapeId="0" xr:uid="{00000000-0006-0000-0200-00001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F209" authorId="3" shapeId="0" xr:uid="{00000000-0006-0000-0200-00001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B227" authorId="3" shapeId="0" xr:uid="{00000000-0006-0000-0200-00001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32" authorId="3" shapeId="0" xr:uid="{00000000-0006-0000-0200-00001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D232" authorId="3" shapeId="0" xr:uid="{00000000-0006-0000-0200-00001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E232" authorId="3" shapeId="0" xr:uid="{00000000-0006-0000-0200-00001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F232" authorId="3" shapeId="0" xr:uid="{00000000-0006-0000-0200-00001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G232" authorId="3" shapeId="0" xr:uid="{00000000-0006-0000-0200-00001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C233" authorId="3" shapeId="0" xr:uid="{00000000-0006-0000-0200-00001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33" authorId="3" shapeId="0" xr:uid="{00000000-0006-0000-0200-00001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33" authorId="3" shapeId="0" xr:uid="{00000000-0006-0000-0200-00001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33" authorId="3" shapeId="0" xr:uid="{00000000-0006-0000-0200-00002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3" authorId="3" shapeId="0" xr:uid="{00000000-0006-0000-0200-00002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6" authorId="3" shapeId="0" xr:uid="{00000000-0006-0000-0200-00002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Источник: http://www.admhmao.ru/socium/gkh/index.htm</t>
        </r>
      </text>
    </comment>
    <comment ref="F238" authorId="3" shapeId="0" xr:uid="{00000000-0006-0000-0200-00002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2001-2004</t>
        </r>
      </text>
    </comment>
    <comment ref="B246" authorId="3" shapeId="0" xr:uid="{00000000-0006-0000-0200-00002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B256" authorId="3" shapeId="0" xr:uid="{00000000-0006-0000-0200-00002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 293</t>
        </r>
      </text>
    </comment>
    <comment ref="B257" authorId="3" shapeId="0" xr:uid="{00000000-0006-0000-0200-00002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62" authorId="3" shapeId="0" xr:uid="{00000000-0006-0000-0200-00002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262" authorId="3" shapeId="0" xr:uid="{00000000-0006-0000-0200-00002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262" authorId="3" shapeId="0" xr:uid="{00000000-0006-0000-0200-00002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262" authorId="3" shapeId="0" xr:uid="{00000000-0006-0000-0200-00002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262" authorId="3" shapeId="0" xr:uid="{00000000-0006-0000-0200-00002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263" authorId="3" shapeId="0" xr:uid="{00000000-0006-0000-0200-00002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63" authorId="3" shapeId="0" xr:uid="{00000000-0006-0000-0200-00002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63" authorId="3" shapeId="0" xr:uid="{00000000-0006-0000-0200-00002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63" authorId="3" shapeId="0" xr:uid="{00000000-0006-0000-0200-00002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63" authorId="3" shapeId="0" xr:uid="{00000000-0006-0000-0200-00003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B268" authorId="3" shapeId="0" xr:uid="{00000000-0006-0000-0200-00003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Услуги в системе образования включают услуги дошкольного воспитания, среднего и высшего образования, услуги
технической подготовки кадров, обучение населения на курсах иностранных языков, вождение автомобилей
и других.</t>
        </r>
      </text>
    </comment>
    <comment ref="G268" authorId="3" shapeId="0" xr:uid="{00000000-0006-0000-0200-00003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уточнение:
Разделить объем платных услуг в 2001-2005 в
1) дошкольном, школьном образовании;
2) профессиональном образовании</t>
        </r>
      </text>
    </comment>
    <comment ref="B282" authorId="3" shapeId="0" xr:uid="{00000000-0006-0000-0200-00003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91</t>
        </r>
      </text>
    </comment>
    <comment ref="B285" authorId="3" shapeId="0" xr:uid="{00000000-0006-0000-0200-00003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 142</t>
        </r>
      </text>
    </comment>
    <comment ref="E315" authorId="3" shapeId="0" xr:uid="{00000000-0006-0000-0200-00003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стр.466</t>
        </r>
      </text>
    </comment>
    <comment ref="C321" authorId="3" shapeId="0" xr:uid="{00000000-0006-0000-0200-00003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321" authorId="3" shapeId="0" xr:uid="{00000000-0006-0000-0200-00003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321" authorId="3" shapeId="0" xr:uid="{00000000-0006-0000-0200-00003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321" authorId="3" shapeId="0" xr:uid="{00000000-0006-0000-0200-00003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321" authorId="3" shapeId="0" xr:uid="{00000000-0006-0000-0200-00003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322" authorId="3" shapeId="0" xr:uid="{00000000-0006-0000-0200-00003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322" authorId="3" shapeId="0" xr:uid="{00000000-0006-0000-0200-00003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2" authorId="3" shapeId="0" xr:uid="{00000000-0006-0000-0200-00003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322" authorId="3" shapeId="0" xr:uid="{00000000-0006-0000-0200-00003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322" authorId="3" shapeId="0" xr:uid="{00000000-0006-0000-0200-00003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5" authorId="4" shapeId="0" xr:uid="{00000000-0006-0000-0200-000040000000}">
      <text>
        <r>
          <rPr>
            <b/>
            <sz val="8"/>
            <color indexed="81"/>
            <rFont val="Tahoma"/>
            <family val="2"/>
            <charset val="204"/>
          </rPr>
          <t>Sergey Mol:</t>
        </r>
        <r>
          <rPr>
            <sz val="8"/>
            <color indexed="81"/>
            <rFont val="Tahoma"/>
            <family val="2"/>
            <charset val="204"/>
          </rPr>
          <t xml:space="preserve">
2003*,2004,2005
для образования,здравоохранения,управления -  данные Формы 2п
*-прогноз</t>
        </r>
      </text>
    </comment>
    <comment ref="C331" authorId="3" shapeId="0" xr:uid="{00000000-0006-0000-0200-00004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http://child.uriit.ru/Docu/D0028/2003/F0129.htm</t>
        </r>
      </text>
    </comment>
    <comment ref="B332" authorId="3" shapeId="0" xr:uid="{00000000-0006-0000-0200-00004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466</t>
        </r>
      </text>
    </comment>
    <comment ref="B333" authorId="3" shapeId="0" xr:uid="{00000000-0006-0000-0200-00004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2001-2005</t>
        </r>
      </text>
    </comment>
    <comment ref="C334" authorId="3" shapeId="0" xr:uid="{00000000-0006-0000-0200-00004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в сфере управления</t>
        </r>
      </text>
    </comment>
    <comment ref="C335" authorId="3" shapeId="0" xr:uid="{00000000-0006-0000-0200-00004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по Физ.культуре и спорту</t>
        </r>
      </text>
    </comment>
    <comment ref="B337" authorId="3" shapeId="0" xr:uid="{00000000-0006-0000-0200-00004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Отношения, связанные с инвестиционной деятельностью, осуществляемой в форме капитальных вложений, регулируются Федеральным законом от 25.02.09 №39-ФЗ "Об инвестиционной деятельности в Российской Федерации, осуществляемой в форме капитальных вложений".
Согласно статье 1 указанного Закона капитальные вложения - это инвестиции в основной капитал (основные средства) в том числе </t>
        </r>
        <r>
          <rPr>
            <b/>
            <sz val="8"/>
            <color indexed="81"/>
            <rFont val="Tahoma"/>
            <family val="2"/>
            <charset val="204"/>
          </rPr>
          <t>на новое строительство</t>
        </r>
        <r>
          <rPr>
            <sz val="8"/>
            <color indexed="81"/>
            <rFont val="Tahoma"/>
            <family val="2"/>
            <charset val="204"/>
          </rPr>
          <t xml:space="preserve">, </t>
        </r>
        <r>
          <rPr>
            <b/>
            <sz val="8"/>
            <color indexed="81"/>
            <rFont val="Tahoma"/>
            <family val="2"/>
            <charset val="204"/>
          </rPr>
          <t>расширение, реконструкцию</t>
        </r>
        <r>
          <rPr>
            <sz val="8"/>
            <color indexed="81"/>
            <rFont val="Tahoma"/>
            <family val="2"/>
            <charset val="204"/>
          </rPr>
          <t xml:space="preserve"> и техническое перевооружение действующих предприятий, приобретение машин, оборудования, инструмента, инвентаря, проектно-изыскательские работы и другие затраты.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0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1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Пользователь Windows</author>
    <author>Яковлева Лидия Леонидовна</author>
  </authors>
  <commentList>
    <comment ref="C2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Источник-статистика</t>
        </r>
      </text>
    </comment>
    <comment ref="C3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книга Модель(лист Распределение)</t>
        </r>
      </text>
    </comment>
    <comment ref="D3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стартовый год, взяли примерно )</t>
        </r>
      </text>
    </comment>
    <comment ref="R3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словам заместителя министра финансов края Светланы Чикичевой, расходы на социальные программы в общем объеме бюджета составят 35,2 миллиарда рублей против 32,3 миллиарда рублей, предусмотренных в первоначальной редакции. В процентном соотношении это по-прежнему более 60% от числа всех расходов. На нормативно-публичные обязательства предусмотрено 4,9 миллиарда рублей с учетом индексации на 4,2% с 1 июля 2019 года (в прошлой версии было 4,7 миллиарда рублей), на государственную поддержку семьи и детей с учетом социальных выплат планируется израсходовать 3,7 миллиарда рублей (против 3,4 миллиарда рублей в первом варианте). Наибольшую долю в структуре расходов имеют сферы образования (40,1%), здравоохранения (28,4%) и социальной политики (27,5%).
</t>
        </r>
        <r>
          <rPr>
            <b/>
            <sz val="9"/>
            <color indexed="81"/>
            <rFont val="Tahoma"/>
            <family val="2"/>
            <charset val="204"/>
          </rPr>
          <t>http://chita.bezformata.com/listnews/milliarda-rublej-uvelicheni-rashodi/71502884/</t>
        </r>
        <r>
          <rPr>
            <sz val="9"/>
            <color indexed="81"/>
            <rFont val="Tahoma"/>
            <family val="2"/>
            <charset val="204"/>
          </rPr>
          <t xml:space="preserve"> 
</t>
        </r>
      </text>
    </comment>
    <comment ref="B39" authorId="1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сайт GKS чита
http://chita.gks.ru/wps/wcm/connect/rosstat_ts/chita/resources/ffed1c00405ecc748e3fef367ccd0f13/1_%D0%9A%D0%BE%D0%BD%D1%81%D0%BE%D0%BB%D0%B8%D0%B4%D0%B8%D1%80%D0%BE%D0%B2%D0%B0%D0%BD%D0%BD%D1%8B%D0%B9+%D0%B1%D1%8E%D0%B4%D0%B6%D0%B5%D1%82+%D0%97%D0%B0%D0%B1%D0%B0%D0%B9%D0%BA%D0%B0%D0%BB%D1%8C%D1%81%D0%BA%D0%BE%D0%B3%D0%BE+%D0%BA%D1%80%D0%B0%D1%8F.htm
</t>
        </r>
      </text>
    </comment>
    <comment ref="B45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краевым бюджетом</t>
        </r>
      </text>
    </comment>
    <comment ref="C51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2005 по 2017 - ретро(из статистики)</t>
        </r>
      </text>
    </comment>
    <comment ref="Q5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*на 0 -это налоги дополнительные в КБ от рынка</t>
        </r>
      </text>
    </comment>
    <comment ref="C52" authorId="1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Выбираем в зависимости от номера сценария, заданного на листе Пульт (файл Модель)</t>
        </r>
      </text>
    </comment>
    <comment ref="C53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
уходит в расчёты!!!</t>
        </r>
      </text>
    </comment>
    <comment ref="Q53" authorId="0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67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C84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B96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статьи в МОИТ</t>
        </r>
      </text>
    </comment>
    <comment ref="Q98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119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20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21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22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26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C136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37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38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39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45" authorId="2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график инвестиций
</t>
        </r>
      </text>
    </comment>
    <comment ref="I148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57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66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75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B191" authorId="1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Прогноз с 2018-го года, зависит от темпа роста доли ФБ (столбец AE)
если ФБ просто будет давать деньги
задаётся на ПУЛЬТ в моделиСоцСфера</t>
        </r>
      </text>
    </comment>
    <comment ref="K199" authorId="2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C202" authorId="1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03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I203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 МСБ</t>
        </r>
      </text>
    </comment>
    <comment ref="C204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05" authorId="0" shapeId="0" xr:uid="{00000000-0006-0000-0600-00002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C211" authorId="1" shapeId="0" xr:uid="{00000000-0006-0000-0600-00002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12" authorId="0" shapeId="0" xr:uid="{00000000-0006-0000-0600-00002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C213" authorId="0" shapeId="0" xr:uid="{00000000-0006-0000-0600-00002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14" authorId="0" shapeId="0" xr:uid="{00000000-0006-0000-0600-00002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B227" authorId="2" shapeId="0" xr:uid="{00000000-0006-0000-0600-00002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доходы КБ от освоения МСБ
зарплата жителей от новых проектов
</t>
        </r>
      </text>
    </comment>
    <comment ref="C236" authorId="0" shapeId="0" xr:uid="{00000000-0006-0000-0600-00002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КБ-НС это из "своих" денег, т.е. из денег полученных регионом не из ФБ</t>
        </r>
      </text>
    </comment>
    <comment ref="O255" authorId="0" shapeId="0" xr:uid="{00000000-0006-0000-0600-00002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долю денег на соц сферу, как некоторый парметр
Это из-за того, что пенсии приходят через пенс фонд
по статистике пенсии от соц выплат примерно 55%
</t>
        </r>
      </text>
    </comment>
    <comment ref="C266" authorId="0" shapeId="0" xr:uid="{00000000-0006-0000-0600-00002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уменьшается</t>
        </r>
      </text>
    </comment>
    <comment ref="AE266" authorId="0" shapeId="0" xr:uid="{00000000-0006-0000-0600-00002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собственных денег мало, надежда на ФБ</t>
        </r>
      </text>
    </comment>
    <comment ref="C267" authorId="0" shapeId="0" xr:uid="{00000000-0006-0000-0600-00002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тенденции помощи сохраняются</t>
        </r>
      </text>
    </comment>
    <comment ref="AE267" authorId="0" shapeId="0" xr:uid="{00000000-0006-0000-0600-00002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есть свои средства, но помощь нужна</t>
        </r>
      </text>
    </comment>
    <comment ref="C268" authorId="0" shapeId="0" xr:uid="{00000000-0006-0000-0600-00003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растёт</t>
        </r>
      </text>
    </comment>
    <comment ref="AE268" authorId="0" shapeId="0" xr:uid="{00000000-0006-0000-0600-00003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помощь от ФБ по минимуму</t>
        </r>
      </text>
    </comment>
    <comment ref="AE269" authorId="0" shapeId="0" xr:uid="{00000000-0006-0000-0600-00003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комбинация собств средств+с 2010 по 202 помощь из ФБ</t>
        </r>
      </text>
    </comment>
    <comment ref="A276" authorId="0" shapeId="0" xr:uid="{00000000-0006-0000-0600-00003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87" authorId="0" shapeId="0" xr:uid="{00000000-0006-0000-0600-00003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92" authorId="0" shapeId="0" xr:uid="{00000000-0006-0000-0600-00003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B296" authorId="0" shapeId="0" xr:uid="{00000000-0006-0000-0600-00003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текущих ценах</t>
        </r>
      </text>
    </comment>
    <comment ref="B306" authorId="0" shapeId="0" xr:uid="{00000000-0006-0000-0600-00003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базовых ценах.
Массив можно было не делать, т.к. он нужен только для перехода в текущие цены в прогнозной части</t>
        </r>
      </text>
    </comment>
    <comment ref="A318" authorId="0" shapeId="0" xr:uid="{00000000-0006-0000-0600-00003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E345" authorId="0" shapeId="0" xr:uid="{00000000-0006-0000-0600-00003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оценки роста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красным ввод ручной (экспертный)
</t>
        </r>
      </text>
    </comment>
    <comment ref="B5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после создания листа Интерфейс не используем!!!!</t>
        </r>
      </text>
    </comment>
    <comment ref="Q56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этой ячейки начинается формула</t>
        </r>
      </text>
    </comment>
    <comment ref="AD56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M65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14-15 год не трогаем т.к. 14 и 15 годы бюджет известен и мы оставляем его как есть</t>
        </r>
      </text>
    </comment>
    <comment ref="L75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73815251422,77 расходы КБ за 14 год</t>
        </r>
      </text>
    </comment>
    <comment ref="M75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Расходы КБ за 15 год
75996864537,45</t>
        </r>
      </text>
    </comment>
    <comment ref="AD84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L103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03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Windows User: Данные мониторинга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743 жилых дома общей площадью 67,2 тыс. м2 </t>
        </r>
      </text>
    </comment>
    <comment ref="L10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Windows User: из мониторинга МинЭконом развития ЗабКрая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1204 жилых дома общей площадью 118,7 тыс. кв. метров (38,1 % от общего объема введенного в крае жилья).
СТАТИСТИКА: 155,7 !!!</t>
        </r>
      </text>
    </comment>
    <comment ref="M106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
Статистика: 79,5!!!</t>
        </r>
      </text>
    </comment>
    <comment ref="L111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11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 </t>
        </r>
      </text>
    </comment>
    <comment ref="B123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Дошкольному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</authors>
  <commentList>
    <comment ref="B24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Из модели СМ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консолидированный!(край+федерация)
</t>
        </r>
      </text>
    </comment>
    <comment ref="M7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 бюджет субъекта +негосуд внебюдж фонд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Home</author>
    <author>Яковлевы</author>
    <author>Windows User</author>
  </authors>
  <commentList>
    <comment ref="C4" authorId="0" shapeId="0" xr:uid="{00000000-0006-0000-0D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 2014 года используем коэфф роста
</t>
        </r>
      </text>
    </comment>
    <comment ref="L7" authorId="0" shapeId="0" xr:uid="{00000000-0006-0000-0D00-000002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Далее наращиваем на 10%</t>
        </r>
      </text>
    </comment>
    <comment ref="C33" authorId="0" shapeId="0" xr:uid="{00000000-0006-0000-0D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Теперь это СЦЕНАРНЫЕ данные</t>
        </r>
      </text>
    </comment>
    <comment ref="C60" authorId="1" shapeId="0" xr:uid="{00000000-0006-0000-0D00-000004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С 2014 года рост на 20%
</t>
        </r>
      </text>
    </comment>
    <comment ref="C72" authorId="0" shapeId="0" xr:uid="{00000000-0006-0000-0D00-000005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Сценарий ScenVvodGKHNaselen[3;26]
</t>
        </r>
      </text>
    </comment>
    <comment ref="C73" authorId="2" shapeId="0" xr:uid="{00000000-0006-0000-0D00-000006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Стоимость проданных жилых помещений Сборник ЖКХ-2
</t>
        </r>
      </text>
    </comment>
    <comment ref="B82" authorId="3" shapeId="0" xr:uid="{00000000-0006-0000-0D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???? Откуда данные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ПИМ</author>
    <author>Windows User</author>
  </authors>
  <commentList>
    <comment ref="C43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ПИМ: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
дошкольное
</t>
        </r>
      </text>
    </comment>
    <comment ref="B46" authorId="1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
</t>
        </r>
      </text>
    </comment>
    <comment ref="B47" authorId="1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прибавили с учётом увеличения рождаемости
</t>
        </r>
      </text>
    </comment>
    <comment ref="Y48" authorId="1" shapeId="0" xr:uid="{00000000-0006-0000-0E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экспертно
</t>
        </r>
      </text>
    </comment>
  </commentList>
</comments>
</file>

<file path=xl/sharedStrings.xml><?xml version="1.0" encoding="utf-8"?>
<sst xmlns="http://schemas.openxmlformats.org/spreadsheetml/2006/main" count="854" uniqueCount="402">
  <si>
    <t>Начальное состояние непроизводственной сферы</t>
  </si>
  <si>
    <t>NOTRNEPR</t>
  </si>
  <si>
    <t>число отраслей  непроизводственной сферы</t>
  </si>
  <si>
    <t>список отраслей непроизводственной сферы</t>
  </si>
  <si>
    <t>жилой фонд</t>
  </si>
  <si>
    <t>spotrnepr[NOTRNEPR]</t>
  </si>
  <si>
    <t>культура</t>
  </si>
  <si>
    <t>физическая культура</t>
  </si>
  <si>
    <t>Базовые мощности отраслей непроизводственной сферы (в натуральных показателях)</t>
  </si>
  <si>
    <t>нат. Показатель</t>
  </si>
  <si>
    <t>bamonepr[NOTRNEPR,3]</t>
  </si>
  <si>
    <t>кв.м.</t>
  </si>
  <si>
    <t>мест</t>
  </si>
  <si>
    <t>Нормативные трудозатраты на год  (чел./нат. Ед. фондов)</t>
  </si>
  <si>
    <t>TrudZa[NOTRNEPR,1]</t>
  </si>
  <si>
    <t>BazZpNS[NOTRNEPR,2]</t>
  </si>
  <si>
    <t>Базовая плата населения  (тыс. руб./нат.ед. основных фондов в ценах базового года)</t>
  </si>
  <si>
    <t>BaPlata[NOTRNEPR]</t>
  </si>
  <si>
    <t>дошкольные учреждения</t>
  </si>
  <si>
    <t>школы</t>
  </si>
  <si>
    <t>больницы</t>
  </si>
  <si>
    <t>поликлиники</t>
  </si>
  <si>
    <t>Темпы разрушения основных фондов непроизводственной сферы (%)</t>
  </si>
  <si>
    <t xml:space="preserve">кв. м. </t>
  </si>
  <si>
    <t xml:space="preserve">  </t>
  </si>
  <si>
    <t xml:space="preserve">сектор потребительских товаров </t>
  </si>
  <si>
    <t>infltpotrebs[NOTRNEPR,20)]</t>
  </si>
  <si>
    <t>НАЛОГИ</t>
  </si>
  <si>
    <t>stavkapodnal[NOTRNEPR,20)]</t>
  </si>
  <si>
    <t>Особые данные по жилью</t>
  </si>
  <si>
    <t>Общие эксплозатраты в ЖКХ</t>
  </si>
  <si>
    <t xml:space="preserve">индекс </t>
  </si>
  <si>
    <t>Плата населения из собств средств (тыс.руб) (факт)</t>
  </si>
  <si>
    <t>SpecNormNalogIm</t>
  </si>
  <si>
    <t>Специальный норматив налога на имущество - сколько налога на имущество приходилось на 1 кв. м. жилья в базовом году</t>
  </si>
  <si>
    <t>реальные даные</t>
  </si>
  <si>
    <t>посещений в смену</t>
  </si>
  <si>
    <t>Нормативные эксплуатационные затраты на год  (без з/п, тыс.руб./нат. ед. фондов в ценах базового года)</t>
  </si>
  <si>
    <t>экспертные</t>
  </si>
  <si>
    <t>общее полное образование</t>
  </si>
  <si>
    <t>ЗДРАВООХРАНЕНИЕ</t>
  </si>
  <si>
    <t>Гипотеза 1</t>
  </si>
  <si>
    <t>фиксированная пропорция раздела занятых между поликлиниками и больницами</t>
  </si>
  <si>
    <t>2005 год</t>
  </si>
  <si>
    <t>процент занятых в здравоохранении, работающих в больницах</t>
  </si>
  <si>
    <t>занятые - врачи+средний медперсонал, не делим персонал на врачей и медсестер</t>
  </si>
  <si>
    <t>Базовая годовая зарплата в отраслях непроизводственной сферы (тыс. руб.)</t>
  </si>
  <si>
    <t>жилой фонд - дотации бюджета на оплату ЖКХ населению (факт), тыс, руб</t>
  </si>
  <si>
    <t>Ввод новых мощностей  ЗА СЧЕТ БЮДЖЕТА- факт, нат.ед. (кв м)</t>
  </si>
  <si>
    <t>Ввод новых мощностей ЗА СЧЕТ НАСЕЛЕНИЯ- факт, нат.ед. (кв. м)</t>
  </si>
  <si>
    <t xml:space="preserve">при нормативных  затратах на эксплуатацию </t>
  </si>
  <si>
    <t xml:space="preserve">при нулевых  затратах на эксплуатацию </t>
  </si>
  <si>
    <t>налоги на имущество  руб</t>
  </si>
  <si>
    <t>????????????</t>
  </si>
  <si>
    <t>мест(коек)</t>
  </si>
  <si>
    <t>дошкольные учреждения (кол-во мест)</t>
  </si>
  <si>
    <t>общее полное образование(мест)</t>
  </si>
  <si>
    <t>больницы (коек)</t>
  </si>
  <si>
    <t>темп роста цен(к пред.году, %) декабрь к декабрю</t>
  </si>
  <si>
    <r>
      <t xml:space="preserve">ставка </t>
    </r>
    <r>
      <rPr>
        <b/>
        <sz val="10"/>
        <color indexed="10"/>
        <rFont val="Arial Cyr"/>
        <charset val="204"/>
      </rPr>
      <t>подоходного</t>
    </r>
    <r>
      <rPr>
        <sz val="10"/>
        <rFont val="Arial Cyr"/>
        <charset val="204"/>
      </rPr>
      <t xml:space="preserve"> налога (%) (для всех кроме ЖКХ)</t>
    </r>
  </si>
  <si>
    <t>Индексы текущих (прогнозных) цен</t>
  </si>
  <si>
    <t>общее образование</t>
  </si>
  <si>
    <t xml:space="preserve">дети дошкольного возраста </t>
  </si>
  <si>
    <t>[0;6]</t>
  </si>
  <si>
    <t>тыс.чел.</t>
  </si>
  <si>
    <t>доля расходов КБ на ЖКХ в общих расходах на непр. Сферу</t>
  </si>
  <si>
    <t>доля расходов КБ на непр. Сферу в общих расходах КБ</t>
  </si>
  <si>
    <t xml:space="preserve">доля на Дошкольное </t>
  </si>
  <si>
    <t xml:space="preserve">доля  на Общее образование </t>
  </si>
  <si>
    <t>доля на больницы</t>
  </si>
  <si>
    <t xml:space="preserve">доля на поликлиники </t>
  </si>
  <si>
    <t xml:space="preserve">доля на культуру </t>
  </si>
  <si>
    <t xml:space="preserve">доля  на физкультуру </t>
  </si>
  <si>
    <t>ScMacroSP[9;25]</t>
  </si>
  <si>
    <t>ставка рефинансирования</t>
  </si>
  <si>
    <t>сценарий M1</t>
  </si>
  <si>
    <t>инфляция в секторе производителей промышленной продукции Забайкальского края</t>
  </si>
  <si>
    <t>инфляция в потребительском секторе Забайкальского края</t>
  </si>
  <si>
    <t>сценарий M2</t>
  </si>
  <si>
    <t>сценарий M3</t>
  </si>
  <si>
    <t>сектор потребительских товаров</t>
  </si>
  <si>
    <t>Сектор ППП</t>
  </si>
  <si>
    <t>Кумулятивный индекс цен для расходов бюджета</t>
  </si>
  <si>
    <t xml:space="preserve">Структура расходов бюджета </t>
  </si>
  <si>
    <t>расходы КБ на непр. Сферу, текущие цены</t>
  </si>
  <si>
    <t>расходы КБ на непр. Сферу, сопоставимые</t>
  </si>
  <si>
    <t>сценарий 1 оптимизм</t>
  </si>
  <si>
    <t>сценарий 2 инерционный</t>
  </si>
  <si>
    <t>сценарий 3 пессимизм</t>
  </si>
  <si>
    <t>KumIndBud[3;26]</t>
  </si>
  <si>
    <t>сценарий 1 все достается людям</t>
  </si>
  <si>
    <t>сценарий 2 инерция</t>
  </si>
  <si>
    <t>Политика определения доли расходов КБ на непр. Сферу в общих расходах КБ</t>
  </si>
  <si>
    <t>сценарий 3  людям по минимуму</t>
  </si>
  <si>
    <t>ScenBudDohSop[3;26]</t>
  </si>
  <si>
    <t>ScenBudDohTek[3;26]</t>
  </si>
  <si>
    <t>ScenDoliNS[3;26]</t>
  </si>
  <si>
    <t xml:space="preserve">Кумулятивный индекс цен для эксплуатационных расходов </t>
  </si>
  <si>
    <t>Сценарии инфляции в секторе ППП</t>
  </si>
  <si>
    <t xml:space="preserve">Сценарии инфляции в потр. секторе </t>
  </si>
  <si>
    <t>KumIndPotrS[3;26]</t>
  </si>
  <si>
    <t>прогнозные цены</t>
  </si>
  <si>
    <t>КБ расходная часть (тыс. руб), текущие цены</t>
  </si>
  <si>
    <t>КБ расходная часть (тыс. руб), сопоставимые цены , 2005 г.</t>
  </si>
  <si>
    <t>Сценарии бюджетных доходов края в сопоставимых ценах</t>
  </si>
  <si>
    <t>Эксплозатраты  фактические (тыс руб)</t>
  </si>
  <si>
    <t>ScenVvodGKHNaselen[3;26]</t>
  </si>
  <si>
    <t>Сценарии ввода жилья за счет населения (кв.м)</t>
  </si>
  <si>
    <t>сценарий 1 покупают много</t>
  </si>
  <si>
    <t>сценарий 3  покупают мало</t>
  </si>
  <si>
    <t>всего построено</t>
  </si>
  <si>
    <t>RashodKBnaNS[1;26]</t>
  </si>
  <si>
    <t>Сценарий</t>
  </si>
  <si>
    <t>NeobhBaKVLEdMosh[NOTRNEPR]</t>
  </si>
  <si>
    <t>Объем кап вложений на единицу мощности (тыс. руб.)</t>
  </si>
  <si>
    <t>Набор макроэкономических сценариев</t>
  </si>
  <si>
    <t>Инфляция в ЗК (%)</t>
  </si>
  <si>
    <t>RashKB[4;9]</t>
  </si>
  <si>
    <t>Расходы краевого бюджета (тыс. руб)</t>
  </si>
  <si>
    <t>Расходы краевого бюджета (доли)</t>
  </si>
  <si>
    <t>DoliRashKB[8;9]</t>
  </si>
  <si>
    <t>Сценарии бюджетных доходов</t>
  </si>
  <si>
    <t>Сценарии бюджетных доходов края в текущих ценах</t>
  </si>
  <si>
    <t>вводим вручную</t>
  </si>
  <si>
    <t xml:space="preserve"> пришло из других блоков модели</t>
  </si>
  <si>
    <t>Вод новых мощностей за счет бюджета</t>
  </si>
  <si>
    <t>Коэфф роста</t>
  </si>
  <si>
    <t>Плата населения за услуги отрасли</t>
  </si>
  <si>
    <t>базовые цены (без учёта инфляции)</t>
  </si>
  <si>
    <t>Вод новых мощностей за счет населения</t>
  </si>
  <si>
    <t>Из демограф. Модели</t>
  </si>
  <si>
    <t xml:space="preserve">дошкольники, голов </t>
  </si>
  <si>
    <t>дошкольники, тыс. чел.</t>
  </si>
  <si>
    <t>статистика</t>
  </si>
  <si>
    <t>модель, общая численность населения</t>
  </si>
  <si>
    <t>7-17 лет</t>
  </si>
  <si>
    <t>школьники  и орлы</t>
  </si>
  <si>
    <t>18-21 лет</t>
  </si>
  <si>
    <t>потенциальные  НПОи СПО</t>
  </si>
  <si>
    <t>доля орлов, пришедших в НПО и СПО</t>
  </si>
  <si>
    <t>Demograf[3;24]</t>
  </si>
  <si>
    <t>модель, общая численность населения (тыс чел)</t>
  </si>
  <si>
    <t>школьники  и орлы(чел)</t>
  </si>
  <si>
    <t>потенциальные  НПОи СПО(чел)</t>
  </si>
  <si>
    <t>ДЛЯ ряда до 30 года</t>
  </si>
  <si>
    <t>ObExplZAGKH[1,26)]</t>
  </si>
  <si>
    <t>explzans_fact[NOTRNEPR,26)]</t>
  </si>
  <si>
    <t>explzans_fact_1[NOTRNEPR,26)]</t>
  </si>
  <si>
    <t>OsDanGKH[4,26)]</t>
  </si>
  <si>
    <t>VVODNMBUD[NOTRNEPR, 26]</t>
  </si>
  <si>
    <t>VVODNMNAS[NOTRNEPR, 26]</t>
  </si>
  <si>
    <t>Platanas[NOTRNEPR, 26]</t>
  </si>
  <si>
    <t>ScenInflPPP[3;25]</t>
  </si>
  <si>
    <t>ScenInflPotrS[3;25]</t>
  </si>
  <si>
    <t>infl_ind [NOTRNEPR, 26]</t>
  </si>
  <si>
    <t>infl ([NOTRNEPR,26)]</t>
  </si>
  <si>
    <t xml:space="preserve"> не нужно</t>
  </si>
  <si>
    <t>в расчетах не используется !!!!!!!!!!!!!!!!!!!!!</t>
  </si>
  <si>
    <t>жил фонд в собственности граждан(на конец 2005-го)</t>
  </si>
  <si>
    <t>реципиенты отрасли Образование(тыс чел)</t>
  </si>
  <si>
    <t>vibofnepr_NORM[7,26]</t>
  </si>
  <si>
    <t>vibofnepr_NULL[7,26]</t>
  </si>
  <si>
    <t>Базовый год 2005</t>
  </si>
  <si>
    <t>2006год</t>
  </si>
  <si>
    <t>Гипотеза 2</t>
  </si>
  <si>
    <t>Demograf_1[3;24]</t>
  </si>
  <si>
    <t>71.1</t>
  </si>
  <si>
    <t>72.5</t>
  </si>
  <si>
    <t>73.7</t>
  </si>
  <si>
    <t>75.3</t>
  </si>
  <si>
    <t>77.8</t>
  </si>
  <si>
    <t>80.0</t>
  </si>
  <si>
    <t>81.1</t>
  </si>
  <si>
    <t>83.1</t>
  </si>
  <si>
    <t>84.8</t>
  </si>
  <si>
    <t>84.9</t>
  </si>
  <si>
    <t>85.1</t>
  </si>
  <si>
    <t>Пока не используем!!!</t>
  </si>
  <si>
    <t>explzaNS[7;25]</t>
  </si>
  <si>
    <t>KumIndPPP[3;25]</t>
  </si>
  <si>
    <t>сценарий 1  выше текущего темпа инфляции</t>
  </si>
  <si>
    <t>сценарий 2 равно текущему  темпу инфляции</t>
  </si>
  <si>
    <t>сценарий 3  ниже текущего темпа инфляции</t>
  </si>
  <si>
    <t>Сценарии темпа роста тарифов(%)</t>
  </si>
  <si>
    <t>ScenTempRostZarPl_2[3;26]</t>
  </si>
  <si>
    <t>KoefRostZarPlat_2[1;17]</t>
  </si>
  <si>
    <t>ScenTempRostZarPl_3 [3;26]</t>
  </si>
  <si>
    <t>KoefRostZarPlat_3 [1;17]</t>
  </si>
  <si>
    <t>KoefRostZarPlat_4 [1;17]</t>
  </si>
  <si>
    <t>ScenTempRostZarPl_4 [3;26]</t>
  </si>
  <si>
    <t>KoefRostZarPlat_5 [1;17]</t>
  </si>
  <si>
    <t>ScenTempRostZarPl_5 [3;26]</t>
  </si>
  <si>
    <t>KoefRostZarPlat_6 [1;17]</t>
  </si>
  <si>
    <t>ScenTempRostZarPl_6 [3;26]</t>
  </si>
  <si>
    <t>KoefRostZarPlat_7 [1;17]</t>
  </si>
  <si>
    <t>ScenTempRostZarPl_7 [3;26]</t>
  </si>
  <si>
    <t>KoefRostTarif_1 [1;17]</t>
  </si>
  <si>
    <t>ScenTempRostTarif_1[3;26]</t>
  </si>
  <si>
    <t>KoefRostTarif_2 [1;17]</t>
  </si>
  <si>
    <t>ScenTempRostTarif_2[3;26]</t>
  </si>
  <si>
    <t>ScenTempRostTarif_3[3;26]</t>
  </si>
  <si>
    <t>KoefRostTarif_3 [1;17]</t>
  </si>
  <si>
    <t>KoefRostTarif_4 [1;17]</t>
  </si>
  <si>
    <t>ScenTempRostTarif_4[3;26]</t>
  </si>
  <si>
    <t>KoefRostTarif_5 [1;17]</t>
  </si>
  <si>
    <t>ScenTempRostTarif_5[3;26]</t>
  </si>
  <si>
    <t>KoefRostTarif_6[1;17]</t>
  </si>
  <si>
    <t>ScenTempRostTarif_6[3;26]</t>
  </si>
  <si>
    <t>KoefRostTarif_7[1;17]</t>
  </si>
  <si>
    <t>ScenTempRostTarif_7[3;26]</t>
  </si>
  <si>
    <t>Сценарии темпа роста заработных плат бюджетников (%) (по КАЖДОЙ отрасли)</t>
  </si>
  <si>
    <t>коэфф роста</t>
  </si>
  <si>
    <t>модель</t>
  </si>
  <si>
    <t>Сценарии темпов роста доходов бюджета в сопоставимых ценах в перспективе</t>
  </si>
  <si>
    <t>ScenTempRostDohBud[3;17]</t>
  </si>
  <si>
    <t>%</t>
  </si>
  <si>
    <t>сценарий M1-оптимизм</t>
  </si>
  <si>
    <t>сценарий M2-инерция</t>
  </si>
  <si>
    <t>сценарий M3-пессимизм</t>
  </si>
  <si>
    <t>Темпы роста ввода жилья за счёт населения</t>
  </si>
  <si>
    <t>Берём данные из статистики!!!</t>
  </si>
  <si>
    <t>темпы роста бюджета</t>
  </si>
  <si>
    <t>Динамика расходов на непр. Сферу в соп. Ценах перспектива</t>
  </si>
  <si>
    <t>Темп роста доли</t>
  </si>
  <si>
    <t>сценарий 1</t>
  </si>
  <si>
    <t>сценарий 2</t>
  </si>
  <si>
    <t>сценарий 3</t>
  </si>
  <si>
    <t xml:space="preserve"> </t>
  </si>
  <si>
    <t>Доля расходов краевого бюджета (КБ) на непроизводственную сферу в общих расходах КБ в текущих ценах</t>
  </si>
  <si>
    <t xml:space="preserve">матрица поправок темпа роста жилья от населения </t>
  </si>
  <si>
    <t>ТОИ...&gt;0</t>
  </si>
  <si>
    <t>ТОИ...&lt;=0</t>
  </si>
  <si>
    <t xml:space="preserve">добавка Тарифов </t>
  </si>
  <si>
    <t>добавка Зарплат</t>
  </si>
  <si>
    <t xml:space="preserve">Начиная с 2022 года темп роста жилья от населения = базовый тр+добавки, определяемая политикой тарифов и индексации ЗП </t>
  </si>
  <si>
    <t>Итоговый темп роста</t>
  </si>
  <si>
    <t>ПРОГНОЗ</t>
  </si>
  <si>
    <t>текущие цены</t>
  </si>
  <si>
    <t>Дотации ФБ</t>
  </si>
  <si>
    <t>собств. Доходы КБ</t>
  </si>
  <si>
    <t>%ФБ</t>
  </si>
  <si>
    <t>`</t>
  </si>
  <si>
    <t>сц.1</t>
  </si>
  <si>
    <t>сц. 2</t>
  </si>
  <si>
    <t>сц.3</t>
  </si>
  <si>
    <t>темп роста доли с 2018 г.</t>
  </si>
  <si>
    <t>ScenDoliFB</t>
  </si>
  <si>
    <t>ретро</t>
  </si>
  <si>
    <t>ИЗВЕСТНО</t>
  </si>
  <si>
    <t>Денежные доходы населения– всего, млн.руб.</t>
  </si>
  <si>
    <t>169088/,5</t>
  </si>
  <si>
    <t>Доходы - всего, млн. руб</t>
  </si>
  <si>
    <t>Доля помощи из ФБ</t>
  </si>
  <si>
    <t>Собственные доходы в текущих  ценах, млн. руб</t>
  </si>
  <si>
    <t>КБ</t>
  </si>
  <si>
    <t>Не используется</t>
  </si>
  <si>
    <t>SobDohSopost</t>
  </si>
  <si>
    <t xml:space="preserve">Сырьевые  доходы </t>
  </si>
  <si>
    <t>Штакельберг двухуровневая задача</t>
  </si>
  <si>
    <t>доходы КБ</t>
  </si>
  <si>
    <t>зарплата</t>
  </si>
  <si>
    <t xml:space="preserve">2 уровня </t>
  </si>
  <si>
    <t>млн руб</t>
  </si>
  <si>
    <t>Денежные доходы – всего, млн.руб.</t>
  </si>
  <si>
    <t>оплата труда 2)</t>
  </si>
  <si>
    <t>социальные выплаты</t>
  </si>
  <si>
    <t>прочие доходы</t>
  </si>
  <si>
    <t>БД1 для расслоения по децилям, текущие цены</t>
  </si>
  <si>
    <t>экстраполяция, старая экономика, МСБ не трогаем</t>
  </si>
  <si>
    <t>Сценарий доли социальных трансфертов в КБ-НС</t>
  </si>
  <si>
    <t>справочно</t>
  </si>
  <si>
    <t>ScenSocTransFB</t>
  </si>
  <si>
    <t xml:space="preserve">трансферты  ФБ в ретроспективе - доля социальных трансфертов всего </t>
  </si>
  <si>
    <t>Сценарий социальных трансфертов из ФБ</t>
  </si>
  <si>
    <t>базовые цены</t>
  </si>
  <si>
    <t>ScenDoliSocTrans</t>
  </si>
  <si>
    <t xml:space="preserve">социальные трансферты в КБ-НС  текущие цены </t>
  </si>
  <si>
    <t>ScenSocTransKB</t>
  </si>
  <si>
    <t>*****</t>
  </si>
  <si>
    <t>Социальные выплаты</t>
  </si>
  <si>
    <t>оплата труда в НС</t>
  </si>
  <si>
    <t>Оплата труда в РЭ-НС</t>
  </si>
  <si>
    <t>ZPREMinNSSopost</t>
  </si>
  <si>
    <t>Сценарий оплаты труда в РЭ-НС в текущих ценах с учетом новых проектов МСБ</t>
  </si>
  <si>
    <t>ZPREMinNSTek</t>
  </si>
  <si>
    <t>Прочие доходы в РЭ-НС</t>
  </si>
  <si>
    <t>Прочие доходы в РЭ-НС в текущих ценах с учетом новых проектов МСБ</t>
  </si>
  <si>
    <t>Прочие доходы в РЭ-НС в сопоставимых ценах с учетом новых проектов МСБ</t>
  </si>
  <si>
    <t>PrDohNasREMinNS</t>
  </si>
  <si>
    <t>текущие цены, млн. руб</t>
  </si>
  <si>
    <t>ИТОГ для модели ДХ</t>
  </si>
  <si>
    <t>Сценарии уровня дотаций ФБ (доля ФБ в КБ)</t>
  </si>
  <si>
    <t>темп роста собственных доходов с 2018 г.</t>
  </si>
  <si>
    <t>Динамика расходов на непр. Сферу в текущих ценах(в тыс рубл)</t>
  </si>
  <si>
    <t>млн.руб</t>
  </si>
  <si>
    <t>бюджет НС, млн. руб</t>
  </si>
  <si>
    <r>
      <rPr>
        <b/>
        <sz val="10"/>
        <rFont val="Arial Cyr"/>
        <charset val="204"/>
      </rPr>
      <t>доли</t>
    </r>
    <r>
      <rPr>
        <sz val="10"/>
        <rFont val="Arial Cyr"/>
        <charset val="204"/>
      </rPr>
      <t xml:space="preserve"> в КБ-НС</t>
    </r>
  </si>
  <si>
    <t>Безвозмездные поступления, всего из ФБ</t>
  </si>
  <si>
    <t>включая дотации, субсидии и субвенции</t>
  </si>
  <si>
    <t>темпы роста</t>
  </si>
  <si>
    <t>Темп роста собственных доходов от старой экономики</t>
  </si>
  <si>
    <t>оплата труда в РЭ-НС</t>
  </si>
  <si>
    <t>прочие доходы в РЭ-НС</t>
  </si>
  <si>
    <t>зараб плата в бюджете (вся)</t>
  </si>
  <si>
    <t>Прием от Штакельберга</t>
  </si>
  <si>
    <t xml:space="preserve">Бюджетные доходы </t>
  </si>
  <si>
    <t>старт МСБ</t>
  </si>
  <si>
    <t>сдвиг</t>
  </si>
  <si>
    <t>сопоставимые цены</t>
  </si>
  <si>
    <t>Кумулятивный индекс цен для потребительского сектора</t>
  </si>
  <si>
    <t>доходы населения</t>
  </si>
  <si>
    <t>демультипликатор</t>
  </si>
  <si>
    <t>доля зарплаты в доходах , полученных в МСБ</t>
  </si>
  <si>
    <t>дотация из ФБ (для сценария 3)</t>
  </si>
  <si>
    <t>"размазываем" дотацию из ФБ на 20 лет</t>
  </si>
  <si>
    <t>сц.4</t>
  </si>
  <si>
    <t>дотация из ФБ (для сценария 4)</t>
  </si>
  <si>
    <t>дотации из ФБ с 2010 по 2020</t>
  </si>
  <si>
    <t>НЕ ИСПОЛЬЗУЕМ!!!</t>
  </si>
  <si>
    <t>Сценарий доли помощи ФБ</t>
  </si>
  <si>
    <t>Сценарий собственных доходов</t>
  </si>
  <si>
    <t>КБ (всего)</t>
  </si>
  <si>
    <t>темп роста</t>
  </si>
  <si>
    <t>2 уровня из Штакельберга</t>
  </si>
  <si>
    <t>равномерное распределение возможных дотаций</t>
  </si>
  <si>
    <t>Сценарий собственных доходов в ТЕКУЩИХ ценах (№ 2 с учетом новых проектов МСБ)</t>
  </si>
  <si>
    <t>Сценарий собственных доходов в сопоставимых ценах (№ 2 с учетом новых проектов МСБ)</t>
  </si>
  <si>
    <t>% ШТ от всего КБ</t>
  </si>
  <si>
    <t>Оплата труда в НС (непроизводственной сфере)</t>
  </si>
  <si>
    <t>для Штакельберга</t>
  </si>
  <si>
    <t>зависит от денег на ЗП из Штакельберга</t>
  </si>
  <si>
    <t>коэфф вливания</t>
  </si>
  <si>
    <t xml:space="preserve">сц.4 </t>
  </si>
  <si>
    <t xml:space="preserve">сц. 2 </t>
  </si>
  <si>
    <t>КБ (всего) с учётом сценариев собственных дох ТЕКУЩИЕ цены</t>
  </si>
  <si>
    <t>КБ (всего) с учётом сценариев собственных дох СОПОСТ цены</t>
  </si>
  <si>
    <t>прогнозируем в сопоставимых ценах, в текущие переходим от них</t>
  </si>
  <si>
    <t>ИТОГО уходит в модель ДХ</t>
  </si>
  <si>
    <t>PrognozKBtek_Scenarii</t>
  </si>
  <si>
    <t>структура КБ, тек. Цены</t>
  </si>
  <si>
    <t>трансферты*** ФБ</t>
  </si>
  <si>
    <t xml:space="preserve">доходы КБ от несырьевого сектора </t>
  </si>
  <si>
    <t>доходы КБ от новой сырьевой экономики</t>
  </si>
  <si>
    <t>трансферты* ФБ</t>
  </si>
  <si>
    <t xml:space="preserve">трансферты всего </t>
  </si>
  <si>
    <t xml:space="preserve">доходы собственные всего </t>
  </si>
  <si>
    <t>Трансферты* ФБ (сопоставимые цены)</t>
  </si>
  <si>
    <t>Трансферты* ФБ (текущие цены)</t>
  </si>
  <si>
    <t>Трансферты*** ФБ (текущие цены)</t>
  </si>
  <si>
    <t>Трансферты*** ФБ (сопоставимые цены)</t>
  </si>
  <si>
    <t>Объем инвестиций ФБ в МСБ</t>
  </si>
  <si>
    <t xml:space="preserve">Дипапзон сц.3 </t>
  </si>
  <si>
    <t>Диапазон 4</t>
  </si>
  <si>
    <t>доходы КБ от несырьевого сектора (сопоставимые цены)</t>
  </si>
  <si>
    <t>темп роста  несырьевых собственных доходов</t>
  </si>
  <si>
    <t>доходы КБ от несырьевого сектора (текущие цены)</t>
  </si>
  <si>
    <t>доходы КБ от новой сырьевой экономики (текущие цены)</t>
  </si>
  <si>
    <t>TransFB1</t>
  </si>
  <si>
    <t>TransFB2</t>
  </si>
  <si>
    <t>DohodKBneS</t>
  </si>
  <si>
    <t>DohodKBnewEk</t>
  </si>
  <si>
    <t>№ сценария</t>
  </si>
  <si>
    <t>КБ (всего, сопоставимые цены)</t>
  </si>
  <si>
    <t>структура КБ, соп. Цены</t>
  </si>
  <si>
    <t>График инвестиций ФБ</t>
  </si>
  <si>
    <t>Сценарий 1</t>
  </si>
  <si>
    <t>Сценарий 2</t>
  </si>
  <si>
    <t>КБ (всего) текущие цены</t>
  </si>
  <si>
    <t>КБ (всего) сопоставимые цены</t>
  </si>
  <si>
    <t>Сценарий 3</t>
  </si>
  <si>
    <t>Сценарий оплаты труда в РЭ-НС в сопоставимых ценах с учетом новых проектов МСБ</t>
  </si>
  <si>
    <t>трансферты* ФБ текущие цены</t>
  </si>
  <si>
    <t>трансферты* ФБ сопоставимые цены</t>
  </si>
  <si>
    <t>ДЕЛЬТА к темпу роста сценария 1, мультипликатор</t>
  </si>
  <si>
    <t>Соп. Цены</t>
  </si>
  <si>
    <t xml:space="preserve">трансферты  </t>
  </si>
  <si>
    <t xml:space="preserve">доходы собственные </t>
  </si>
  <si>
    <t>сценарий</t>
  </si>
  <si>
    <t>сц 5</t>
  </si>
  <si>
    <t>отношение мультипликатора в период инвестиций (трансфертов***) К мультипликатору последствий вброса инвестиций (трансфертов***)</t>
  </si>
  <si>
    <t>сц.5</t>
  </si>
  <si>
    <t>на этот процент выше инфляции индексируем КБ</t>
  </si>
  <si>
    <t>Гипотеза: в перспективе сценарий 1 (инерция) реализует стратегию финансирования бюджета в текущих ценах по инфляции или выше (ниже)ее. Трансферт - разница всего доходов и собственных доходов КБ</t>
  </si>
  <si>
    <t>показатель инфляции за 2017 годом</t>
  </si>
  <si>
    <t>базовый темп роста  несырьевых собственных доходов в сценарии 1</t>
  </si>
  <si>
    <t xml:space="preserve">Диапазон лет для сценария 3 </t>
  </si>
  <si>
    <t>Диапазон лет для сценария 4</t>
  </si>
  <si>
    <t>ДЕЛЬТА2 к темпу роста сценария 1, мультипликатор</t>
  </si>
  <si>
    <t>ДЕЛЬТА3 к темпу роста сценария 1, мультипликатор</t>
  </si>
  <si>
    <t>ДЕЛЬТА4 к темпу роста сценария 1, мультипликатор</t>
  </si>
  <si>
    <t>ДЕЛЬТА5 к темпу роста сценария 1, мультипликатор</t>
  </si>
  <si>
    <t>процент кор-ки темпа  инфляции в индексации КБ сценарий 1</t>
  </si>
  <si>
    <t>сценарий 4</t>
  </si>
  <si>
    <t>сценарий 5</t>
  </si>
  <si>
    <t>Уровень достиижения эталона</t>
  </si>
  <si>
    <t>ммм</t>
  </si>
  <si>
    <t>ГРАФИКИ ДЛЯ СЦЕНАРНЫХ ЭКСПЕРИМЕНТОВ</t>
  </si>
  <si>
    <t>для статьи МОИТ 2</t>
  </si>
  <si>
    <t>СЦЕНАРИЙ 1 (большой рывок)</t>
  </si>
  <si>
    <t>СЦЕНАРИЙ 2 (инерция)</t>
  </si>
  <si>
    <t>СЦЕНАРИЙ 3</t>
  </si>
  <si>
    <t>СЦЕНАРИЙ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</si>
</sst>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  <numFmt numFmtId="166" formatCode="0.0000"/>
    <numFmt numFmtId="167" formatCode="#,##0.000"/>
    <numFmt numFmtId="168" formatCode="_-* #,##0.000_р_._-;\-* #,##0.000_р_._-;_-* &quot;-&quot;??_р_._-;_-@_-"/>
    <numFmt numFmtId="169" formatCode="_-* #,##0.000\ _₽_-;\-* #,##0.000\ _₽_-;_-* &quot;-&quot;??\ _₽_-;_-@_-"/>
    <numFmt numFmtId="170" formatCode="_-* #,##0.0000_р_._-;\-* #,##0.0000_р_._-;_-* &quot;-&quot;??_р_._-;_-@_-"/>
    <numFmt numFmtId="171" formatCode="_-* #,##0.0000000\ _₽_-;\-* #,##0.0000000\ _₽_-;_-* &quot;-&quot;??\ _₽_-;_-@_-"/>
    <numFmt numFmtId="172" formatCode="_-* #,##0_р_._-;\-* #,##0_р_._-;_-* &quot;-&quot;??_р_._-;_-@_-"/>
  </numFmts>
  <fonts count="10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</font>
    <font>
      <sz val="8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u/>
      <sz val="10"/>
      <name val="Arial Cyr"/>
      <family val="2"/>
      <charset val="204"/>
    </font>
    <font>
      <b/>
      <i/>
      <u/>
      <sz val="12"/>
      <color indexed="10"/>
      <name val="Arial Cyr"/>
      <family val="2"/>
      <charset val="204"/>
    </font>
    <font>
      <b/>
      <i/>
      <u/>
      <sz val="10"/>
      <name val="Arial Cyr"/>
    </font>
    <font>
      <b/>
      <sz val="10"/>
      <name val="Arial Cyr"/>
    </font>
    <font>
      <b/>
      <sz val="11"/>
      <color indexed="56"/>
      <name val="Times New Roman"/>
      <family val="1"/>
      <charset val="204"/>
    </font>
    <font>
      <b/>
      <sz val="10"/>
      <color indexed="57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name val="Arial Cyr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4"/>
      <color indexed="56"/>
      <name val="Arial Cyr"/>
      <family val="2"/>
      <charset val="204"/>
    </font>
    <font>
      <sz val="10"/>
      <name val="Arial Cyr"/>
      <family val="2"/>
      <charset val="204"/>
    </font>
    <font>
      <sz val="10"/>
      <color indexed="14"/>
      <name val="Arial Cyr"/>
    </font>
    <font>
      <sz val="8"/>
      <name val="Times New Roman"/>
      <family val="1"/>
      <charset val="204"/>
    </font>
    <font>
      <sz val="10"/>
      <color indexed="12"/>
      <name val="Courier New"/>
      <family val="3"/>
      <charset val="204"/>
    </font>
    <font>
      <b/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u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u/>
      <sz val="8"/>
      <name val="Arial Cyr"/>
      <family val="2"/>
      <charset val="204"/>
    </font>
    <font>
      <b/>
      <u/>
      <sz val="10"/>
      <color indexed="8"/>
      <name val="Arial Cyr"/>
      <family val="2"/>
      <charset val="204"/>
    </font>
    <font>
      <b/>
      <sz val="10"/>
      <color indexed="62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 Cyr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u/>
      <sz val="12"/>
      <name val="Arial Cyr"/>
    </font>
    <font>
      <b/>
      <sz val="11"/>
      <color indexed="12"/>
      <name val="Times New Roman"/>
      <family val="1"/>
      <charset val="204"/>
    </font>
    <font>
      <b/>
      <u/>
      <sz val="10"/>
      <name val="Arial Cyr"/>
      <charset val="204"/>
    </font>
    <font>
      <b/>
      <sz val="14"/>
      <name val="Arial Cyr"/>
      <charset val="204"/>
    </font>
    <font>
      <u/>
      <sz val="14"/>
      <name val="Arial Cyr"/>
      <charset val="204"/>
    </font>
    <font>
      <b/>
      <sz val="10"/>
      <color indexed="12"/>
      <name val="Arial Cyr"/>
      <charset val="204"/>
    </font>
    <font>
      <sz val="10"/>
      <color indexed="56"/>
      <name val="Arial Cyr"/>
      <family val="2"/>
      <charset val="204"/>
    </font>
    <font>
      <sz val="10"/>
      <color indexed="19"/>
      <name val="Arial Cyr"/>
      <charset val="204"/>
    </font>
    <font>
      <b/>
      <i/>
      <u/>
      <sz val="10"/>
      <name val="Arial Cyr"/>
      <charset val="204"/>
    </font>
    <font>
      <b/>
      <sz val="10"/>
      <color indexed="19"/>
      <name val="Arial Cyr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.5"/>
      <name val="Times New Roman"/>
      <family val="1"/>
      <charset val="204"/>
    </font>
    <font>
      <sz val="11"/>
      <name val="Arial"/>
      <family val="2"/>
      <charset val="204"/>
    </font>
    <font>
      <b/>
      <sz val="10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6"/>
      <color theme="6" tint="-0.499984740745262"/>
      <name val="Arial Cyr"/>
      <charset val="204"/>
    </font>
    <font>
      <b/>
      <sz val="10"/>
      <color theme="3"/>
      <name val="Arial Cyr"/>
      <charset val="204"/>
    </font>
    <font>
      <b/>
      <sz val="10"/>
      <color theme="4"/>
      <name val="Arial Cyr"/>
      <charset val="204"/>
    </font>
    <font>
      <b/>
      <sz val="11"/>
      <color theme="4"/>
      <name val="Arial Cyr"/>
      <charset val="204"/>
    </font>
    <font>
      <b/>
      <sz val="10"/>
      <color rgb="FF0070C0"/>
      <name val="Arial Cyr"/>
      <charset val="204"/>
    </font>
    <font>
      <b/>
      <sz val="10"/>
      <color theme="3" tint="0.39997558519241921"/>
      <name val="Arial Cyr"/>
      <charset val="204"/>
    </font>
    <font>
      <sz val="10"/>
      <color theme="6" tint="-0.249977111117893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Times New Roman"/>
      <family val="1"/>
      <charset val="204"/>
    </font>
    <font>
      <sz val="8"/>
      <color rgb="FFFF0000"/>
      <name val="Arial Cyr"/>
      <charset val="204"/>
    </font>
    <font>
      <sz val="8"/>
      <name val="Arial Cy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8"/>
      <color rgb="FF000000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0"/>
      <color theme="3"/>
      <name val="Arial Cyr"/>
      <charset val="204"/>
    </font>
    <font>
      <b/>
      <u/>
      <sz val="12"/>
      <color theme="3" tint="0.39997558519241921"/>
      <name val="Arial Cyr"/>
      <charset val="204"/>
    </font>
    <font>
      <b/>
      <sz val="14"/>
      <color rgb="FFFF0000"/>
      <name val="Arial Cyr"/>
      <charset val="204"/>
    </font>
    <font>
      <b/>
      <u/>
      <sz val="14"/>
      <name val="Arial Cyr"/>
      <charset val="204"/>
    </font>
    <font>
      <b/>
      <sz val="16"/>
      <name val="Arial Cyr"/>
      <charset val="204"/>
    </font>
    <font>
      <b/>
      <u/>
      <sz val="16"/>
      <name val="Arial Cyr"/>
      <charset val="204"/>
    </font>
    <font>
      <b/>
      <sz val="16"/>
      <name val="Times New Roman"/>
      <family val="1"/>
      <charset val="204"/>
    </font>
    <font>
      <sz val="10"/>
      <color theme="5" tint="-0.249977111117893"/>
      <name val="Arial Cyr"/>
      <charset val="204"/>
    </font>
    <font>
      <sz val="14"/>
      <color rgb="FFFF0000"/>
      <name val="Arial Cyr"/>
      <charset val="204"/>
    </font>
    <font>
      <sz val="14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FF0000"/>
      <name val="Arial Cyr"/>
      <charset val="204"/>
    </font>
    <font>
      <b/>
      <i/>
      <u val="singleAccounting"/>
      <sz val="10"/>
      <name val="Arial Cyr"/>
      <charset val="204"/>
    </font>
    <font>
      <b/>
      <sz val="12"/>
      <color theme="3" tint="0.39997558519241921"/>
      <name val="Arial Cyr"/>
      <charset val="204"/>
    </font>
    <font>
      <b/>
      <u val="singleAccounting"/>
      <sz val="10"/>
      <name val="Arial Cyr"/>
      <charset val="204"/>
    </font>
    <font>
      <u val="singleAccounting"/>
      <sz val="10"/>
      <name val="Arial Cyr"/>
      <charset val="204"/>
    </font>
    <font>
      <b/>
      <sz val="10"/>
      <color theme="1"/>
      <name val="Arial Cyr"/>
      <charset val="204"/>
    </font>
    <font>
      <b/>
      <u/>
      <sz val="10"/>
      <color rgb="FFFF0000"/>
      <name val="Arial Cyr"/>
      <charset val="204"/>
    </font>
    <font>
      <b/>
      <i/>
      <u/>
      <sz val="14"/>
      <color rgb="FFFF0000"/>
      <name val="Arial Cyr"/>
      <charset val="204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4" fillId="0" borderId="30">
      <alignment horizontal="right"/>
    </xf>
  </cellStyleXfs>
  <cellXfs count="670">
    <xf numFmtId="0" fontId="0" fillId="0" borderId="0" xfId="0"/>
    <xf numFmtId="0" fontId="2" fillId="0" borderId="0" xfId="1" applyFont="1"/>
    <xf numFmtId="0" fontId="2" fillId="0" borderId="0" xfId="1"/>
    <xf numFmtId="0" fontId="6" fillId="0" borderId="0" xfId="1" applyFont="1"/>
    <xf numFmtId="0" fontId="7" fillId="0" borderId="0" xfId="1" applyFont="1"/>
    <xf numFmtId="0" fontId="2" fillId="0" borderId="0" xfId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 applyBorder="1"/>
    <xf numFmtId="4" fontId="2" fillId="0" borderId="0" xfId="1" applyNumberFormat="1" applyBorder="1"/>
    <xf numFmtId="4" fontId="2" fillId="0" borderId="5" xfId="1" applyNumberFormat="1" applyBorder="1"/>
    <xf numFmtId="0" fontId="17" fillId="0" borderId="0" xfId="1" applyFont="1"/>
    <xf numFmtId="4" fontId="2" fillId="0" borderId="7" xfId="1" applyNumberFormat="1" applyBorder="1"/>
    <xf numFmtId="4" fontId="2" fillId="0" borderId="8" xfId="1" applyNumberFormat="1" applyBorder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21" fillId="0" borderId="0" xfId="0" applyFont="1"/>
    <xf numFmtId="0" fontId="22" fillId="0" borderId="0" xfId="1" applyFont="1"/>
    <xf numFmtId="0" fontId="23" fillId="0" borderId="0" xfId="1" applyFont="1"/>
    <xf numFmtId="3" fontId="2" fillId="0" borderId="0" xfId="1" applyNumberFormat="1"/>
    <xf numFmtId="4" fontId="2" fillId="0" borderId="0" xfId="1" applyNumberFormat="1"/>
    <xf numFmtId="3" fontId="2" fillId="0" borderId="0" xfId="1" applyNumberFormat="1" applyFont="1"/>
    <xf numFmtId="0" fontId="4" fillId="0" borderId="0" xfId="1" applyFont="1"/>
    <xf numFmtId="0" fontId="26" fillId="0" borderId="0" xfId="1" applyFont="1"/>
    <xf numFmtId="2" fontId="15" fillId="0" borderId="0" xfId="1" applyNumberFormat="1" applyFont="1"/>
    <xf numFmtId="2" fontId="2" fillId="0" borderId="0" xfId="1" applyNumberForma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25" fillId="0" borderId="0" xfId="1" applyFont="1" applyAlignment="1">
      <alignment horizontal="right"/>
    </xf>
    <xf numFmtId="0" fontId="30" fillId="0" borderId="0" xfId="1" applyFont="1"/>
    <xf numFmtId="3" fontId="24" fillId="0" borderId="0" xfId="1" applyNumberFormat="1" applyFont="1"/>
    <xf numFmtId="3" fontId="31" fillId="0" borderId="0" xfId="1" applyNumberFormat="1" applyFont="1"/>
    <xf numFmtId="4" fontId="2" fillId="2" borderId="0" xfId="1" applyNumberFormat="1" applyFill="1"/>
    <xf numFmtId="0" fontId="2" fillId="3" borderId="0" xfId="1" applyFill="1"/>
    <xf numFmtId="0" fontId="12" fillId="3" borderId="0" xfId="1" applyFont="1" applyFill="1"/>
    <xf numFmtId="0" fontId="15" fillId="3" borderId="0" xfId="1" applyFont="1" applyFill="1"/>
    <xf numFmtId="0" fontId="16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2" fillId="0" borderId="0" xfId="1" applyFont="1" applyBorder="1"/>
    <xf numFmtId="0" fontId="35" fillId="0" borderId="1" xfId="1" applyFont="1" applyBorder="1"/>
    <xf numFmtId="0" fontId="35" fillId="0" borderId="2" xfId="1" applyFont="1" applyBorder="1"/>
    <xf numFmtId="0" fontId="35" fillId="0" borderId="3" xfId="1" applyFont="1" applyBorder="1"/>
    <xf numFmtId="0" fontId="34" fillId="0" borderId="4" xfId="1" applyFont="1" applyBorder="1"/>
    <xf numFmtId="0" fontId="34" fillId="0" borderId="0" xfId="1" applyFont="1" applyBorder="1"/>
    <xf numFmtId="0" fontId="34" fillId="0" borderId="5" xfId="1" applyFont="1" applyBorder="1"/>
    <xf numFmtId="0" fontId="34" fillId="0" borderId="6" xfId="1" applyFont="1" applyBorder="1"/>
    <xf numFmtId="0" fontId="34" fillId="0" borderId="7" xfId="1" applyFont="1" applyBorder="1"/>
    <xf numFmtId="0" fontId="34" fillId="0" borderId="8" xfId="1" applyFont="1" applyBorder="1"/>
    <xf numFmtId="0" fontId="35" fillId="0" borderId="0" xfId="1" applyFont="1"/>
    <xf numFmtId="0" fontId="32" fillId="0" borderId="0" xfId="0" applyFont="1" applyBorder="1"/>
    <xf numFmtId="4" fontId="34" fillId="0" borderId="1" xfId="0" applyNumberFormat="1" applyFont="1" applyBorder="1" applyAlignment="1">
      <alignment horizontal="center" wrapText="1"/>
    </xf>
    <xf numFmtId="4" fontId="34" fillId="0" borderId="2" xfId="0" applyNumberFormat="1" applyFont="1" applyBorder="1" applyAlignment="1">
      <alignment horizontal="center" wrapText="1"/>
    </xf>
    <xf numFmtId="4" fontId="34" fillId="0" borderId="3" xfId="1" applyNumberFormat="1" applyFont="1" applyBorder="1"/>
    <xf numFmtId="4" fontId="36" fillId="4" borderId="6" xfId="1" applyNumberFormat="1" applyFont="1" applyFill="1" applyBorder="1"/>
    <xf numFmtId="4" fontId="36" fillId="0" borderId="0" xfId="1" applyNumberFormat="1" applyFont="1" applyBorder="1"/>
    <xf numFmtId="4" fontId="34" fillId="0" borderId="0" xfId="1" applyNumberFormat="1" applyFont="1" applyBorder="1"/>
    <xf numFmtId="4" fontId="34" fillId="0" borderId="1" xfId="1" applyNumberFormat="1" applyFont="1" applyBorder="1"/>
    <xf numFmtId="4" fontId="36" fillId="0" borderId="2" xfId="1" applyNumberFormat="1" applyFont="1" applyBorder="1"/>
    <xf numFmtId="4" fontId="36" fillId="0" borderId="3" xfId="1" applyNumberFormat="1" applyFont="1" applyBorder="1"/>
    <xf numFmtId="4" fontId="34" fillId="0" borderId="4" xfId="1" applyNumberFormat="1" applyFont="1" applyFill="1" applyBorder="1"/>
    <xf numFmtId="4" fontId="36" fillId="0" borderId="0" xfId="1" applyNumberFormat="1" applyFont="1" applyFill="1" applyBorder="1"/>
    <xf numFmtId="4" fontId="36" fillId="0" borderId="5" xfId="1" applyNumberFormat="1" applyFont="1" applyFill="1" applyBorder="1"/>
    <xf numFmtId="4" fontId="35" fillId="0" borderId="6" xfId="1" applyNumberFormat="1" applyFont="1" applyBorder="1"/>
    <xf numFmtId="4" fontId="35" fillId="0" borderId="7" xfId="1" applyNumberFormat="1" applyFont="1" applyBorder="1"/>
    <xf numFmtId="4" fontId="35" fillId="0" borderId="8" xfId="1" applyNumberFormat="1" applyFont="1" applyBorder="1"/>
    <xf numFmtId="0" fontId="32" fillId="0" borderId="0" xfId="1" applyFont="1" applyFill="1"/>
    <xf numFmtId="0" fontId="35" fillId="0" borderId="0" xfId="1" applyFont="1" applyFill="1"/>
    <xf numFmtId="4" fontId="35" fillId="0" borderId="0" xfId="1" applyNumberFormat="1" applyFont="1" applyFill="1"/>
    <xf numFmtId="0" fontId="37" fillId="0" borderId="9" xfId="1" applyFont="1" applyBorder="1"/>
    <xf numFmtId="0" fontId="38" fillId="0" borderId="0" xfId="1" applyFont="1"/>
    <xf numFmtId="0" fontId="37" fillId="0" borderId="10" xfId="1" applyFont="1" applyBorder="1"/>
    <xf numFmtId="0" fontId="2" fillId="0" borderId="0" xfId="1" applyBorder="1"/>
    <xf numFmtId="0" fontId="4" fillId="0" borderId="0" xfId="1" applyNumberFormat="1" applyFont="1" applyBorder="1"/>
    <xf numFmtId="4" fontId="5" fillId="0" borderId="1" xfId="1" applyNumberFormat="1" applyFont="1" applyFill="1" applyBorder="1"/>
    <xf numFmtId="4" fontId="5" fillId="0" borderId="2" xfId="1" applyNumberFormat="1" applyFont="1" applyFill="1" applyBorder="1"/>
    <xf numFmtId="4" fontId="36" fillId="0" borderId="3" xfId="1" applyNumberFormat="1" applyFont="1" applyFill="1" applyBorder="1"/>
    <xf numFmtId="4" fontId="5" fillId="0" borderId="4" xfId="0" applyNumberFormat="1" applyFont="1" applyFill="1" applyBorder="1"/>
    <xf numFmtId="4" fontId="5" fillId="0" borderId="0" xfId="0" applyNumberFormat="1" applyFont="1" applyFill="1" applyBorder="1"/>
    <xf numFmtId="4" fontId="34" fillId="0" borderId="0" xfId="0" applyNumberFormat="1" applyFont="1" applyFill="1" applyBorder="1"/>
    <xf numFmtId="4" fontId="34" fillId="0" borderId="4" xfId="0" applyNumberFormat="1" applyFont="1" applyFill="1" applyBorder="1"/>
    <xf numFmtId="4" fontId="5" fillId="0" borderId="6" xfId="0" applyNumberFormat="1" applyFont="1" applyFill="1" applyBorder="1"/>
    <xf numFmtId="4" fontId="15" fillId="0" borderId="7" xfId="0" applyNumberFormat="1" applyFont="1" applyFill="1" applyBorder="1"/>
    <xf numFmtId="4" fontId="36" fillId="0" borderId="8" xfId="1" applyNumberFormat="1" applyFont="1" applyFill="1" applyBorder="1"/>
    <xf numFmtId="4" fontId="15" fillId="0" borderId="0" xfId="0" applyNumberFormat="1" applyFont="1" applyFill="1" applyBorder="1"/>
    <xf numFmtId="4" fontId="4" fillId="0" borderId="0" xfId="0" applyNumberFormat="1" applyFont="1" applyBorder="1"/>
    <xf numFmtId="0" fontId="4" fillId="0" borderId="0" xfId="0" applyNumberFormat="1" applyFont="1" applyBorder="1"/>
    <xf numFmtId="0" fontId="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36" fillId="0" borderId="11" xfId="1" applyFont="1" applyBorder="1" applyAlignment="1">
      <alignment wrapText="1"/>
    </xf>
    <xf numFmtId="0" fontId="36" fillId="0" borderId="12" xfId="1" applyFont="1" applyBorder="1"/>
    <xf numFmtId="0" fontId="36" fillId="0" borderId="13" xfId="1" applyFont="1" applyBorder="1"/>
    <xf numFmtId="0" fontId="36" fillId="0" borderId="0" xfId="1" applyFont="1" applyBorder="1" applyAlignment="1">
      <alignment wrapText="1"/>
    </xf>
    <xf numFmtId="0" fontId="36" fillId="0" borderId="0" xfId="1" applyFont="1" applyBorder="1"/>
    <xf numFmtId="0" fontId="36" fillId="0" borderId="1" xfId="1" applyFont="1" applyBorder="1"/>
    <xf numFmtId="0" fontId="36" fillId="0" borderId="2" xfId="1" applyFont="1" applyBorder="1"/>
    <xf numFmtId="0" fontId="36" fillId="0" borderId="3" xfId="1" applyFont="1" applyBorder="1"/>
    <xf numFmtId="0" fontId="36" fillId="0" borderId="4" xfId="1" applyFont="1" applyBorder="1"/>
    <xf numFmtId="0" fontId="36" fillId="0" borderId="5" xfId="1" applyFont="1" applyBorder="1"/>
    <xf numFmtId="0" fontId="36" fillId="0" borderId="6" xfId="1" applyFont="1" applyBorder="1"/>
    <xf numFmtId="0" fontId="36" fillId="0" borderId="7" xfId="1" applyFont="1" applyBorder="1"/>
    <xf numFmtId="0" fontId="36" fillId="0" borderId="8" xfId="1" applyFont="1" applyBorder="1"/>
    <xf numFmtId="0" fontId="0" fillId="0" borderId="0" xfId="0" applyFill="1"/>
    <xf numFmtId="4" fontId="36" fillId="4" borderId="0" xfId="1" applyNumberFormat="1" applyFont="1" applyFill="1"/>
    <xf numFmtId="4" fontId="36" fillId="0" borderId="0" xfId="0" applyNumberFormat="1" applyFont="1" applyFill="1" applyAlignment="1">
      <alignment horizontal="center"/>
    </xf>
    <xf numFmtId="4" fontId="36" fillId="0" borderId="0" xfId="1" applyNumberFormat="1" applyFont="1" applyFill="1"/>
    <xf numFmtId="0" fontId="2" fillId="0" borderId="0" xfId="1" applyFont="1" applyFill="1"/>
    <xf numFmtId="0" fontId="16" fillId="0" borderId="0" xfId="1" applyFont="1" applyFill="1" applyBorder="1"/>
    <xf numFmtId="0" fontId="36" fillId="5" borderId="1" xfId="1" applyFont="1" applyFill="1" applyBorder="1"/>
    <xf numFmtId="0" fontId="36" fillId="5" borderId="2" xfId="1" applyFont="1" applyFill="1" applyBorder="1"/>
    <xf numFmtId="0" fontId="4" fillId="5" borderId="2" xfId="1" applyFont="1" applyFill="1" applyBorder="1"/>
    <xf numFmtId="0" fontId="4" fillId="5" borderId="3" xfId="1" applyFont="1" applyFill="1" applyBorder="1"/>
    <xf numFmtId="0" fontId="36" fillId="5" borderId="4" xfId="1" applyFont="1" applyFill="1" applyBorder="1"/>
    <xf numFmtId="0" fontId="36" fillId="5" borderId="0" xfId="1" applyFont="1" applyFill="1" applyBorder="1"/>
    <xf numFmtId="0" fontId="5" fillId="5" borderId="0" xfId="1" applyFont="1" applyFill="1" applyBorder="1"/>
    <xf numFmtId="0" fontId="5" fillId="5" borderId="5" xfId="1" applyFont="1" applyFill="1" applyBorder="1"/>
    <xf numFmtId="0" fontId="36" fillId="5" borderId="6" xfId="1" applyFont="1" applyFill="1" applyBorder="1"/>
    <xf numFmtId="0" fontId="36" fillId="5" borderId="7" xfId="1" applyFont="1" applyFill="1" applyBorder="1"/>
    <xf numFmtId="0" fontId="5" fillId="5" borderId="7" xfId="1" applyFont="1" applyFill="1" applyBorder="1"/>
    <xf numFmtId="0" fontId="5" fillId="5" borderId="8" xfId="1" applyFont="1" applyFill="1" applyBorder="1"/>
    <xf numFmtId="4" fontId="16" fillId="0" borderId="0" xfId="1" applyNumberFormat="1" applyFont="1"/>
    <xf numFmtId="4" fontId="36" fillId="0" borderId="1" xfId="1" applyNumberFormat="1" applyFont="1" applyBorder="1"/>
    <xf numFmtId="4" fontId="2" fillId="0" borderId="1" xfId="1" applyNumberFormat="1" applyBorder="1"/>
    <xf numFmtId="4" fontId="2" fillId="0" borderId="2" xfId="1" applyNumberFormat="1" applyBorder="1"/>
    <xf numFmtId="4" fontId="2" fillId="0" borderId="3" xfId="1" applyNumberFormat="1" applyBorder="1"/>
    <xf numFmtId="4" fontId="36" fillId="4" borderId="0" xfId="1" applyNumberFormat="1" applyFont="1" applyFill="1" applyBorder="1"/>
    <xf numFmtId="4" fontId="36" fillId="4" borderId="5" xfId="1" applyNumberFormat="1" applyFont="1" applyFill="1" applyBorder="1"/>
    <xf numFmtId="4" fontId="2" fillId="0" borderId="4" xfId="1" applyNumberFormat="1" applyBorder="1"/>
    <xf numFmtId="4" fontId="36" fillId="0" borderId="4" xfId="1" applyNumberFormat="1" applyFont="1" applyBorder="1"/>
    <xf numFmtId="4" fontId="36" fillId="0" borderId="5" xfId="1" applyNumberFormat="1" applyFont="1" applyBorder="1"/>
    <xf numFmtId="4" fontId="36" fillId="0" borderId="6" xfId="1" applyNumberFormat="1" applyFont="1" applyBorder="1"/>
    <xf numFmtId="4" fontId="36" fillId="0" borderId="7" xfId="1" applyNumberFormat="1" applyFont="1" applyBorder="1"/>
    <xf numFmtId="4" fontId="36" fillId="0" borderId="8" xfId="1" applyNumberFormat="1" applyFont="1" applyBorder="1"/>
    <xf numFmtId="4" fontId="2" fillId="0" borderId="6" xfId="1" applyNumberFormat="1" applyBorder="1"/>
    <xf numFmtId="0" fontId="2" fillId="0" borderId="0" xfId="1" applyFont="1" applyFill="1" applyBorder="1"/>
    <xf numFmtId="4" fontId="36" fillId="0" borderId="0" xfId="1" applyNumberFormat="1" applyFont="1"/>
    <xf numFmtId="0" fontId="36" fillId="0" borderId="0" xfId="1" applyFont="1"/>
    <xf numFmtId="0" fontId="39" fillId="6" borderId="0" xfId="1" applyFont="1" applyFill="1"/>
    <xf numFmtId="0" fontId="40" fillId="6" borderId="0" xfId="1" applyFont="1" applyFill="1"/>
    <xf numFmtId="0" fontId="36" fillId="6" borderId="0" xfId="1" applyFont="1" applyFill="1"/>
    <xf numFmtId="0" fontId="16" fillId="6" borderId="0" xfId="1" applyFont="1" applyFill="1"/>
    <xf numFmtId="0" fontId="2" fillId="6" borderId="0" xfId="1" applyFill="1"/>
    <xf numFmtId="3" fontId="36" fillId="0" borderId="1" xfId="1" applyNumberFormat="1" applyFont="1" applyBorder="1"/>
    <xf numFmtId="3" fontId="36" fillId="0" borderId="2" xfId="1" applyNumberFormat="1" applyFont="1" applyBorder="1"/>
    <xf numFmtId="3" fontId="36" fillId="0" borderId="3" xfId="1" applyNumberFormat="1" applyFont="1" applyBorder="1"/>
    <xf numFmtId="3" fontId="36" fillId="0" borderId="4" xfId="1" applyNumberFormat="1" applyFont="1" applyBorder="1"/>
    <xf numFmtId="3" fontId="36" fillId="0" borderId="0" xfId="1" applyNumberFormat="1" applyFont="1" applyBorder="1"/>
    <xf numFmtId="3" fontId="36" fillId="0" borderId="5" xfId="1" applyNumberFormat="1" applyFont="1" applyBorder="1"/>
    <xf numFmtId="3" fontId="36" fillId="0" borderId="6" xfId="1" applyNumberFormat="1" applyFont="1" applyBorder="1"/>
    <xf numFmtId="3" fontId="36" fillId="0" borderId="7" xfId="1" applyNumberFormat="1" applyFont="1" applyBorder="1"/>
    <xf numFmtId="3" fontId="36" fillId="0" borderId="8" xfId="1" applyNumberFormat="1" applyFont="1" applyBorder="1"/>
    <xf numFmtId="0" fontId="16" fillId="2" borderId="0" xfId="1" applyFont="1" applyFill="1"/>
    <xf numFmtId="4" fontId="2" fillId="0" borderId="14" xfId="1" applyNumberFormat="1" applyBorder="1"/>
    <xf numFmtId="4" fontId="2" fillId="0" borderId="15" xfId="1" applyNumberFormat="1" applyBorder="1"/>
    <xf numFmtId="4" fontId="32" fillId="0" borderId="6" xfId="0" applyNumberFormat="1" applyFont="1" applyBorder="1"/>
    <xf numFmtId="4" fontId="2" fillId="0" borderId="0" xfId="1" applyNumberFormat="1" applyFont="1" applyFill="1" applyBorder="1"/>
    <xf numFmtId="4" fontId="2" fillId="0" borderId="0" xfId="1" applyNumberFormat="1" applyFill="1" applyBorder="1"/>
    <xf numFmtId="0" fontId="2" fillId="0" borderId="0" xfId="1" applyFill="1" applyBorder="1"/>
    <xf numFmtId="0" fontId="32" fillId="0" borderId="0" xfId="0" applyFont="1" applyFill="1"/>
    <xf numFmtId="0" fontId="34" fillId="0" borderId="0" xfId="1" applyFont="1" applyFill="1"/>
    <xf numFmtId="0" fontId="32" fillId="0" borderId="0" xfId="0" applyFont="1"/>
    <xf numFmtId="0" fontId="41" fillId="0" borderId="0" xfId="0" applyFont="1"/>
    <xf numFmtId="0" fontId="44" fillId="0" borderId="0" xfId="1" applyFont="1"/>
    <xf numFmtId="0" fontId="45" fillId="0" borderId="0" xfId="1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" fillId="0" borderId="0" xfId="0" applyFont="1" applyBorder="1"/>
    <xf numFmtId="0" fontId="46" fillId="0" borderId="0" xfId="1" applyFont="1" applyFill="1"/>
    <xf numFmtId="0" fontId="26" fillId="0" borderId="0" xfId="0" applyFont="1"/>
    <xf numFmtId="0" fontId="15" fillId="0" borderId="0" xfId="0" applyFont="1"/>
    <xf numFmtId="0" fontId="50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5" fillId="0" borderId="0" xfId="0" applyFont="1"/>
    <xf numFmtId="1" fontId="0" fillId="4" borderId="0" xfId="0" applyNumberFormat="1" applyFill="1"/>
    <xf numFmtId="164" fontId="0" fillId="0" borderId="0" xfId="4" applyFont="1"/>
    <xf numFmtId="0" fontId="40" fillId="0" borderId="0" xfId="0" applyFont="1" applyBorder="1"/>
    <xf numFmtId="0" fontId="51" fillId="0" borderId="0" xfId="0" applyFont="1" applyBorder="1"/>
    <xf numFmtId="0" fontId="52" fillId="0" borderId="0" xfId="0" applyFont="1"/>
    <xf numFmtId="1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2" fillId="4" borderId="0" xfId="1" applyFont="1" applyFill="1"/>
    <xf numFmtId="0" fontId="16" fillId="0" borderId="0" xfId="0" applyFont="1"/>
    <xf numFmtId="0" fontId="5" fillId="7" borderId="0" xfId="1" applyFont="1" applyFill="1"/>
    <xf numFmtId="164" fontId="0" fillId="0" borderId="0" xfId="4" applyFont="1" applyFill="1"/>
    <xf numFmtId="164" fontId="1" fillId="0" borderId="0" xfId="4" applyFont="1" applyBorder="1"/>
    <xf numFmtId="164" fontId="53" fillId="0" borderId="17" xfId="4" applyFont="1" applyBorder="1"/>
    <xf numFmtId="0" fontId="26" fillId="8" borderId="0" xfId="0" applyFont="1" applyFill="1"/>
    <xf numFmtId="0" fontId="5" fillId="0" borderId="0" xfId="0" applyFont="1" applyFill="1" applyBorder="1"/>
    <xf numFmtId="0" fontId="56" fillId="0" borderId="19" xfId="0" applyFont="1" applyBorder="1" applyAlignment="1">
      <alignment horizontal="left" wrapText="1"/>
    </xf>
    <xf numFmtId="164" fontId="0" fillId="0" borderId="0" xfId="0" applyNumberFormat="1"/>
    <xf numFmtId="0" fontId="57" fillId="0" borderId="0" xfId="0" applyFont="1"/>
    <xf numFmtId="164" fontId="2" fillId="0" borderId="0" xfId="1" applyNumberFormat="1"/>
    <xf numFmtId="164" fontId="5" fillId="0" borderId="0" xfId="0" applyNumberFormat="1" applyFont="1" applyBorder="1"/>
    <xf numFmtId="164" fontId="1" fillId="0" borderId="0" xfId="4" applyFont="1" applyFill="1" applyBorder="1"/>
    <xf numFmtId="4" fontId="58" fillId="0" borderId="14" xfId="0" applyNumberFormat="1" applyFont="1" applyBorder="1" applyAlignment="1">
      <alignment horizontal="right" wrapText="1"/>
    </xf>
    <xf numFmtId="0" fontId="26" fillId="0" borderId="0" xfId="0" applyFont="1" applyFill="1" applyBorder="1"/>
    <xf numFmtId="167" fontId="0" fillId="0" borderId="0" xfId="0" applyNumberFormat="1" applyFont="1"/>
    <xf numFmtId="0" fontId="56" fillId="0" borderId="0" xfId="0" applyFont="1" applyAlignment="1">
      <alignment horizontal="left" vertical="top" wrapText="1"/>
    </xf>
    <xf numFmtId="0" fontId="49" fillId="0" borderId="0" xfId="0" applyFont="1" applyFill="1"/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vertical="top" wrapText="1"/>
    </xf>
    <xf numFmtId="0" fontId="59" fillId="0" borderId="19" xfId="0" applyFont="1" applyBorder="1" applyAlignment="1">
      <alignment horizontal="left" wrapText="1"/>
    </xf>
    <xf numFmtId="0" fontId="59" fillId="0" borderId="0" xfId="0" applyFont="1" applyAlignment="1">
      <alignment horizontal="left" vertical="top" wrapText="1"/>
    </xf>
    <xf numFmtId="0" fontId="56" fillId="0" borderId="22" xfId="0" applyFont="1" applyBorder="1" applyAlignment="1">
      <alignment horizontal="left" wrapText="1"/>
    </xf>
    <xf numFmtId="0" fontId="56" fillId="0" borderId="23" xfId="0" applyFont="1" applyBorder="1" applyAlignment="1">
      <alignment horizontal="left" vertical="top" wrapText="1"/>
    </xf>
    <xf numFmtId="0" fontId="56" fillId="9" borderId="19" xfId="0" applyFont="1" applyFill="1" applyBorder="1" applyAlignment="1">
      <alignment horizontal="left" wrapText="1"/>
    </xf>
    <xf numFmtId="2" fontId="59" fillId="0" borderId="19" xfId="0" applyNumberFormat="1" applyFont="1" applyBorder="1" applyAlignment="1">
      <alignment horizontal="left" wrapText="1"/>
    </xf>
    <xf numFmtId="49" fontId="0" fillId="0" borderId="0" xfId="0" applyNumberFormat="1"/>
    <xf numFmtId="0" fontId="1" fillId="0" borderId="17" xfId="2" applyFont="1" applyBorder="1"/>
    <xf numFmtId="0" fontId="1" fillId="0" borderId="23" xfId="2" applyBorder="1"/>
    <xf numFmtId="0" fontId="1" fillId="0" borderId="22" xfId="2" applyBorder="1"/>
    <xf numFmtId="9" fontId="0" fillId="0" borderId="0" xfId="3" applyFont="1"/>
    <xf numFmtId="9" fontId="0" fillId="0" borderId="0" xfId="0" applyNumberFormat="1"/>
    <xf numFmtId="0" fontId="18" fillId="0" borderId="0" xfId="1" applyFont="1" applyFill="1"/>
    <xf numFmtId="0" fontId="45" fillId="0" borderId="0" xfId="1" applyFont="1" applyFill="1"/>
    <xf numFmtId="2" fontId="40" fillId="0" borderId="0" xfId="0" applyNumberFormat="1" applyFont="1" applyBorder="1"/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4" fontId="0" fillId="0" borderId="0" xfId="0" applyNumberForma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0" fillId="0" borderId="0" xfId="0" applyFont="1"/>
    <xf numFmtId="0" fontId="61" fillId="0" borderId="0" xfId="0" applyFont="1"/>
    <xf numFmtId="168" fontId="0" fillId="0" borderId="0" xfId="4" applyNumberFormat="1" applyFont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164" fontId="0" fillId="12" borderId="0" xfId="0" applyNumberFormat="1" applyFill="1"/>
    <xf numFmtId="4" fontId="0" fillId="12" borderId="0" xfId="0" applyNumberFormat="1" applyFill="1"/>
    <xf numFmtId="10" fontId="55" fillId="12" borderId="0" xfId="3" applyNumberFormat="1" applyFont="1" applyFill="1"/>
    <xf numFmtId="0" fontId="63" fillId="0" borderId="0" xfId="0" applyFont="1"/>
    <xf numFmtId="1" fontId="0" fillId="12" borderId="0" xfId="0" applyNumberFormat="1" applyFill="1"/>
    <xf numFmtId="0" fontId="64" fillId="0" borderId="0" xfId="0" applyFont="1"/>
    <xf numFmtId="168" fontId="0" fillId="0" borderId="16" xfId="0" applyNumberFormat="1" applyBorder="1"/>
    <xf numFmtId="168" fontId="0" fillId="0" borderId="25" xfId="0" applyNumberFormat="1" applyBorder="1"/>
    <xf numFmtId="168" fontId="0" fillId="0" borderId="25" xfId="4" applyNumberFormat="1" applyFont="1" applyBorder="1"/>
    <xf numFmtId="168" fontId="0" fillId="0" borderId="26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23" xfId="0" applyNumberFormat="1" applyBorder="1"/>
    <xf numFmtId="0" fontId="65" fillId="0" borderId="0" xfId="0" applyFont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168" fontId="0" fillId="0" borderId="24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13" borderId="0" xfId="0" applyFill="1"/>
    <xf numFmtId="2" fontId="40" fillId="13" borderId="0" xfId="0" applyNumberFormat="1" applyFont="1" applyFill="1" applyBorder="1"/>
    <xf numFmtId="0" fontId="5" fillId="13" borderId="0" xfId="0" applyFont="1" applyFill="1" applyBorder="1"/>
    <xf numFmtId="0" fontId="40" fillId="13" borderId="0" xfId="0" applyFont="1" applyFill="1" applyBorder="1"/>
    <xf numFmtId="0" fontId="18" fillId="0" borderId="0" xfId="0" applyFont="1"/>
    <xf numFmtId="9" fontId="54" fillId="0" borderId="18" xfId="3" applyFont="1" applyBorder="1" applyAlignment="1">
      <alignment horizontal="right" wrapText="1"/>
    </xf>
    <xf numFmtId="0" fontId="0" fillId="0" borderId="0" xfId="0" applyFont="1" applyBorder="1"/>
    <xf numFmtId="0" fontId="0" fillId="14" borderId="0" xfId="0" applyFill="1"/>
    <xf numFmtId="0" fontId="26" fillId="0" borderId="0" xfId="0" applyFont="1" applyAlignment="1">
      <alignment horizontal="right"/>
    </xf>
    <xf numFmtId="164" fontId="0" fillId="0" borderId="0" xfId="0" applyNumberFormat="1" applyFill="1"/>
    <xf numFmtId="0" fontId="5" fillId="14" borderId="0" xfId="0" applyFont="1" applyFill="1" applyBorder="1"/>
    <xf numFmtId="49" fontId="0" fillId="14" borderId="0" xfId="0" applyNumberFormat="1" applyFill="1"/>
    <xf numFmtId="0" fontId="0" fillId="14" borderId="0" xfId="0" applyFont="1" applyFill="1" applyBorder="1"/>
    <xf numFmtId="164" fontId="53" fillId="14" borderId="17" xfId="0" applyNumberFormat="1" applyFont="1" applyFill="1" applyBorder="1"/>
    <xf numFmtId="0" fontId="53" fillId="14" borderId="17" xfId="0" applyFont="1" applyFill="1" applyBorder="1"/>
    <xf numFmtId="0" fontId="51" fillId="14" borderId="0" xfId="0" applyFont="1" applyFill="1" applyBorder="1"/>
    <xf numFmtId="164" fontId="1" fillId="14" borderId="0" xfId="4" applyFont="1" applyFill="1" applyBorder="1"/>
    <xf numFmtId="1" fontId="1" fillId="14" borderId="0" xfId="0" applyNumberFormat="1" applyFont="1" applyFill="1" applyBorder="1"/>
    <xf numFmtId="2" fontId="1" fillId="14" borderId="0" xfId="0" applyNumberFormat="1" applyFont="1" applyFill="1" applyBorder="1"/>
    <xf numFmtId="166" fontId="1" fillId="14" borderId="0" xfId="0" applyNumberFormat="1" applyFont="1" applyFill="1" applyBorder="1"/>
    <xf numFmtId="0" fontId="53" fillId="15" borderId="17" xfId="0" applyFont="1" applyFill="1" applyBorder="1"/>
    <xf numFmtId="10" fontId="0" fillId="11" borderId="0" xfId="0" applyNumberFormat="1" applyFill="1"/>
    <xf numFmtId="0" fontId="16" fillId="0" borderId="0" xfId="0" applyFont="1" applyFill="1"/>
    <xf numFmtId="0" fontId="12" fillId="0" borderId="0" xfId="1" applyFont="1" applyFill="1"/>
    <xf numFmtId="0" fontId="67" fillId="0" borderId="0" xfId="0" applyFont="1"/>
    <xf numFmtId="0" fontId="67" fillId="0" borderId="0" xfId="0" applyFont="1" applyFill="1"/>
    <xf numFmtId="0" fontId="60" fillId="0" borderId="0" xfId="0" applyFont="1" applyFill="1"/>
    <xf numFmtId="164" fontId="0" fillId="0" borderId="0" xfId="0" applyNumberFormat="1" applyFill="1" applyBorder="1"/>
    <xf numFmtId="165" fontId="0" fillId="0" borderId="0" xfId="0" applyNumberFormat="1"/>
    <xf numFmtId="165" fontId="0" fillId="13" borderId="0" xfId="0" applyNumberFormat="1" applyFill="1"/>
    <xf numFmtId="0" fontId="64" fillId="0" borderId="0" xfId="0" applyFont="1" applyFill="1"/>
    <xf numFmtId="164" fontId="0" fillId="0" borderId="16" xfId="0" applyNumberFormat="1" applyFill="1" applyBorder="1"/>
    <xf numFmtId="0" fontId="66" fillId="0" borderId="0" xfId="0" applyFont="1" applyFill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17" xfId="0" applyNumberFormat="1" applyFill="1" applyBorder="1"/>
    <xf numFmtId="164" fontId="0" fillId="0" borderId="23" xfId="0" applyNumberFormat="1" applyFill="1" applyBorder="1"/>
    <xf numFmtId="1" fontId="0" fillId="0" borderId="0" xfId="0" applyNumberFormat="1" applyFill="1"/>
    <xf numFmtId="0" fontId="0" fillId="0" borderId="0" xfId="0" applyFont="1"/>
    <xf numFmtId="0" fontId="0" fillId="16" borderId="0" xfId="0" applyFill="1"/>
    <xf numFmtId="0" fontId="68" fillId="0" borderId="0" xfId="0" applyFont="1"/>
    <xf numFmtId="0" fontId="5" fillId="0" borderId="0" xfId="0" applyNumberFormat="1" applyFont="1" applyBorder="1"/>
    <xf numFmtId="0" fontId="4" fillId="11" borderId="0" xfId="0" applyFont="1" applyFill="1"/>
    <xf numFmtId="0" fontId="40" fillId="0" borderId="0" xfId="0" applyFont="1" applyFill="1" applyBorder="1"/>
    <xf numFmtId="168" fontId="0" fillId="13" borderId="0" xfId="4" applyNumberFormat="1" applyFont="1" applyFill="1"/>
    <xf numFmtId="0" fontId="0" fillId="11" borderId="0" xfId="0" applyFill="1"/>
    <xf numFmtId="9" fontId="54" fillId="0" borderId="19" xfId="3" applyFont="1" applyBorder="1" applyAlignment="1">
      <alignment horizontal="right" wrapText="1"/>
    </xf>
    <xf numFmtId="0" fontId="54" fillId="0" borderId="0" xfId="0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66" fillId="0" borderId="0" xfId="0" applyFont="1"/>
    <xf numFmtId="0" fontId="0" fillId="17" borderId="0" xfId="0" applyFill="1"/>
    <xf numFmtId="164" fontId="0" fillId="11" borderId="0" xfId="0" applyNumberFormat="1" applyFill="1"/>
    <xf numFmtId="164" fontId="0" fillId="14" borderId="0" xfId="0" applyNumberFormat="1" applyFill="1"/>
    <xf numFmtId="164" fontId="0" fillId="0" borderId="16" xfId="4" applyFont="1" applyBorder="1"/>
    <xf numFmtId="164" fontId="0" fillId="0" borderId="26" xfId="4" applyFont="1" applyBorder="1"/>
    <xf numFmtId="164" fontId="55" fillId="0" borderId="0" xfId="4" applyFont="1" applyFill="1" applyBorder="1"/>
    <xf numFmtId="164" fontId="0" fillId="0" borderId="17" xfId="4" applyFont="1" applyBorder="1"/>
    <xf numFmtId="164" fontId="67" fillId="0" borderId="29" xfId="4" applyFont="1" applyFill="1" applyBorder="1"/>
    <xf numFmtId="164" fontId="67" fillId="0" borderId="28" xfId="4" applyFont="1" applyFill="1" applyBorder="1"/>
    <xf numFmtId="0" fontId="5" fillId="17" borderId="0" xfId="0" applyFont="1" applyFill="1" applyBorder="1"/>
    <xf numFmtId="0" fontId="49" fillId="17" borderId="0" xfId="0" applyFont="1" applyFill="1"/>
    <xf numFmtId="0" fontId="16" fillId="17" borderId="0" xfId="0" applyFont="1" applyFill="1"/>
    <xf numFmtId="164" fontId="5" fillId="17" borderId="0" xfId="0" applyNumberFormat="1" applyFont="1" applyFill="1" applyBorder="1"/>
    <xf numFmtId="164" fontId="51" fillId="17" borderId="0" xfId="0" applyNumberFormat="1" applyFont="1" applyFill="1" applyBorder="1"/>
    <xf numFmtId="0" fontId="45" fillId="17" borderId="0" xfId="1" applyFont="1" applyFill="1"/>
    <xf numFmtId="9" fontId="5" fillId="17" borderId="0" xfId="0" applyNumberFormat="1" applyFont="1" applyFill="1" applyBorder="1"/>
    <xf numFmtId="0" fontId="5" fillId="17" borderId="0" xfId="0" applyFont="1" applyFill="1" applyBorder="1" applyAlignment="1">
      <alignment wrapText="1"/>
    </xf>
    <xf numFmtId="164" fontId="5" fillId="17" borderId="16" xfId="4" applyFont="1" applyFill="1" applyBorder="1" applyAlignment="1">
      <alignment horizontal="right"/>
    </xf>
    <xf numFmtId="164" fontId="5" fillId="17" borderId="0" xfId="4" applyFont="1" applyFill="1" applyBorder="1" applyAlignment="1">
      <alignment horizontal="right"/>
    </xf>
    <xf numFmtId="164" fontId="57" fillId="0" borderId="0" xfId="4" applyFont="1"/>
    <xf numFmtId="164" fontId="4" fillId="0" borderId="0" xfId="3" applyNumberFormat="1" applyFont="1"/>
    <xf numFmtId="0" fontId="1" fillId="0" borderId="0" xfId="1" applyFont="1" applyFill="1" applyBorder="1"/>
    <xf numFmtId="2" fontId="1" fillId="0" borderId="26" xfId="1" applyNumberFormat="1" applyFont="1" applyFill="1" applyBorder="1"/>
    <xf numFmtId="0" fontId="12" fillId="0" borderId="16" xfId="1" applyFont="1" applyBorder="1"/>
    <xf numFmtId="0" fontId="12" fillId="0" borderId="0" xfId="1" applyFont="1" applyBorder="1"/>
    <xf numFmtId="0" fontId="0" fillId="18" borderId="0" xfId="0" applyFill="1"/>
    <xf numFmtId="0" fontId="62" fillId="18" borderId="0" xfId="0" applyFont="1" applyFill="1"/>
    <xf numFmtId="168" fontId="0" fillId="18" borderId="0" xfId="4" applyNumberFormat="1" applyFont="1" applyFill="1"/>
    <xf numFmtId="168" fontId="0" fillId="0" borderId="24" xfId="4" applyNumberFormat="1" applyFont="1" applyBorder="1"/>
    <xf numFmtId="168" fontId="0" fillId="0" borderId="21" xfId="4" applyNumberFormat="1" applyFont="1" applyBorder="1"/>
    <xf numFmtId="168" fontId="0" fillId="0" borderId="20" xfId="4" applyNumberFormat="1" applyFont="1" applyBorder="1"/>
    <xf numFmtId="0" fontId="0" fillId="19" borderId="0" xfId="0" applyFill="1"/>
    <xf numFmtId="0" fontId="0" fillId="0" borderId="25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168" fontId="0" fillId="0" borderId="25" xfId="0" applyNumberFormat="1" applyFill="1" applyBorder="1"/>
    <xf numFmtId="168" fontId="0" fillId="0" borderId="0" xfId="0" applyNumberFormat="1" applyFill="1" applyBorder="1"/>
    <xf numFmtId="168" fontId="0" fillId="0" borderId="23" xfId="0" applyNumberFormat="1" applyFill="1" applyBorder="1"/>
    <xf numFmtId="168" fontId="0" fillId="19" borderId="0" xfId="0" applyNumberFormat="1" applyFill="1" applyBorder="1"/>
    <xf numFmtId="164" fontId="0" fillId="19" borderId="0" xfId="0" applyNumberFormat="1" applyFill="1"/>
    <xf numFmtId="164" fontId="0" fillId="19" borderId="16" xfId="0" applyNumberFormat="1" applyFill="1" applyBorder="1"/>
    <xf numFmtId="0" fontId="61" fillId="0" borderId="0" xfId="1" applyNumberFormat="1" applyFont="1" applyFill="1"/>
    <xf numFmtId="165" fontId="2" fillId="0" borderId="0" xfId="1" applyNumberFormat="1"/>
    <xf numFmtId="0" fontId="61" fillId="0" borderId="0" xfId="0" applyNumberFormat="1" applyFont="1" applyBorder="1"/>
    <xf numFmtId="0" fontId="72" fillId="0" borderId="0" xfId="1" applyFont="1" applyBorder="1"/>
    <xf numFmtId="0" fontId="61" fillId="0" borderId="0" xfId="1" applyFont="1" applyBorder="1"/>
    <xf numFmtId="0" fontId="60" fillId="0" borderId="0" xfId="1" applyFont="1" applyFill="1" applyBorder="1"/>
    <xf numFmtId="0" fontId="60" fillId="0" borderId="0" xfId="1" applyNumberFormat="1" applyFont="1" applyFill="1" applyBorder="1"/>
    <xf numFmtId="2" fontId="60" fillId="0" borderId="0" xfId="1" applyNumberFormat="1" applyFont="1" applyFill="1" applyBorder="1"/>
    <xf numFmtId="164" fontId="15" fillId="0" borderId="0" xfId="1" applyNumberFormat="1" applyFont="1" applyBorder="1"/>
    <xf numFmtId="0" fontId="15" fillId="0" borderId="0" xfId="1" applyFont="1" applyBorder="1"/>
    <xf numFmtId="0" fontId="18" fillId="0" borderId="0" xfId="1" applyFont="1" applyFill="1" applyBorder="1"/>
    <xf numFmtId="0" fontId="25" fillId="0" borderId="0" xfId="1" applyFont="1" applyBorder="1"/>
    <xf numFmtId="0" fontId="2" fillId="0" borderId="0" xfId="1" applyFont="1" applyBorder="1"/>
    <xf numFmtId="167" fontId="0" fillId="0" borderId="9" xfId="0" applyNumberFormat="1" applyFont="1" applyBorder="1"/>
    <xf numFmtId="0" fontId="23" fillId="0" borderId="0" xfId="1" applyFont="1" applyBorder="1"/>
    <xf numFmtId="16" fontId="71" fillId="0" borderId="0" xfId="0" applyNumberFormat="1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164" fontId="0" fillId="14" borderId="0" xfId="4" applyFont="1" applyFill="1"/>
    <xf numFmtId="0" fontId="0" fillId="20" borderId="0" xfId="0" applyFill="1"/>
    <xf numFmtId="164" fontId="0" fillId="20" borderId="0" xfId="0" applyNumberFormat="1" applyFill="1"/>
    <xf numFmtId="4" fontId="0" fillId="20" borderId="0" xfId="0" applyNumberFormat="1" applyFill="1"/>
    <xf numFmtId="1" fontId="0" fillId="20" borderId="0" xfId="0" applyNumberFormat="1" applyFill="1"/>
    <xf numFmtId="0" fontId="41" fillId="0" borderId="22" xfId="0" applyFont="1" applyBorder="1" applyAlignment="1">
      <alignment horizontal="right" wrapText="1"/>
    </xf>
    <xf numFmtId="4" fontId="22" fillId="15" borderId="27" xfId="1" applyNumberFormat="1" applyFont="1" applyFill="1" applyBorder="1"/>
    <xf numFmtId="170" fontId="0" fillId="0" borderId="0" xfId="0" applyNumberFormat="1"/>
    <xf numFmtId="0" fontId="73" fillId="0" borderId="0" xfId="1" applyFont="1" applyFill="1"/>
    <xf numFmtId="4" fontId="0" fillId="11" borderId="0" xfId="0" applyNumberFormat="1" applyFill="1"/>
    <xf numFmtId="0" fontId="20" fillId="0" borderId="0" xfId="1" applyFont="1" applyFill="1"/>
    <xf numFmtId="164" fontId="15" fillId="0" borderId="0" xfId="1" applyNumberFormat="1" applyFont="1" applyFill="1" applyBorder="1"/>
    <xf numFmtId="0" fontId="15" fillId="0" borderId="0" xfId="1" applyFont="1" applyFill="1" applyBorder="1"/>
    <xf numFmtId="0" fontId="25" fillId="0" borderId="0" xfId="1" applyFont="1" applyFill="1" applyBorder="1"/>
    <xf numFmtId="0" fontId="16" fillId="14" borderId="0" xfId="1" applyFont="1" applyFill="1" applyBorder="1"/>
    <xf numFmtId="0" fontId="12" fillId="14" borderId="25" xfId="1" applyFont="1" applyFill="1" applyBorder="1"/>
    <xf numFmtId="0" fontId="12" fillId="14" borderId="0" xfId="1" applyFont="1" applyFill="1" applyBorder="1"/>
    <xf numFmtId="0" fontId="12" fillId="14" borderId="23" xfId="1" applyFont="1" applyFill="1" applyBorder="1"/>
    <xf numFmtId="0" fontId="1" fillId="14" borderId="0" xfId="1" applyFont="1" applyFill="1" applyBorder="1"/>
    <xf numFmtId="164" fontId="54" fillId="10" borderId="14" xfId="4" applyFont="1" applyFill="1" applyBorder="1"/>
    <xf numFmtId="167" fontId="22" fillId="15" borderId="0" xfId="1" applyNumberFormat="1" applyFont="1" applyFill="1" applyBorder="1"/>
    <xf numFmtId="4" fontId="22" fillId="0" borderId="0" xfId="1" applyNumberFormat="1" applyFont="1" applyFill="1" applyBorder="1"/>
    <xf numFmtId="4" fontId="9" fillId="0" borderId="0" xfId="1" applyNumberFormat="1" applyFont="1" applyFill="1" applyBorder="1"/>
    <xf numFmtId="4" fontId="22" fillId="15" borderId="0" xfId="1" applyNumberFormat="1" applyFont="1" applyFill="1" applyBorder="1"/>
    <xf numFmtId="3" fontId="0" fillId="0" borderId="0" xfId="0" applyNumberFormat="1" applyFont="1" applyBorder="1"/>
    <xf numFmtId="3" fontId="2" fillId="0" borderId="0" xfId="1" applyNumberFormat="1" applyFont="1" applyFill="1" applyBorder="1"/>
    <xf numFmtId="3" fontId="0" fillId="14" borderId="0" xfId="0" applyNumberFormat="1" applyFont="1" applyFill="1" applyBorder="1"/>
    <xf numFmtId="0" fontId="16" fillId="0" borderId="0" xfId="1" applyNumberFormat="1" applyFont="1" applyFill="1" applyBorder="1"/>
    <xf numFmtId="0" fontId="16" fillId="0" borderId="0" xfId="0" applyNumberFormat="1" applyFont="1" applyBorder="1"/>
    <xf numFmtId="0" fontId="16" fillId="14" borderId="0" xfId="1" applyNumberFormat="1" applyFont="1" applyFill="1" applyBorder="1"/>
    <xf numFmtId="0" fontId="12" fillId="0" borderId="26" xfId="1" applyFont="1" applyBorder="1"/>
    <xf numFmtId="0" fontId="12" fillId="0" borderId="17" xfId="1" applyFont="1" applyBorder="1"/>
    <xf numFmtId="0" fontId="2" fillId="11" borderId="0" xfId="1" applyFill="1"/>
    <xf numFmtId="0" fontId="23" fillId="11" borderId="0" xfId="1" applyFont="1" applyFill="1"/>
    <xf numFmtId="0" fontId="12" fillId="11" borderId="0" xfId="1" applyFont="1" applyFill="1"/>
    <xf numFmtId="0" fontId="26" fillId="11" borderId="0" xfId="1" applyFont="1" applyFill="1" applyBorder="1"/>
    <xf numFmtId="2" fontId="15" fillId="11" borderId="0" xfId="1" applyNumberFormat="1" applyFont="1" applyFill="1"/>
    <xf numFmtId="167" fontId="0" fillId="0" borderId="18" xfId="0" applyNumberFormat="1" applyFont="1" applyBorder="1"/>
    <xf numFmtId="167" fontId="0" fillId="0" borderId="10" xfId="0" applyNumberFormat="1" applyFont="1" applyBorder="1"/>
    <xf numFmtId="164" fontId="15" fillId="0" borderId="0" xfId="4" applyFont="1" applyBorder="1"/>
    <xf numFmtId="164" fontId="15" fillId="0" borderId="0" xfId="4" applyFont="1" applyFill="1" applyBorder="1"/>
    <xf numFmtId="164" fontId="18" fillId="15" borderId="9" xfId="4" applyFont="1" applyFill="1" applyBorder="1" applyAlignment="1">
      <alignment horizontal="right"/>
    </xf>
    <xf numFmtId="164" fontId="18" fillId="15" borderId="18" xfId="4" applyFont="1" applyFill="1" applyBorder="1" applyAlignment="1">
      <alignment horizontal="right"/>
    </xf>
    <xf numFmtId="164" fontId="18" fillId="15" borderId="10" xfId="4" applyFont="1" applyFill="1" applyBorder="1" applyAlignment="1">
      <alignment horizontal="right"/>
    </xf>
    <xf numFmtId="167" fontId="60" fillId="15" borderId="1" xfId="1" applyNumberFormat="1" applyFont="1" applyFill="1" applyBorder="1"/>
    <xf numFmtId="167" fontId="60" fillId="15" borderId="4" xfId="1" applyNumberFormat="1" applyFont="1" applyFill="1" applyBorder="1"/>
    <xf numFmtId="167" fontId="60" fillId="15" borderId="6" xfId="1" applyNumberFormat="1" applyFont="1" applyFill="1" applyBorder="1"/>
    <xf numFmtId="0" fontId="16" fillId="0" borderId="16" xfId="1" applyNumberFormat="1" applyFont="1" applyBorder="1"/>
    <xf numFmtId="0" fontId="16" fillId="0" borderId="25" xfId="1" applyNumberFormat="1" applyFont="1" applyFill="1" applyBorder="1"/>
    <xf numFmtId="0" fontId="16" fillId="0" borderId="25" xfId="1" applyNumberFormat="1" applyFont="1" applyBorder="1"/>
    <xf numFmtId="0" fontId="16" fillId="0" borderId="24" xfId="1" applyNumberFormat="1" applyFont="1" applyBorder="1"/>
    <xf numFmtId="0" fontId="16" fillId="0" borderId="16" xfId="1" applyNumberFormat="1" applyFont="1" applyBorder="1" applyAlignment="1">
      <alignment horizontal="center"/>
    </xf>
    <xf numFmtId="0" fontId="16" fillId="0" borderId="25" xfId="1" applyNumberFormat="1" applyFont="1" applyFill="1" applyBorder="1" applyAlignment="1">
      <alignment horizontal="center"/>
    </xf>
    <xf numFmtId="0" fontId="16" fillId="0" borderId="25" xfId="1" applyNumberFormat="1" applyFont="1" applyBorder="1" applyAlignment="1">
      <alignment horizontal="center"/>
    </xf>
    <xf numFmtId="0" fontId="16" fillId="0" borderId="24" xfId="1" applyNumberFormat="1" applyFont="1" applyBorder="1" applyAlignment="1">
      <alignment horizontal="center"/>
    </xf>
    <xf numFmtId="169" fontId="18" fillId="0" borderId="0" xfId="1" applyNumberFormat="1" applyFont="1" applyBorder="1" applyAlignment="1">
      <alignment horizontal="center"/>
    </xf>
    <xf numFmtId="169" fontId="18" fillId="0" borderId="0" xfId="1" applyNumberFormat="1" applyFont="1" applyFill="1" applyBorder="1" applyAlignment="1">
      <alignment horizontal="center"/>
    </xf>
    <xf numFmtId="169" fontId="18" fillId="0" borderId="19" xfId="1" applyNumberFormat="1" applyFont="1" applyBorder="1" applyAlignment="1">
      <alignment horizontal="center"/>
    </xf>
    <xf numFmtId="167" fontId="18" fillId="15" borderId="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9" fontId="18" fillId="0" borderId="23" xfId="1" applyNumberFormat="1" applyFont="1" applyBorder="1" applyAlignment="1">
      <alignment horizontal="center"/>
    </xf>
    <xf numFmtId="169" fontId="18" fillId="0" borderId="23" xfId="1" applyNumberFormat="1" applyFont="1" applyFill="1" applyBorder="1" applyAlignment="1">
      <alignment horizontal="center"/>
    </xf>
    <xf numFmtId="169" fontId="18" fillId="0" borderId="22" xfId="1" applyNumberFormat="1" applyFont="1" applyBorder="1" applyAlignment="1">
      <alignment horizontal="center"/>
    </xf>
    <xf numFmtId="4" fontId="61" fillId="15" borderId="1" xfId="1" applyNumberFormat="1" applyFont="1" applyFill="1" applyBorder="1"/>
    <xf numFmtId="4" fontId="61" fillId="0" borderId="4" xfId="1" applyNumberFormat="1" applyFont="1" applyFill="1" applyBorder="1"/>
    <xf numFmtId="4" fontId="61" fillId="0" borderId="6" xfId="1" applyNumberFormat="1" applyFont="1" applyFill="1" applyBorder="1"/>
    <xf numFmtId="0" fontId="2" fillId="14" borderId="0" xfId="1" applyFont="1" applyFill="1"/>
    <xf numFmtId="0" fontId="16" fillId="14" borderId="25" xfId="1" applyNumberFormat="1" applyFont="1" applyFill="1" applyBorder="1"/>
    <xf numFmtId="4" fontId="1" fillId="14" borderId="0" xfId="1" applyNumberFormat="1" applyFont="1" applyFill="1" applyBorder="1"/>
    <xf numFmtId="4" fontId="1" fillId="14" borderId="23" xfId="1" applyNumberFormat="1" applyFont="1" applyFill="1" applyBorder="1"/>
    <xf numFmtId="0" fontId="16" fillId="14" borderId="25" xfId="1" applyNumberFormat="1" applyFont="1" applyFill="1" applyBorder="1" applyAlignment="1">
      <alignment horizontal="center"/>
    </xf>
    <xf numFmtId="169" fontId="18" fillId="14" borderId="0" xfId="1" applyNumberFormat="1" applyFont="1" applyFill="1" applyBorder="1" applyAlignment="1">
      <alignment horizontal="center"/>
    </xf>
    <xf numFmtId="169" fontId="18" fillId="14" borderId="23" xfId="1" applyNumberFormat="1" applyFont="1" applyFill="1" applyBorder="1" applyAlignment="1">
      <alignment horizontal="center"/>
    </xf>
    <xf numFmtId="169" fontId="18" fillId="0" borderId="26" xfId="1" applyNumberFormat="1" applyFont="1" applyBorder="1" applyAlignment="1">
      <alignment horizontal="right" vertical="center"/>
    </xf>
    <xf numFmtId="167" fontId="18" fillId="15" borderId="26" xfId="1" applyNumberFormat="1" applyFont="1" applyFill="1" applyBorder="1" applyAlignment="1">
      <alignment horizontal="right" vertical="center"/>
    </xf>
    <xf numFmtId="169" fontId="18" fillId="0" borderId="17" xfId="1" applyNumberFormat="1" applyFont="1" applyBorder="1" applyAlignment="1">
      <alignment horizontal="right" vertical="center"/>
    </xf>
    <xf numFmtId="0" fontId="41" fillId="0" borderId="0" xfId="0" applyFont="1" applyBorder="1" applyAlignment="1">
      <alignment horizontal="right" wrapText="1"/>
    </xf>
    <xf numFmtId="164" fontId="0" fillId="0" borderId="0" xfId="4" applyFont="1" applyBorder="1"/>
    <xf numFmtId="164" fontId="0" fillId="0" borderId="9" xfId="4" applyFont="1" applyBorder="1"/>
    <xf numFmtId="164" fontId="0" fillId="0" borderId="18" xfId="4" applyFont="1" applyBorder="1"/>
    <xf numFmtId="164" fontId="0" fillId="0" borderId="10" xfId="4" applyFont="1" applyBorder="1"/>
    <xf numFmtId="0" fontId="16" fillId="21" borderId="0" xfId="0" applyFont="1" applyFill="1"/>
    <xf numFmtId="164" fontId="0" fillId="21" borderId="0" xfId="4" applyFont="1" applyFill="1" applyBorder="1"/>
    <xf numFmtId="9" fontId="0" fillId="11" borderId="0" xfId="0" applyNumberFormat="1" applyFill="1"/>
    <xf numFmtId="164" fontId="0" fillId="0" borderId="26" xfId="4" applyNumberFormat="1" applyFont="1" applyBorder="1"/>
    <xf numFmtId="43" fontId="0" fillId="0" borderId="0" xfId="0" applyNumberFormat="1"/>
    <xf numFmtId="164" fontId="0" fillId="0" borderId="0" xfId="4" applyFont="1" applyFill="1" applyBorder="1"/>
    <xf numFmtId="0" fontId="61" fillId="0" borderId="0" xfId="0" applyFont="1" applyFill="1" applyBorder="1"/>
    <xf numFmtId="164" fontId="60" fillId="0" borderId="0" xfId="4" applyFont="1" applyFill="1" applyBorder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wrapText="1"/>
    </xf>
    <xf numFmtId="0" fontId="60" fillId="18" borderId="25" xfId="0" applyFont="1" applyFill="1" applyBorder="1"/>
    <xf numFmtId="0" fontId="60" fillId="14" borderId="26" xfId="0" applyFont="1" applyFill="1" applyBorder="1"/>
    <xf numFmtId="0" fontId="60" fillId="18" borderId="0" xfId="0" applyFont="1" applyFill="1" applyBorder="1"/>
    <xf numFmtId="0" fontId="60" fillId="18" borderId="23" xfId="0" applyFont="1" applyFill="1" applyBorder="1"/>
    <xf numFmtId="0" fontId="61" fillId="0" borderId="0" xfId="0" applyFont="1" applyFill="1"/>
    <xf numFmtId="0" fontId="61" fillId="18" borderId="0" xfId="0" applyFont="1" applyFill="1"/>
    <xf numFmtId="0" fontId="60" fillId="18" borderId="16" xfId="0" applyFont="1" applyFill="1" applyBorder="1"/>
    <xf numFmtId="0" fontId="16" fillId="22" borderId="0" xfId="0" applyFont="1" applyFill="1"/>
    <xf numFmtId="164" fontId="0" fillId="22" borderId="16" xfId="4" applyFont="1" applyFill="1" applyBorder="1"/>
    <xf numFmtId="9" fontId="0" fillId="0" borderId="0" xfId="3" applyFont="1" applyFill="1"/>
    <xf numFmtId="164" fontId="0" fillId="0" borderId="26" xfId="4" applyFont="1" applyFill="1" applyBorder="1"/>
    <xf numFmtId="168" fontId="0" fillId="0" borderId="25" xfId="4" applyNumberFormat="1" applyFont="1" applyFill="1" applyBorder="1"/>
    <xf numFmtId="168" fontId="0" fillId="0" borderId="21" xfId="4" applyNumberFormat="1" applyFont="1" applyFill="1" applyBorder="1"/>
    <xf numFmtId="0" fontId="60" fillId="0" borderId="25" xfId="0" applyFont="1" applyFill="1" applyBorder="1"/>
    <xf numFmtId="0" fontId="60" fillId="0" borderId="23" xfId="0" applyFont="1" applyFill="1" applyBorder="1"/>
    <xf numFmtId="9" fontId="0" fillId="0" borderId="0" xfId="0" applyNumberFormat="1" applyFill="1"/>
    <xf numFmtId="164" fontId="0" fillId="0" borderId="26" xfId="4" applyNumberFormat="1" applyFont="1" applyFill="1" applyBorder="1"/>
    <xf numFmtId="43" fontId="0" fillId="0" borderId="0" xfId="0" applyNumberFormat="1" applyFill="1" applyBorder="1"/>
    <xf numFmtId="9" fontId="0" fillId="0" borderId="0" xfId="3" applyFont="1" applyFill="1" applyBorder="1"/>
    <xf numFmtId="4" fontId="74" fillId="0" borderId="30" xfId="5" applyNumberFormat="1" applyProtection="1">
      <alignment horizontal="right"/>
    </xf>
    <xf numFmtId="4" fontId="75" fillId="0" borderId="30" xfId="0" applyNumberFormat="1" applyFont="1" applyBorder="1" applyAlignment="1">
      <alignment horizontal="right"/>
    </xf>
    <xf numFmtId="164" fontId="1" fillId="18" borderId="0" xfId="4" applyFont="1" applyFill="1" applyBorder="1"/>
    <xf numFmtId="164" fontId="0" fillId="0" borderId="16" xfId="4" applyFont="1" applyFill="1" applyBorder="1"/>
    <xf numFmtId="168" fontId="1" fillId="0" borderId="16" xfId="4" applyNumberFormat="1" applyFont="1" applyFill="1" applyBorder="1"/>
    <xf numFmtId="168" fontId="1" fillId="14" borderId="25" xfId="1" applyNumberFormat="1" applyFont="1" applyFill="1" applyBorder="1"/>
    <xf numFmtId="168" fontId="1" fillId="0" borderId="0" xfId="1" applyNumberFormat="1" applyFont="1" applyFill="1" applyBorder="1"/>
    <xf numFmtId="168" fontId="1" fillId="14" borderId="0" xfId="1" applyNumberFormat="1" applyFont="1" applyFill="1" applyBorder="1"/>
    <xf numFmtId="168" fontId="0" fillId="14" borderId="0" xfId="1" applyNumberFormat="1" applyFont="1" applyFill="1" applyBorder="1"/>
    <xf numFmtId="168" fontId="1" fillId="0" borderId="23" xfId="1" applyNumberFormat="1" applyFont="1" applyFill="1" applyBorder="1"/>
    <xf numFmtId="168" fontId="1" fillId="14" borderId="23" xfId="1" applyNumberFormat="1" applyFont="1" applyFill="1" applyBorder="1"/>
    <xf numFmtId="2" fontId="1" fillId="0" borderId="16" xfId="1" applyNumberFormat="1" applyFont="1" applyFill="1" applyBorder="1"/>
    <xf numFmtId="2" fontId="1" fillId="14" borderId="25" xfId="1" applyNumberFormat="1" applyFont="1" applyFill="1" applyBorder="1"/>
    <xf numFmtId="2" fontId="1" fillId="14" borderId="0" xfId="1" applyNumberFormat="1" applyFont="1" applyFill="1" applyBorder="1"/>
    <xf numFmtId="2" fontId="1" fillId="0" borderId="17" xfId="1" applyNumberFormat="1" applyFont="1" applyFill="1" applyBorder="1"/>
    <xf numFmtId="2" fontId="1" fillId="14" borderId="23" xfId="1" applyNumberFormat="1" applyFont="1" applyFill="1" applyBorder="1"/>
    <xf numFmtId="0" fontId="2" fillId="0" borderId="9" xfId="1" applyBorder="1"/>
    <xf numFmtId="0" fontId="2" fillId="0" borderId="18" xfId="1" applyFill="1" applyBorder="1"/>
    <xf numFmtId="0" fontId="2" fillId="0" borderId="18" xfId="1" applyFont="1" applyFill="1" applyBorder="1"/>
    <xf numFmtId="0" fontId="2" fillId="0" borderId="18" xfId="1" applyBorder="1"/>
    <xf numFmtId="0" fontId="2" fillId="0" borderId="10" xfId="1" applyBorder="1"/>
    <xf numFmtId="164" fontId="0" fillId="0" borderId="22" xfId="0" applyNumberFormat="1" applyFill="1" applyBorder="1"/>
    <xf numFmtId="164" fontId="0" fillId="0" borderId="21" xfId="4" applyFont="1" applyFill="1" applyBorder="1"/>
    <xf numFmtId="164" fontId="0" fillId="20" borderId="0" xfId="4" applyFont="1" applyFill="1" applyBorder="1"/>
    <xf numFmtId="164" fontId="0" fillId="0" borderId="29" xfId="4" applyFont="1" applyFill="1" applyBorder="1"/>
    <xf numFmtId="0" fontId="60" fillId="18" borderId="28" xfId="0" applyFont="1" applyFill="1" applyBorder="1"/>
    <xf numFmtId="0" fontId="0" fillId="0" borderId="16" xfId="3" applyNumberFormat="1" applyFont="1" applyBorder="1"/>
    <xf numFmtId="0" fontId="0" fillId="0" borderId="25" xfId="3" applyNumberFormat="1" applyFont="1" applyBorder="1"/>
    <xf numFmtId="0" fontId="60" fillId="14" borderId="25" xfId="0" applyFont="1" applyFill="1" applyBorder="1"/>
    <xf numFmtId="0" fontId="0" fillId="0" borderId="26" xfId="3" applyNumberFormat="1" applyFont="1" applyBorder="1"/>
    <xf numFmtId="0" fontId="0" fillId="0" borderId="0" xfId="3" applyNumberFormat="1" applyFont="1" applyBorder="1"/>
    <xf numFmtId="0" fontId="60" fillId="14" borderId="0" xfId="0" applyFont="1" applyFill="1" applyBorder="1"/>
    <xf numFmtId="0" fontId="0" fillId="0" borderId="17" xfId="3" applyNumberFormat="1" applyFont="1" applyBorder="1"/>
    <xf numFmtId="0" fontId="0" fillId="0" borderId="23" xfId="3" applyNumberFormat="1" applyFont="1" applyBorder="1"/>
    <xf numFmtId="0" fontId="60" fillId="14" borderId="23" xfId="0" applyFont="1" applyFill="1" applyBorder="1"/>
    <xf numFmtId="0" fontId="60" fillId="18" borderId="29" xfId="0" applyFont="1" applyFill="1" applyBorder="1"/>
    <xf numFmtId="0" fontId="61" fillId="0" borderId="28" xfId="0" applyFont="1" applyBorder="1"/>
    <xf numFmtId="170" fontId="0" fillId="0" borderId="0" xfId="0" applyNumberFormat="1" applyFill="1" applyBorder="1"/>
    <xf numFmtId="164" fontId="0" fillId="0" borderId="19" xfId="0" applyNumberFormat="1" applyFill="1" applyBorder="1"/>
    <xf numFmtId="164" fontId="0" fillId="14" borderId="16" xfId="0" applyNumberFormat="1" applyFill="1" applyBorder="1"/>
    <xf numFmtId="164" fontId="0" fillId="14" borderId="25" xfId="0" applyNumberFormat="1" applyFill="1" applyBorder="1"/>
    <xf numFmtId="164" fontId="0" fillId="14" borderId="0" xfId="0" applyNumberFormat="1" applyFill="1" applyBorder="1"/>
    <xf numFmtId="164" fontId="0" fillId="14" borderId="23" xfId="0" applyNumberFormat="1" applyFill="1" applyBorder="1"/>
    <xf numFmtId="0" fontId="76" fillId="0" borderId="0" xfId="0" applyFont="1" applyAlignment="1">
      <alignment horizontal="center" vertical="center" readingOrder="1"/>
    </xf>
    <xf numFmtId="4" fontId="78" fillId="0" borderId="0" xfId="0" applyNumberFormat="1" applyFont="1" applyAlignment="1">
      <alignment horizontal="center" vertical="center" readingOrder="1"/>
    </xf>
    <xf numFmtId="4" fontId="77" fillId="0" borderId="0" xfId="0" applyNumberFormat="1" applyFont="1"/>
    <xf numFmtId="0" fontId="60" fillId="23" borderId="16" xfId="0" applyFont="1" applyFill="1" applyBorder="1"/>
    <xf numFmtId="0" fontId="60" fillId="23" borderId="9" xfId="0" applyFont="1" applyFill="1" applyBorder="1"/>
    <xf numFmtId="0" fontId="60" fillId="23" borderId="29" xfId="0" applyFont="1" applyFill="1" applyBorder="1"/>
    <xf numFmtId="0" fontId="60" fillId="23" borderId="28" xfId="0" applyFont="1" applyFill="1" applyBorder="1"/>
    <xf numFmtId="0" fontId="0" fillId="0" borderId="9" xfId="0" applyBorder="1"/>
    <xf numFmtId="0" fontId="0" fillId="0" borderId="29" xfId="0" applyBorder="1"/>
    <xf numFmtId="0" fontId="0" fillId="0" borderId="28" xfId="0" applyBorder="1"/>
    <xf numFmtId="0" fontId="79" fillId="0" borderId="0" xfId="0" applyFont="1"/>
    <xf numFmtId="0" fontId="80" fillId="0" borderId="0" xfId="0" applyFont="1"/>
    <xf numFmtId="0" fontId="0" fillId="0" borderId="21" xfId="0" applyBorder="1"/>
    <xf numFmtId="0" fontId="0" fillId="0" borderId="0" xfId="0"/>
    <xf numFmtId="0" fontId="0" fillId="0" borderId="0" xfId="0" applyBorder="1"/>
    <xf numFmtId="0" fontId="4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 applyBorder="1" applyAlignment="1">
      <alignment vertical="center"/>
    </xf>
    <xf numFmtId="0" fontId="0" fillId="24" borderId="0" xfId="0" applyFill="1"/>
    <xf numFmtId="164" fontId="0" fillId="0" borderId="25" xfId="4" applyFont="1" applyBorder="1"/>
    <xf numFmtId="164" fontId="0" fillId="0" borderId="23" xfId="4" applyFont="1" applyBorder="1"/>
    <xf numFmtId="0" fontId="0" fillId="0" borderId="0" xfId="0" applyNumberFormat="1"/>
    <xf numFmtId="0" fontId="0" fillId="0" borderId="21" xfId="0" applyFill="1" applyBorder="1"/>
    <xf numFmtId="164" fontId="0" fillId="0" borderId="25" xfId="4" applyFont="1" applyFill="1" applyBorder="1"/>
    <xf numFmtId="164" fontId="0" fillId="0" borderId="23" xfId="4" applyFont="1" applyFill="1" applyBorder="1"/>
    <xf numFmtId="0" fontId="41" fillId="0" borderId="0" xfId="0" applyFont="1" applyFill="1" applyBorder="1" applyAlignment="1">
      <alignment horizontal="right" vertical="center" wrapText="1"/>
    </xf>
    <xf numFmtId="0" fontId="0" fillId="0" borderId="29" xfId="0" applyFill="1" applyBorder="1"/>
    <xf numFmtId="0" fontId="0" fillId="14" borderId="20" xfId="0" applyFill="1" applyBorder="1"/>
    <xf numFmtId="0" fontId="0" fillId="14" borderId="0" xfId="0" applyFill="1" applyBorder="1"/>
    <xf numFmtId="164" fontId="0" fillId="14" borderId="24" xfId="4" applyFont="1" applyFill="1" applyBorder="1"/>
    <xf numFmtId="164" fontId="0" fillId="14" borderId="19" xfId="4" applyFont="1" applyFill="1" applyBorder="1"/>
    <xf numFmtId="164" fontId="0" fillId="14" borderId="22" xfId="4" applyFont="1" applyFill="1" applyBorder="1"/>
    <xf numFmtId="0" fontId="41" fillId="14" borderId="0" xfId="0" applyFont="1" applyFill="1" applyBorder="1" applyAlignment="1">
      <alignment horizontal="right" vertical="center" wrapText="1"/>
    </xf>
    <xf numFmtId="0" fontId="0" fillId="14" borderId="24" xfId="0" applyFill="1" applyBorder="1"/>
    <xf numFmtId="0" fontId="0" fillId="14" borderId="16" xfId="0" applyFill="1" applyBorder="1"/>
    <xf numFmtId="0" fontId="0" fillId="14" borderId="29" xfId="0" applyFill="1" applyBorder="1"/>
    <xf numFmtId="164" fontId="0" fillId="0" borderId="24" xfId="4" applyFont="1" applyBorder="1"/>
    <xf numFmtId="0" fontId="16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29" xfId="4" applyFont="1" applyBorder="1"/>
    <xf numFmtId="164" fontId="0" fillId="0" borderId="21" xfId="4" applyFont="1" applyBorder="1"/>
    <xf numFmtId="164" fontId="0" fillId="14" borderId="20" xfId="4" applyFont="1" applyFill="1" applyBorder="1"/>
    <xf numFmtId="1" fontId="16" fillId="0" borderId="0" xfId="0" applyNumberFormat="1" applyFont="1"/>
    <xf numFmtId="0" fontId="86" fillId="15" borderId="0" xfId="0" applyFont="1" applyFill="1"/>
    <xf numFmtId="0" fontId="16" fillId="0" borderId="7" xfId="0" applyFont="1" applyBorder="1"/>
    <xf numFmtId="43" fontId="0" fillId="0" borderId="16" xfId="0" applyNumberFormat="1" applyBorder="1"/>
    <xf numFmtId="43" fontId="0" fillId="14" borderId="16" xfId="0" applyNumberFormat="1" applyFill="1" applyBorder="1"/>
    <xf numFmtId="43" fontId="0" fillId="0" borderId="16" xfId="0" applyNumberFormat="1" applyFill="1" applyBorder="1"/>
    <xf numFmtId="164" fontId="60" fillId="11" borderId="0" xfId="0" applyNumberFormat="1" applyFont="1" applyFill="1"/>
    <xf numFmtId="43" fontId="0" fillId="15" borderId="0" xfId="0" applyNumberFormat="1" applyFill="1"/>
    <xf numFmtId="0" fontId="61" fillId="17" borderId="0" xfId="0" applyFont="1" applyFill="1"/>
    <xf numFmtId="0" fontId="87" fillId="0" borderId="0" xfId="0" applyFont="1"/>
    <xf numFmtId="0" fontId="61" fillId="19" borderId="0" xfId="0" applyFont="1" applyFill="1" applyBorder="1"/>
    <xf numFmtId="164" fontId="61" fillId="0" borderId="0" xfId="4" applyFont="1"/>
    <xf numFmtId="164" fontId="16" fillId="0" borderId="0" xfId="4" applyFont="1"/>
    <xf numFmtId="164" fontId="0" fillId="19" borderId="0" xfId="4" applyFont="1" applyFill="1" applyBorder="1"/>
    <xf numFmtId="164" fontId="0" fillId="19" borderId="0" xfId="4" applyFont="1" applyFill="1"/>
    <xf numFmtId="171" fontId="0" fillId="0" borderId="25" xfId="0" applyNumberFormat="1" applyBorder="1"/>
    <xf numFmtId="0" fontId="0" fillId="26" borderId="0" xfId="0" applyFill="1"/>
    <xf numFmtId="0" fontId="0" fillId="26" borderId="0" xfId="3" applyNumberFormat="1" applyFont="1" applyFill="1"/>
    <xf numFmtId="164" fontId="0" fillId="11" borderId="29" xfId="4" applyFont="1" applyFill="1" applyBorder="1"/>
    <xf numFmtId="164" fontId="0" fillId="14" borderId="29" xfId="4" applyFont="1" applyFill="1" applyBorder="1"/>
    <xf numFmtId="164" fontId="0" fillId="14" borderId="25" xfId="4" applyFont="1" applyFill="1" applyBorder="1"/>
    <xf numFmtId="164" fontId="0" fillId="14" borderId="16" xfId="4" applyFont="1" applyFill="1" applyBorder="1"/>
    <xf numFmtId="164" fontId="61" fillId="0" borderId="0" xfId="4" applyFont="1" applyFill="1"/>
    <xf numFmtId="0" fontId="89" fillId="0" borderId="0" xfId="0" applyFont="1"/>
    <xf numFmtId="0" fontId="61" fillId="15" borderId="0" xfId="0" applyFont="1" applyFill="1" applyAlignment="1">
      <alignment horizontal="center"/>
    </xf>
    <xf numFmtId="164" fontId="61" fillId="15" borderId="0" xfId="0" applyNumberFormat="1" applyFont="1" applyFill="1" applyAlignment="1">
      <alignment horizontal="center"/>
    </xf>
    <xf numFmtId="164" fontId="61" fillId="0" borderId="0" xfId="4" applyFont="1" applyAlignment="1">
      <alignment horizontal="right"/>
    </xf>
    <xf numFmtId="0" fontId="0" fillId="27" borderId="0" xfId="0" applyFill="1"/>
    <xf numFmtId="164" fontId="0" fillId="27" borderId="0" xfId="4" applyFont="1" applyFill="1"/>
    <xf numFmtId="2" fontId="0" fillId="0" borderId="14" xfId="0" applyNumberFormat="1" applyFill="1" applyBorder="1"/>
    <xf numFmtId="2" fontId="0" fillId="14" borderId="14" xfId="0" applyNumberFormat="1" applyFill="1" applyBorder="1"/>
    <xf numFmtId="2" fontId="0" fillId="0" borderId="14" xfId="0" applyNumberFormat="1" applyBorder="1"/>
    <xf numFmtId="0" fontId="0" fillId="0" borderId="0" xfId="4" applyNumberFormat="1" applyFont="1"/>
    <xf numFmtId="0" fontId="0" fillId="11" borderId="0" xfId="4" applyNumberFormat="1" applyFont="1" applyFill="1"/>
    <xf numFmtId="164" fontId="0" fillId="15" borderId="0" xfId="4" applyFont="1" applyFill="1"/>
    <xf numFmtId="43" fontId="0" fillId="15" borderId="16" xfId="0" applyNumberFormat="1" applyFill="1" applyBorder="1"/>
    <xf numFmtId="164" fontId="0" fillId="15" borderId="0" xfId="4" applyFont="1" applyFill="1" applyBorder="1"/>
    <xf numFmtId="0" fontId="0" fillId="14" borderId="0" xfId="4" applyNumberFormat="1" applyFont="1" applyFill="1"/>
    <xf numFmtId="0" fontId="0" fillId="19" borderId="0" xfId="4" applyNumberFormat="1" applyFont="1" applyFill="1"/>
    <xf numFmtId="43" fontId="0" fillId="14" borderId="0" xfId="0" applyNumberFormat="1" applyFill="1"/>
    <xf numFmtId="164" fontId="0" fillId="14" borderId="0" xfId="4" applyFont="1" applyFill="1" applyBorder="1"/>
    <xf numFmtId="164" fontId="0" fillId="14" borderId="23" xfId="4" applyFont="1" applyFill="1" applyBorder="1"/>
    <xf numFmtId="9" fontId="0" fillId="14" borderId="0" xfId="3" applyFont="1" applyFill="1"/>
    <xf numFmtId="0" fontId="0" fillId="14" borderId="0" xfId="3" applyNumberFormat="1" applyFont="1" applyFill="1"/>
    <xf numFmtId="2" fontId="0" fillId="14" borderId="0" xfId="0" applyNumberFormat="1" applyFill="1"/>
    <xf numFmtId="164" fontId="60" fillId="0" borderId="0" xfId="0" applyNumberFormat="1" applyFont="1"/>
    <xf numFmtId="0" fontId="83" fillId="11" borderId="0" xfId="0" applyFont="1" applyFill="1"/>
    <xf numFmtId="164" fontId="83" fillId="11" borderId="0" xfId="4" applyFont="1" applyFill="1"/>
    <xf numFmtId="0" fontId="90" fillId="0" borderId="0" xfId="0" applyFont="1"/>
    <xf numFmtId="164" fontId="0" fillId="0" borderId="0" xfId="4" applyNumberFormat="1" applyFont="1"/>
    <xf numFmtId="164" fontId="91" fillId="0" borderId="0" xfId="4" applyFont="1"/>
    <xf numFmtId="172" fontId="61" fillId="0" borderId="0" xfId="4" applyNumberFormat="1" applyFont="1"/>
    <xf numFmtId="172" fontId="67" fillId="0" borderId="0" xfId="4" applyNumberFormat="1" applyFont="1"/>
    <xf numFmtId="164" fontId="0" fillId="11" borderId="0" xfId="4" applyFont="1" applyFill="1"/>
    <xf numFmtId="0" fontId="61" fillId="0" borderId="9" xfId="0" applyFont="1" applyBorder="1"/>
    <xf numFmtId="0" fontId="61" fillId="0" borderId="18" xfId="0" applyFont="1" applyBorder="1"/>
    <xf numFmtId="0" fontId="61" fillId="0" borderId="10" xfId="0" applyFont="1" applyBorder="1"/>
    <xf numFmtId="164" fontId="0" fillId="15" borderId="19" xfId="4" applyFont="1" applyFill="1" applyBorder="1"/>
    <xf numFmtId="164" fontId="0" fillId="15" borderId="23" xfId="4" applyFont="1" applyFill="1" applyBorder="1"/>
    <xf numFmtId="164" fontId="0" fillId="15" borderId="22" xfId="4" applyFont="1" applyFill="1" applyBorder="1"/>
    <xf numFmtId="0" fontId="92" fillId="0" borderId="0" xfId="0" applyFont="1"/>
    <xf numFmtId="164" fontId="0" fillId="0" borderId="19" xfId="4" applyFont="1" applyBorder="1"/>
    <xf numFmtId="164" fontId="0" fillId="0" borderId="22" xfId="4" applyFont="1" applyBorder="1"/>
    <xf numFmtId="164" fontId="93" fillId="0" borderId="0" xfId="4" applyFont="1"/>
    <xf numFmtId="164" fontId="94" fillId="0" borderId="0" xfId="4" applyFont="1"/>
    <xf numFmtId="0" fontId="0" fillId="11" borderId="0" xfId="0" applyNumberFormat="1" applyFill="1"/>
    <xf numFmtId="164" fontId="95" fillId="0" borderId="29" xfId="4" applyFont="1" applyBorder="1"/>
    <xf numFmtId="172" fontId="95" fillId="0" borderId="21" xfId="4" applyNumberFormat="1" applyFont="1" applyBorder="1"/>
    <xf numFmtId="164" fontId="95" fillId="0" borderId="21" xfId="4" applyFont="1" applyBorder="1"/>
    <xf numFmtId="164" fontId="95" fillId="0" borderId="20" xfId="4" applyFont="1" applyBorder="1"/>
    <xf numFmtId="0" fontId="0" fillId="15" borderId="0" xfId="4" applyNumberFormat="1" applyFont="1" applyFill="1"/>
    <xf numFmtId="0" fontId="0" fillId="28" borderId="0" xfId="0" applyFill="1"/>
    <xf numFmtId="164" fontId="0" fillId="28" borderId="0" xfId="4" applyFont="1" applyFill="1"/>
    <xf numFmtId="0" fontId="0" fillId="15" borderId="0" xfId="0" applyFill="1" applyBorder="1"/>
    <xf numFmtId="0" fontId="0" fillId="15" borderId="0" xfId="0" applyFill="1"/>
    <xf numFmtId="0" fontId="96" fillId="0" borderId="0" xfId="0" applyFont="1"/>
    <xf numFmtId="0" fontId="3" fillId="0" borderId="0" xfId="0" applyFont="1" applyAlignment="1">
      <alignment horizontal="right" wrapText="1"/>
    </xf>
    <xf numFmtId="0" fontId="97" fillId="0" borderId="0" xfId="0" applyFont="1"/>
    <xf numFmtId="0" fontId="98" fillId="0" borderId="0" xfId="0" applyFont="1" applyFill="1"/>
    <xf numFmtId="0" fontId="0" fillId="0" borderId="0" xfId="0" applyAlignment="1"/>
    <xf numFmtId="165" fontId="0" fillId="14" borderId="0" xfId="0" applyNumberFormat="1" applyFill="1"/>
    <xf numFmtId="0" fontId="16" fillId="14" borderId="0" xfId="0" applyFont="1" applyFill="1"/>
    <xf numFmtId="164" fontId="16" fillId="14" borderId="0" xfId="4" applyFont="1" applyFill="1"/>
    <xf numFmtId="0" fontId="81" fillId="11" borderId="0" xfId="0" applyFont="1" applyFill="1"/>
    <xf numFmtId="0" fontId="99" fillId="11" borderId="0" xfId="0" applyFont="1" applyFill="1"/>
    <xf numFmtId="0" fontId="16" fillId="11" borderId="0" xfId="0" applyFont="1" applyFill="1"/>
  </cellXfs>
  <cellStyles count="6">
    <cellStyle name="xl101" xfId="5" xr:uid="{00000000-0005-0000-0000-000000000000}"/>
    <cellStyle name="Обычный" xfId="0" builtinId="0"/>
    <cellStyle name="Обычный_RaionWork" xfId="1" xr:uid="{00000000-0005-0000-0000-000002000000}"/>
    <cellStyle name="Обычный_Неоторые показатели по заб краю" xfId="2" xr:uid="{00000000-0005-0000-0000-000003000000}"/>
    <cellStyle name="Процентный" xfId="3" builtinId="5"/>
    <cellStyle name="Финансовый" xfId="4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7634170038138"/>
          <c:y val="6.7905319174552725E-2"/>
          <c:w val="0.75511444790331439"/>
          <c:h val="0.68620537381280944"/>
        </c:manualLayout>
      </c:layout>
      <c:lineChart>
        <c:grouping val="standard"/>
        <c:varyColors val="0"/>
        <c:ser>
          <c:idx val="0"/>
          <c:order val="0"/>
          <c:tx>
            <c:strRef>
              <c:f>ГрСцЭкс!$C$11</c:f>
              <c:strCache>
                <c:ptCount val="1"/>
                <c:pt idx="0">
                  <c:v> трансферты 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AE7-92A5-A2DF507AF99C}"/>
            </c:ext>
          </c:extLst>
        </c:ser>
        <c:ser>
          <c:idx val="1"/>
          <c:order val="1"/>
          <c:tx>
            <c:strRef>
              <c:f>ГрСцЭкс!$C$12</c:f>
              <c:strCache>
                <c:ptCount val="1"/>
                <c:pt idx="0">
                  <c:v> доходы собственные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AE7-92A5-A2DF507AF99C}"/>
            </c:ext>
          </c:extLst>
        </c:ser>
        <c:ser>
          <c:idx val="2"/>
          <c:order val="2"/>
          <c:tx>
            <c:strRef>
              <c:f>ГрСцЭкс!$C$13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AE7-92A5-A2DF507A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4768"/>
        <c:axId val="184786304"/>
      </c:lineChart>
      <c:catAx>
        <c:axId val="184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86304"/>
        <c:crosses val="autoZero"/>
        <c:auto val="1"/>
        <c:lblAlgn val="ctr"/>
        <c:lblOffset val="100"/>
        <c:noMultiLvlLbl val="0"/>
      </c:catAx>
      <c:valAx>
        <c:axId val="18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'Графики(МОИТ)'!$C$89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'Графики(МОИТ)'!$D$89:$AD$89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42367.489901677494</c:v>
                </c:pt>
                <c:pt idx="6">
                  <c:v>41347.782042320505</c:v>
                </c:pt>
                <c:pt idx="7">
                  <c:v>42479.246037531018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7A5-9633-25282F97906F}"/>
            </c:ext>
          </c:extLst>
        </c:ser>
        <c:ser>
          <c:idx val="1"/>
          <c:order val="1"/>
          <c:tx>
            <c:strRef>
              <c:f>'Графики(МОИТ)'!$C$90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'Графики(МОИТ)'!$D$90:$AD$90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11451.250026048174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7A5-9633-25282F97906F}"/>
            </c:ext>
          </c:extLst>
        </c:ser>
        <c:ser>
          <c:idx val="2"/>
          <c:order val="2"/>
          <c:tx>
            <c:strRef>
              <c:f>'Графики(МОИТ)'!$C$91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'Графики(МОИТ)'!$D$91:$AD$91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56870.097137955512</c:v>
                </c:pt>
                <c:pt idx="6">
                  <c:v>55822.808046596998</c:v>
                </c:pt>
                <c:pt idx="7">
                  <c:v>53930.496063579194</c:v>
                </c:pt>
                <c:pt idx="8">
                  <c:v>20870.90109258845</c:v>
                </c:pt>
                <c:pt idx="9">
                  <c:v>18751.692498202385</c:v>
                </c:pt>
                <c:pt idx="10">
                  <c:v>18249.855497016732</c:v>
                </c:pt>
                <c:pt idx="11">
                  <c:v>16707.451849572299</c:v>
                </c:pt>
                <c:pt idx="12">
                  <c:v>15609.429355448832</c:v>
                </c:pt>
                <c:pt idx="13">
                  <c:v>15716.16644308377</c:v>
                </c:pt>
                <c:pt idx="14">
                  <c:v>15821.836159842362</c:v>
                </c:pt>
                <c:pt idx="15">
                  <c:v>15926.449179433366</c:v>
                </c:pt>
                <c:pt idx="16">
                  <c:v>16030.01606882846</c:v>
                </c:pt>
                <c:pt idx="17">
                  <c:v>16132.547289329605</c:v>
                </c:pt>
                <c:pt idx="18">
                  <c:v>16234.053197625733</c:v>
                </c:pt>
                <c:pt idx="19">
                  <c:v>16334.544046838906</c:v>
                </c:pt>
                <c:pt idx="20">
                  <c:v>16434.029987559945</c:v>
                </c:pt>
                <c:pt idx="21">
                  <c:v>16532.521068873772</c:v>
                </c:pt>
                <c:pt idx="22">
                  <c:v>16630.02723937446</c:v>
                </c:pt>
                <c:pt idx="23">
                  <c:v>16726.558348170147</c:v>
                </c:pt>
                <c:pt idx="24">
                  <c:v>16822.124145877871</c:v>
                </c:pt>
                <c:pt idx="25">
                  <c:v>16916.734285608523</c:v>
                </c:pt>
                <c:pt idx="26">
                  <c:v>17010.398323941859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C-47A5-9633-25282F9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3168"/>
        <c:axId val="190584704"/>
      </c:lineChart>
      <c:catAx>
        <c:axId val="190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4704"/>
        <c:crosses val="autoZero"/>
        <c:auto val="1"/>
        <c:lblAlgn val="ctr"/>
        <c:lblOffset val="100"/>
        <c:noMultiLvlLbl val="0"/>
      </c:catAx>
      <c:valAx>
        <c:axId val="190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'Графики(МОИТ)'!$C$130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'Графики(МОИТ)'!$D$130:$AD$130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31E-8D39-6236BA9CBFD2}"/>
            </c:ext>
          </c:extLst>
        </c:ser>
        <c:ser>
          <c:idx val="1"/>
          <c:order val="1"/>
          <c:tx>
            <c:strRef>
              <c:f>'Графики(МОИТ)'!$C$131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31E-8D39-6236BA9CBFD2}"/>
            </c:ext>
          </c:extLst>
        </c:ser>
        <c:ser>
          <c:idx val="2"/>
          <c:order val="2"/>
          <c:tx>
            <c:strRef>
              <c:f>'Графики(МОИТ)'!$C$132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'Графики(МОИТ)'!$D$132:$AD$132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9-431E-8D39-6236BA9C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5664"/>
        <c:axId val="190067456"/>
      </c:lineChart>
      <c:catAx>
        <c:axId val="19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67456"/>
        <c:crosses val="autoZero"/>
        <c:auto val="1"/>
        <c:lblAlgn val="ctr"/>
        <c:lblOffset val="100"/>
        <c:noMultiLvlLbl val="0"/>
      </c:catAx>
      <c:valAx>
        <c:axId val="190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5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90352469533709767"/>
          <c:h val="0.66390747255883797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50E-B624-ED6CFCB9D9F8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9-450E-B624-ED6CFCB9D9F8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9-450E-B624-ED6CFCB9D9F8}"/>
            </c:ext>
          </c:extLst>
        </c:ser>
        <c:ser>
          <c:idx val="7"/>
          <c:order val="3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9-450E-B624-ED6CFCB9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72512"/>
        <c:crosses val="autoZero"/>
        <c:auto val="1"/>
        <c:lblAlgn val="ctr"/>
        <c:lblOffset val="100"/>
        <c:noMultiLvlLbl val="0"/>
      </c:catAx>
      <c:valAx>
        <c:axId val="191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7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'Графики(МОИТ)'!$C$172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'Графики(МОИТ)'!$D$172:$AD$172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9-42CC-A42F-9BCCD7166A52}"/>
            </c:ext>
          </c:extLst>
        </c:ser>
        <c:ser>
          <c:idx val="1"/>
          <c:order val="1"/>
          <c:tx>
            <c:strRef>
              <c:f>'Графики(МОИТ)'!$C$173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'Графики(МОИТ)'!$D$173:$AD$173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9-42CC-A42F-9BCCD7166A52}"/>
            </c:ext>
          </c:extLst>
        </c:ser>
        <c:ser>
          <c:idx val="2"/>
          <c:order val="2"/>
          <c:tx>
            <c:strRef>
              <c:f>'Графики(МОИТ)'!$C$174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'Графики(МОИТ)'!$D$174:$AD$174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2CC-A42F-9BCCD716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3440"/>
        <c:axId val="190014976"/>
      </c:lineChart>
      <c:catAx>
        <c:axId val="190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4976"/>
        <c:crosses val="autoZero"/>
        <c:auto val="1"/>
        <c:lblAlgn val="ctr"/>
        <c:lblOffset val="100"/>
        <c:noMultiLvlLbl val="0"/>
      </c:catAx>
      <c:valAx>
        <c:axId val="190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AF9-8F9B-EAEE547A43A9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AF9-8F9B-EAEE547A43A9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AF9-8F9B-EAEE547A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2576"/>
        <c:axId val="283674112"/>
      </c:lineChart>
      <c:catAx>
        <c:axId val="283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74112"/>
        <c:crosses val="autoZero"/>
        <c:auto val="1"/>
        <c:lblAlgn val="ctr"/>
        <c:lblOffset val="100"/>
        <c:noMultiLvlLbl val="0"/>
      </c:catAx>
      <c:valAx>
        <c:axId val="283674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367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2'!$D$10:$AC$10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3.8757982335753129</c:v>
                </c:pt>
                <c:pt idx="14">
                  <c:v>3.5935690270724634</c:v>
                </c:pt>
                <c:pt idx="15">
                  <c:v>3.313819120879343</c:v>
                </c:pt>
                <c:pt idx="16">
                  <c:v>3.0378253977694261</c:v>
                </c:pt>
                <c:pt idx="17">
                  <c:v>2.7691011029665544</c:v>
                </c:pt>
                <c:pt idx="18">
                  <c:v>2.5138736859268436</c:v>
                </c:pt>
                <c:pt idx="19">
                  <c:v>2.2706447374042038</c:v>
                </c:pt>
                <c:pt idx="20">
                  <c:v>2.0348977889755022</c:v>
                </c:pt>
                <c:pt idx="21">
                  <c:v>1.8070785061871599</c:v>
                </c:pt>
                <c:pt idx="22">
                  <c:v>1.5815936504301085</c:v>
                </c:pt>
                <c:pt idx="23">
                  <c:v>1.361207847237123</c:v>
                </c:pt>
                <c:pt idx="24">
                  <c:v>1.14879656122102</c:v>
                </c:pt>
                <c:pt idx="25">
                  <c:v>0.944117264159401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ADB-AB73-4B37259DA62D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2'!$D$11:$AC$11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15.343207580862686</c:v>
                </c:pt>
                <c:pt idx="6">
                  <c:v>15.314312956861086</c:v>
                </c:pt>
                <c:pt idx="7">
                  <c:v>12.269947646336181</c:v>
                </c:pt>
                <c:pt idx="8">
                  <c:v>15.767242118019785</c:v>
                </c:pt>
                <c:pt idx="9">
                  <c:v>15.153422014479437</c:v>
                </c:pt>
                <c:pt idx="10">
                  <c:v>16.321026939228712</c:v>
                </c:pt>
                <c:pt idx="11">
                  <c:v>17.112928336932139</c:v>
                </c:pt>
                <c:pt idx="12">
                  <c:v>17.983309885067452</c:v>
                </c:pt>
                <c:pt idx="13">
                  <c:v>27.857332550024285</c:v>
                </c:pt>
                <c:pt idx="14">
                  <c:v>42.739695302553073</c:v>
                </c:pt>
                <c:pt idx="15">
                  <c:v>50.212581805588144</c:v>
                </c:pt>
                <c:pt idx="16">
                  <c:v>43.432409569139217</c:v>
                </c:pt>
                <c:pt idx="17">
                  <c:v>37.232230716853721</c:v>
                </c:pt>
                <c:pt idx="18">
                  <c:v>32.899963238747866</c:v>
                </c:pt>
                <c:pt idx="19">
                  <c:v>32.472155244776467</c:v>
                </c:pt>
                <c:pt idx="20">
                  <c:v>35.363637911411686</c:v>
                </c:pt>
                <c:pt idx="21">
                  <c:v>42.494121380415123</c:v>
                </c:pt>
                <c:pt idx="22">
                  <c:v>51.314990455553378</c:v>
                </c:pt>
                <c:pt idx="23">
                  <c:v>59.659483974620549</c:v>
                </c:pt>
                <c:pt idx="24">
                  <c:v>65.797145431042537</c:v>
                </c:pt>
                <c:pt idx="25">
                  <c:v>65.95407887406094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ADB-AB73-4B37259DA62D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2'!$D$12:$AC$12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27.244030815873515</c:v>
                </c:pt>
                <c:pt idx="6">
                  <c:v>26.195428332514922</c:v>
                </c:pt>
                <c:pt idx="7">
                  <c:v>24.282527017200533</c:v>
                </c:pt>
                <c:pt idx="8">
                  <c:v>25.186893184560066</c:v>
                </c:pt>
                <c:pt idx="9">
                  <c:v>22.453864486633648</c:v>
                </c:pt>
                <c:pt idx="10">
                  <c:v>23.119632410197273</c:v>
                </c:pt>
                <c:pt idx="11">
                  <c:v>22.369130160456265</c:v>
                </c:pt>
                <c:pt idx="12">
                  <c:v>22.141489214468113</c:v>
                </c:pt>
                <c:pt idx="13">
                  <c:v>31.733130783599599</c:v>
                </c:pt>
                <c:pt idx="14">
                  <c:v>46.333264329625543</c:v>
                </c:pt>
                <c:pt idx="15">
                  <c:v>53.526400926467488</c:v>
                </c:pt>
                <c:pt idx="16">
                  <c:v>46.470234966908642</c:v>
                </c:pt>
                <c:pt idx="17">
                  <c:v>40.00133181982028</c:v>
                </c:pt>
                <c:pt idx="18">
                  <c:v>35.413836924674712</c:v>
                </c:pt>
                <c:pt idx="19">
                  <c:v>34.742799982180671</c:v>
                </c:pt>
                <c:pt idx="20">
                  <c:v>37.398535700387193</c:v>
                </c:pt>
                <c:pt idx="21">
                  <c:v>44.301199886602276</c:v>
                </c:pt>
                <c:pt idx="22">
                  <c:v>52.896584105983486</c:v>
                </c:pt>
                <c:pt idx="23">
                  <c:v>61.020691821857667</c:v>
                </c:pt>
                <c:pt idx="24">
                  <c:v>66.945941992263556</c:v>
                </c:pt>
                <c:pt idx="25">
                  <c:v>66.898196138220342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ADB-AB73-4B37259D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29824"/>
        <c:axId val="254431616"/>
      </c:lineChart>
      <c:catAx>
        <c:axId val="25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B-4444-9BB2-7B63F5824029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B-4444-9BB2-7B63F5824029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B-4444-9BB2-7B63F5824029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B-4444-9BB2-7B63F582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32352"/>
        <c:axId val="294232832"/>
      </c:lineChart>
      <c:catAx>
        <c:axId val="294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232832"/>
        <c:crosses val="autoZero"/>
        <c:auto val="1"/>
        <c:lblAlgn val="ctr"/>
        <c:lblOffset val="100"/>
        <c:noMultiLvlLbl val="0"/>
      </c:catAx>
      <c:valAx>
        <c:axId val="29423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4132352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2'!$D$82:$AC$82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2D4-8A4D-3F3B5C7C6621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2'!$D$83:$AC$83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13.812006891693349</c:v>
                </c:pt>
                <c:pt idx="6">
                  <c:v>13.785739051691897</c:v>
                </c:pt>
                <c:pt idx="7">
                  <c:v>10.905952405760162</c:v>
                </c:pt>
                <c:pt idx="8">
                  <c:v>13.6833058072908</c:v>
                </c:pt>
                <c:pt idx="9">
                  <c:v>12.288594429719035</c:v>
                </c:pt>
                <c:pt idx="10">
                  <c:v>11.570542482490847</c:v>
                </c:pt>
                <c:pt idx="11">
                  <c:v>11.193453433081128</c:v>
                </c:pt>
                <c:pt idx="12">
                  <c:v>10.673708763493908</c:v>
                </c:pt>
                <c:pt idx="13">
                  <c:v>10.566971675858968</c:v>
                </c:pt>
                <c:pt idx="14">
                  <c:v>10.461301959100378</c:v>
                </c:pt>
                <c:pt idx="15">
                  <c:v>10.356688939509374</c:v>
                </c:pt>
                <c:pt idx="16">
                  <c:v>10.25312205011428</c:v>
                </c:pt>
                <c:pt idx="17">
                  <c:v>10.150590829613137</c:v>
                </c:pt>
                <c:pt idx="18">
                  <c:v>10.049084921317005</c:v>
                </c:pt>
                <c:pt idx="19">
                  <c:v>9.9485940721038357</c:v>
                </c:pt>
                <c:pt idx="20">
                  <c:v>9.8491081313827973</c:v>
                </c:pt>
                <c:pt idx="21">
                  <c:v>9.7506170500689677</c:v>
                </c:pt>
                <c:pt idx="22">
                  <c:v>9.6531108795682776</c:v>
                </c:pt>
                <c:pt idx="23">
                  <c:v>9.5565797707725952</c:v>
                </c:pt>
                <c:pt idx="24">
                  <c:v>9.461013973064869</c:v>
                </c:pt>
                <c:pt idx="25">
                  <c:v>9.3664038333342194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7-42D4-8A4D-3F3B5C7C6621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2'!$D$84:$AC$84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25.712830126704176</c:v>
                </c:pt>
                <c:pt idx="6">
                  <c:v>24.666854427345729</c:v>
                </c:pt>
                <c:pt idx="7">
                  <c:v>22.918531776624516</c:v>
                </c:pt>
                <c:pt idx="8">
                  <c:v>23.102956873831083</c:v>
                </c:pt>
                <c:pt idx="9">
                  <c:v>19.589036901873246</c:v>
                </c:pt>
                <c:pt idx="10">
                  <c:v>18.369147953459404</c:v>
                </c:pt>
                <c:pt idx="11">
                  <c:v>16.449655256605258</c:v>
                </c:pt>
                <c:pt idx="12">
                  <c:v>14.831888092894568</c:v>
                </c:pt>
                <c:pt idx="13">
                  <c:v>14.831888092894566</c:v>
                </c:pt>
                <c:pt idx="14">
                  <c:v>14.831888092894568</c:v>
                </c:pt>
                <c:pt idx="15">
                  <c:v>14.83188809289457</c:v>
                </c:pt>
                <c:pt idx="16">
                  <c:v>14.83188809289457</c:v>
                </c:pt>
                <c:pt idx="17">
                  <c:v>14.83188809289457</c:v>
                </c:pt>
                <c:pt idx="18">
                  <c:v>14.83188809289457</c:v>
                </c:pt>
                <c:pt idx="19">
                  <c:v>14.83188809289457</c:v>
                </c:pt>
                <c:pt idx="20">
                  <c:v>14.83188809289457</c:v>
                </c:pt>
                <c:pt idx="21">
                  <c:v>14.83188809289457</c:v>
                </c:pt>
                <c:pt idx="22">
                  <c:v>14.831888092894566</c:v>
                </c:pt>
                <c:pt idx="23">
                  <c:v>14.83188809289457</c:v>
                </c:pt>
                <c:pt idx="24">
                  <c:v>14.831888092894568</c:v>
                </c:pt>
                <c:pt idx="25">
                  <c:v>14.83188809289457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2D4-8A4D-3F3B5C7C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9712"/>
        <c:axId val="283061632"/>
      </c:lineChart>
      <c:catAx>
        <c:axId val="28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1632"/>
        <c:crosses val="autoZero"/>
        <c:auto val="1"/>
        <c:lblAlgn val="ctr"/>
        <c:lblOffset val="100"/>
        <c:noMultiLvlLbl val="0"/>
      </c:catAx>
      <c:valAx>
        <c:axId val="28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'[3]График-всё'!$C$4:$AA$4</c:f>
              <c:numCache>
                <c:formatCode>General</c:formatCode>
                <c:ptCount val="25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529-8BEB-67C891BADB7D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'[3]График-всё'!$C$5:$AA$5</c:f>
              <c:numCache>
                <c:formatCode>General</c:formatCode>
                <c:ptCount val="25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7-4529-8BEB-67C891BADB7D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'[3]График-всё'!$C$7:$AA$7</c:f>
              <c:numCache>
                <c:formatCode>General</c:formatCode>
                <c:ptCount val="25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7-4529-8BEB-67C891BADB7D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7-4529-8BEB-67C891BA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29408"/>
        <c:axId val="293731328"/>
      </c:lineChart>
      <c:catAx>
        <c:axId val="29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31328"/>
        <c:crosses val="autoZero"/>
        <c:auto val="1"/>
        <c:lblAlgn val="ctr"/>
        <c:lblOffset val="100"/>
        <c:noMultiLvlLbl val="0"/>
      </c:catAx>
      <c:valAx>
        <c:axId val="293731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3729408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2'!$D$152:$AC$152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42.367489901677494</c:v>
                </c:pt>
                <c:pt idx="6">
                  <c:v>41.347782042320503</c:v>
                </c:pt>
                <c:pt idx="7">
                  <c:v>42.47924603753102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97A-920A-0F9D88E0F48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2'!$D$153:$AC$153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11.451250026048172</c:v>
                </c:pt>
                <c:pt idx="9">
                  <c:v>11.451250026048172</c:v>
                </c:pt>
                <c:pt idx="10">
                  <c:v>11.451250026048172</c:v>
                </c:pt>
                <c:pt idx="11">
                  <c:v>11.451250026048172</c:v>
                </c:pt>
                <c:pt idx="12">
                  <c:v>11.451250026048172</c:v>
                </c:pt>
                <c:pt idx="13">
                  <c:v>11.451250026048172</c:v>
                </c:pt>
                <c:pt idx="14">
                  <c:v>11.451250026048172</c:v>
                </c:pt>
                <c:pt idx="15">
                  <c:v>11.451250026048172</c:v>
                </c:pt>
                <c:pt idx="16">
                  <c:v>11.451250026048172</c:v>
                </c:pt>
                <c:pt idx="17">
                  <c:v>11.451250026048172</c:v>
                </c:pt>
                <c:pt idx="18">
                  <c:v>11.451250026048172</c:v>
                </c:pt>
                <c:pt idx="19">
                  <c:v>11.451250026048172</c:v>
                </c:pt>
                <c:pt idx="20">
                  <c:v>11.451250026048172</c:v>
                </c:pt>
                <c:pt idx="21">
                  <c:v>11.451250026048172</c:v>
                </c:pt>
                <c:pt idx="22">
                  <c:v>11.451250026048172</c:v>
                </c:pt>
                <c:pt idx="23">
                  <c:v>11.451250026048172</c:v>
                </c:pt>
                <c:pt idx="24">
                  <c:v>11.451250026048172</c:v>
                </c:pt>
                <c:pt idx="25">
                  <c:v>11.451250026048173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97A-920A-0F9D88E0F48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2'!$D$154:$AC$154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56.870097137955511</c:v>
                </c:pt>
                <c:pt idx="6">
                  <c:v>55.822808046596997</c:v>
                </c:pt>
                <c:pt idx="7">
                  <c:v>53.930496063579199</c:v>
                </c:pt>
                <c:pt idx="8">
                  <c:v>20.870901092588451</c:v>
                </c:pt>
                <c:pt idx="9">
                  <c:v>18.751692498202384</c:v>
                </c:pt>
                <c:pt idx="10">
                  <c:v>18.249855497016732</c:v>
                </c:pt>
                <c:pt idx="11">
                  <c:v>16.707451849572298</c:v>
                </c:pt>
                <c:pt idx="12">
                  <c:v>15.609429355448832</c:v>
                </c:pt>
                <c:pt idx="13">
                  <c:v>15.71616644308377</c:v>
                </c:pt>
                <c:pt idx="14">
                  <c:v>15.821836159842363</c:v>
                </c:pt>
                <c:pt idx="15">
                  <c:v>15.926449179433366</c:v>
                </c:pt>
                <c:pt idx="16">
                  <c:v>16.030016068828459</c:v>
                </c:pt>
                <c:pt idx="17">
                  <c:v>16.132547289329604</c:v>
                </c:pt>
                <c:pt idx="18">
                  <c:v>16.234053197625734</c:v>
                </c:pt>
                <c:pt idx="19">
                  <c:v>16.334544046838907</c:v>
                </c:pt>
                <c:pt idx="20">
                  <c:v>16.434029987559946</c:v>
                </c:pt>
                <c:pt idx="21">
                  <c:v>16.532521068873773</c:v>
                </c:pt>
                <c:pt idx="22">
                  <c:v>16.63002723937446</c:v>
                </c:pt>
                <c:pt idx="23">
                  <c:v>16.726558348170148</c:v>
                </c:pt>
                <c:pt idx="24">
                  <c:v>16.822124145877872</c:v>
                </c:pt>
                <c:pt idx="25">
                  <c:v>16.916734285608523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97A-920A-0F9D88E0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7536"/>
        <c:axId val="283074560"/>
      </c:lineChart>
      <c:catAx>
        <c:axId val="283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74560"/>
        <c:crosses val="autoZero"/>
        <c:auto val="1"/>
        <c:lblAlgn val="ctr"/>
        <c:lblOffset val="100"/>
        <c:noMultiLvlLbl val="0"/>
      </c:catAx>
      <c:valAx>
        <c:axId val="283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7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8D4-BEC7-B3A3E342B4A6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8D4-BEC7-B3A3E342B4A6}"/>
            </c:ext>
          </c:extLst>
        </c:ser>
        <c:ser>
          <c:idx val="2"/>
          <c:order val="2"/>
          <c:tx>
            <c:strRef>
              <c:f>'[3]График-всё'!$A$6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6-48D4-BEC7-B3A3E342B4A6}"/>
            </c:ext>
          </c:extLst>
        </c:ser>
        <c:ser>
          <c:idx val="3"/>
          <c:order val="3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6-48D4-BEC7-B3A3E342B4A6}"/>
            </c:ext>
          </c:extLst>
        </c:ser>
        <c:ser>
          <c:idx val="4"/>
          <c:order val="4"/>
          <c:tx>
            <c:strRef>
              <c:f>'[3]График-всё'!$A$8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6-48D4-BEC7-B3A3E342B4A6}"/>
            </c:ext>
          </c:extLst>
        </c:ser>
        <c:ser>
          <c:idx val="5"/>
          <c:order val="5"/>
          <c:tx>
            <c:strRef>
              <c:f>'[3]График-всё'!$A$9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6-48D4-BEC7-B3A3E342B4A6}"/>
            </c:ext>
          </c:extLst>
        </c:ser>
        <c:ser>
          <c:idx val="6"/>
          <c:order val="6"/>
          <c:tx>
            <c:strRef>
              <c:f>'[3]График-всё'!$A$10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6-48D4-BEC7-B3A3E342B4A6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6-48D4-BEC7-B3A3E342B4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6-48D4-BEC7-B3A3E342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6608"/>
        <c:axId val="189558144"/>
      </c:lineChart>
      <c:catAx>
        <c:axId val="189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58144"/>
        <c:crosses val="autoZero"/>
        <c:auto val="1"/>
        <c:lblAlgn val="ctr"/>
        <c:lblOffset val="100"/>
        <c:noMultiLvlLbl val="0"/>
      </c:catAx>
      <c:valAx>
        <c:axId val="189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3.7251664296679886E-2"/>
          <c:w val="0.10321493250801059"/>
          <c:h val="0.912536310319700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2'!$D$224:$AC$224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21.040823235010826</c:v>
                </c:pt>
                <c:pt idx="6">
                  <c:v>20.021115375653835</c:v>
                </c:pt>
                <c:pt idx="7">
                  <c:v>21.152579370864352</c:v>
                </c:pt>
                <c:pt idx="8">
                  <c:v>18.559651066540283</c:v>
                </c:pt>
                <c:pt idx="9">
                  <c:v>16.440442472154214</c:v>
                </c:pt>
                <c:pt idx="10">
                  <c:v>15.938605470968559</c:v>
                </c:pt>
                <c:pt idx="11">
                  <c:v>14.396201823524127</c:v>
                </c:pt>
                <c:pt idx="12">
                  <c:v>13.298179329400661</c:v>
                </c:pt>
                <c:pt idx="13">
                  <c:v>13.404916417035599</c:v>
                </c:pt>
                <c:pt idx="14">
                  <c:v>13.51058613379419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F-4D76-BDD0-3DCDBAB0E51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2'!$D$225:$AC$225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14.367471097655342</c:v>
                </c:pt>
                <c:pt idx="9">
                  <c:v>12.903024151204987</c:v>
                </c:pt>
                <c:pt idx="10">
                  <c:v>12.14906960661539</c:v>
                </c:pt>
                <c:pt idx="11">
                  <c:v>11.753126104735184</c:v>
                </c:pt>
                <c:pt idx="12">
                  <c:v>11.207394201668604</c:v>
                </c:pt>
                <c:pt idx="13">
                  <c:v>11.095320259651917</c:v>
                </c:pt>
                <c:pt idx="14">
                  <c:v>10.984367057055398</c:v>
                </c:pt>
                <c:pt idx="15">
                  <c:v>10.984367057055398</c:v>
                </c:pt>
                <c:pt idx="16">
                  <c:v>10.984367057055398</c:v>
                </c:pt>
                <c:pt idx="17">
                  <c:v>10.984367057055398</c:v>
                </c:pt>
                <c:pt idx="18">
                  <c:v>10.984367057055398</c:v>
                </c:pt>
                <c:pt idx="19">
                  <c:v>10.984367057055398</c:v>
                </c:pt>
                <c:pt idx="20">
                  <c:v>10.984367057055398</c:v>
                </c:pt>
                <c:pt idx="21">
                  <c:v>10.984367057055398</c:v>
                </c:pt>
                <c:pt idx="22">
                  <c:v>10.984367057055398</c:v>
                </c:pt>
                <c:pt idx="23">
                  <c:v>10.984367057055398</c:v>
                </c:pt>
                <c:pt idx="24">
                  <c:v>10.984367057055398</c:v>
                </c:pt>
                <c:pt idx="25">
                  <c:v>10.984367057055398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F-4D76-BDD0-3DCDBAB0E51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2'!$D$226:$AC$226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35.543430471288843</c:v>
                </c:pt>
                <c:pt idx="6">
                  <c:v>34.496141379930329</c:v>
                </c:pt>
                <c:pt idx="7">
                  <c:v>32.603829396912523</c:v>
                </c:pt>
                <c:pt idx="8">
                  <c:v>32.927122164195623</c:v>
                </c:pt>
                <c:pt idx="9">
                  <c:v>29.343466623359202</c:v>
                </c:pt>
                <c:pt idx="10">
                  <c:v>28.087675077583945</c:v>
                </c:pt>
                <c:pt idx="11">
                  <c:v>26.149327928259311</c:v>
                </c:pt>
                <c:pt idx="12">
                  <c:v>24.505573531069263</c:v>
                </c:pt>
                <c:pt idx="13">
                  <c:v>24.500236676687514</c:v>
                </c:pt>
                <c:pt idx="14">
                  <c:v>24.494953190849586</c:v>
                </c:pt>
                <c:pt idx="15">
                  <c:v>15.459566210440594</c:v>
                </c:pt>
                <c:pt idx="16">
                  <c:v>15.563133099835687</c:v>
                </c:pt>
                <c:pt idx="17">
                  <c:v>15.66566432033683</c:v>
                </c:pt>
                <c:pt idx="18">
                  <c:v>15.76717022863296</c:v>
                </c:pt>
                <c:pt idx="19">
                  <c:v>15.867661077846131</c:v>
                </c:pt>
                <c:pt idx="20">
                  <c:v>15.96714701856717</c:v>
                </c:pt>
                <c:pt idx="21">
                  <c:v>16.065638099880999</c:v>
                </c:pt>
                <c:pt idx="22">
                  <c:v>16.163144270381686</c:v>
                </c:pt>
                <c:pt idx="23">
                  <c:v>16.259675379177374</c:v>
                </c:pt>
                <c:pt idx="24">
                  <c:v>16.355241176885098</c:v>
                </c:pt>
                <c:pt idx="25">
                  <c:v>16.449851316615746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F-4D76-BDD0-3DCDBAB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696"/>
        <c:axId val="103823232"/>
      </c:lineChart>
      <c:catAx>
        <c:axId val="103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23232"/>
        <c:crosses val="autoZero"/>
        <c:auto val="1"/>
        <c:lblAlgn val="ctr"/>
        <c:lblOffset val="100"/>
        <c:noMultiLvlLbl val="0"/>
      </c:catAx>
      <c:valAx>
        <c:axId val="103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интерфейс!$G$202:$AD$202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13785.739051691897</c:v>
                </c:pt>
                <c:pt idx="4">
                  <c:v>10905.952405760163</c:v>
                </c:pt>
                <c:pt idx="5">
                  <c:v>13683.305807290801</c:v>
                </c:pt>
                <c:pt idx="6">
                  <c:v>12288.594429719034</c:v>
                </c:pt>
                <c:pt idx="7">
                  <c:v>11570.542482490846</c:v>
                </c:pt>
                <c:pt idx="8">
                  <c:v>11193.453433081128</c:v>
                </c:pt>
                <c:pt idx="9">
                  <c:v>10673.708763493907</c:v>
                </c:pt>
                <c:pt idx="10">
                  <c:v>10620.340219676438</c:v>
                </c:pt>
                <c:pt idx="11">
                  <c:v>10567.238518578057</c:v>
                </c:pt>
                <c:pt idx="12">
                  <c:v>10514.402325985166</c:v>
                </c:pt>
                <c:pt idx="13">
                  <c:v>10461.83031435524</c:v>
                </c:pt>
                <c:pt idx="14">
                  <c:v>10409.521162783463</c:v>
                </c:pt>
                <c:pt idx="15">
                  <c:v>10357.473556969546</c:v>
                </c:pt>
                <c:pt idx="16">
                  <c:v>10305.686189184698</c:v>
                </c:pt>
                <c:pt idx="17">
                  <c:v>10254.157758238774</c:v>
                </c:pt>
                <c:pt idx="18">
                  <c:v>10202.88696944758</c:v>
                </c:pt>
                <c:pt idx="19">
                  <c:v>10151.872534600341</c:v>
                </c:pt>
                <c:pt idx="20">
                  <c:v>10101.11317192734</c:v>
                </c:pt>
                <c:pt idx="21">
                  <c:v>10050.607606067702</c:v>
                </c:pt>
                <c:pt idx="22">
                  <c:v>10000.354568037365</c:v>
                </c:pt>
                <c:pt idx="23">
                  <c:v>9950.3527951971773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823-9F4A-6E40448EE8B6}"/>
            </c:ext>
          </c:extLst>
        </c:ser>
        <c:ser>
          <c:idx val="1"/>
          <c:order val="1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интерфейс!$G$203:$AD$203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13962.006891693349</c:v>
                </c:pt>
                <c:pt idx="3">
                  <c:v>13935.739051691897</c:v>
                </c:pt>
                <c:pt idx="4">
                  <c:v>11179.352405760163</c:v>
                </c:pt>
                <c:pt idx="5">
                  <c:v>14398.911537290704</c:v>
                </c:pt>
                <c:pt idx="6">
                  <c:v>13924.562571507535</c:v>
                </c:pt>
                <c:pt idx="7">
                  <c:v>14238.941010301711</c:v>
                </c:pt>
                <c:pt idx="8">
                  <c:v>14517.227074481238</c:v>
                </c:pt>
                <c:pt idx="9">
                  <c:v>14729.972406074008</c:v>
                </c:pt>
                <c:pt idx="10">
                  <c:v>24411.356064788502</c:v>
                </c:pt>
                <c:pt idx="11">
                  <c:v>39099.953949169787</c:v>
                </c:pt>
                <c:pt idx="12">
                  <c:v>46377.934460892349</c:v>
                </c:pt>
                <c:pt idx="13">
                  <c:v>39401.699716106683</c:v>
                </c:pt>
                <c:pt idx="14">
                  <c:v>33004.286310575539</c:v>
                </c:pt>
                <c:pt idx="15">
                  <c:v>28473.596570965143</c:v>
                </c:pt>
                <c:pt idx="16">
                  <c:v>27846.16280696138</c:v>
                </c:pt>
                <c:pt idx="17">
                  <c:v>30536.800256380673</c:v>
                </c:pt>
                <c:pt idx="18">
                  <c:v>37465.202982460221</c:v>
                </c:pt>
                <c:pt idx="19">
                  <c:v>46082.739569077217</c:v>
                </c:pt>
                <c:pt idx="20">
                  <c:v>54222.632491260607</c:v>
                </c:pt>
                <c:pt idx="21">
                  <c:v>60154.408735270095</c:v>
                </c:pt>
                <c:pt idx="22">
                  <c:v>60104.155697239759</c:v>
                </c:pt>
                <c:pt idx="23">
                  <c:v>60054.153924399572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823-9F4A-6E40448EE8B6}"/>
            </c:ext>
          </c:extLst>
        </c:ser>
        <c:ser>
          <c:idx val="2"/>
          <c:order val="2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интерфейс!$G$204:$AD$204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18355.739051691897</c:v>
                </c:pt>
                <c:pt idx="4">
                  <c:v>15475.952405760163</c:v>
                </c:pt>
                <c:pt idx="5">
                  <c:v>18253.305807290802</c:v>
                </c:pt>
                <c:pt idx="6">
                  <c:v>16858.594429719036</c:v>
                </c:pt>
                <c:pt idx="7">
                  <c:v>16140.542482490846</c:v>
                </c:pt>
                <c:pt idx="8">
                  <c:v>15763.453433081128</c:v>
                </c:pt>
                <c:pt idx="9">
                  <c:v>15243.708763493907</c:v>
                </c:pt>
                <c:pt idx="10">
                  <c:v>15190.340219676438</c:v>
                </c:pt>
                <c:pt idx="11">
                  <c:v>15137.238518578057</c:v>
                </c:pt>
                <c:pt idx="12">
                  <c:v>15084.402325985166</c:v>
                </c:pt>
                <c:pt idx="13">
                  <c:v>15031.83031435524</c:v>
                </c:pt>
                <c:pt idx="14">
                  <c:v>14979.521162783463</c:v>
                </c:pt>
                <c:pt idx="15">
                  <c:v>14927.473556969546</c:v>
                </c:pt>
                <c:pt idx="16">
                  <c:v>14875.686189184698</c:v>
                </c:pt>
                <c:pt idx="17">
                  <c:v>14824.157758238774</c:v>
                </c:pt>
                <c:pt idx="18">
                  <c:v>14772.88696944758</c:v>
                </c:pt>
                <c:pt idx="19">
                  <c:v>14721.872534600341</c:v>
                </c:pt>
                <c:pt idx="20">
                  <c:v>14671.11317192734</c:v>
                </c:pt>
                <c:pt idx="21">
                  <c:v>14620.607606067702</c:v>
                </c:pt>
                <c:pt idx="22">
                  <c:v>14570.354568037365</c:v>
                </c:pt>
                <c:pt idx="23">
                  <c:v>14520.352795197177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823-9F4A-6E40448EE8B6}"/>
            </c:ext>
          </c:extLst>
        </c:ser>
        <c:ser>
          <c:idx val="3"/>
          <c:order val="3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интерфейс!$G$205:$AD$205</c:f>
              <c:numCache>
                <c:formatCode>_-* #\ ##0.00_р_._-;\-* #\ ##0.00_р_._-;_-* "-"??_р_._-;_-@_-</c:formatCode>
                <c:ptCount val="24"/>
                <c:pt idx="0">
                  <c:v>23204.751225758991</c:v>
                </c:pt>
                <c:pt idx="1">
                  <c:v>19002.383820154919</c:v>
                </c:pt>
                <c:pt idx="2">
                  <c:v>21124.006891693349</c:v>
                </c:pt>
                <c:pt idx="3">
                  <c:v>21097.739051691897</c:v>
                </c:pt>
                <c:pt idx="4">
                  <c:v>18217.952405760163</c:v>
                </c:pt>
                <c:pt idx="5">
                  <c:v>20995.305807290802</c:v>
                </c:pt>
                <c:pt idx="6">
                  <c:v>19600.594429719036</c:v>
                </c:pt>
                <c:pt idx="7">
                  <c:v>18882.542482490848</c:v>
                </c:pt>
                <c:pt idx="8">
                  <c:v>18505.453433081129</c:v>
                </c:pt>
                <c:pt idx="9">
                  <c:v>17985.708763493909</c:v>
                </c:pt>
                <c:pt idx="10">
                  <c:v>17176.351869136681</c:v>
                </c:pt>
                <c:pt idx="11">
                  <c:v>16403.41603502553</c:v>
                </c:pt>
                <c:pt idx="12">
                  <c:v>15665.262313449381</c:v>
                </c:pt>
                <c:pt idx="13">
                  <c:v>14960.325509344158</c:v>
                </c:pt>
                <c:pt idx="14">
                  <c:v>14287.110861423671</c:v>
                </c:pt>
                <c:pt idx="15">
                  <c:v>13644.190872659605</c:v>
                </c:pt>
                <c:pt idx="16">
                  <c:v>13030.202283389923</c:v>
                </c:pt>
                <c:pt idx="17">
                  <c:v>12443.843180637376</c:v>
                </c:pt>
                <c:pt idx="18">
                  <c:v>11883.870237508692</c:v>
                </c:pt>
                <c:pt idx="19">
                  <c:v>11349.096076820801</c:v>
                </c:pt>
                <c:pt idx="20">
                  <c:v>10838.386753363864</c:v>
                </c:pt>
                <c:pt idx="21">
                  <c:v>10350.65934946249</c:v>
                </c:pt>
                <c:pt idx="22">
                  <c:v>9884.8796787366773</c:v>
                </c:pt>
                <c:pt idx="23">
                  <c:v>9440.060093193526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823-9F4A-6E40448E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096"/>
        <c:axId val="190965632"/>
      </c:lineChart>
      <c:catAx>
        <c:axId val="190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65632"/>
        <c:crosses val="autoZero"/>
        <c:auto val="1"/>
        <c:lblAlgn val="ctr"/>
        <c:lblOffset val="100"/>
        <c:noMultiLvlLbl val="0"/>
      </c:catAx>
      <c:valAx>
        <c:axId val="1909656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 для сценария 2 (из модели Штакельберга)</a:t>
            </a:r>
          </a:p>
          <a:p>
            <a:pPr>
              <a:defRPr/>
            </a:pPr>
            <a:r>
              <a:rPr lang="ru-RU">
                <a:solidFill>
                  <a:srgbClr val="FF0000"/>
                </a:solidFill>
              </a:rPr>
              <a:t>ИНВЕСТИЦИЙ?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интерфейс!$I$135:$M$135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интерфейс!$I$145:$M$145</c:f>
              <c:numCache>
                <c:formatCode>_-* #\ ##0_р_._-;\-* #\ ##0_р_._-;_-* "-"??_р_._-;_-@_-</c:formatCode>
                <c:ptCount val="5"/>
                <c:pt idx="0" formatCode="_-* #\ ##0.00_р_._-;\-* #\ ##0.00_р_._-;_-* &quot;-&quot;??_р_._-;_-@_-">
                  <c:v>18500</c:v>
                </c:pt>
                <c:pt idx="1">
                  <c:v>19900</c:v>
                </c:pt>
                <c:pt idx="2">
                  <c:v>21000</c:v>
                </c:pt>
                <c:pt idx="3" formatCode="_-* #\ ##0.00_р_._-;\-* #\ ##0.00_р_._-;_-* &quot;-&quot;??_р_._-;_-@_-">
                  <c:v>22000</c:v>
                </c:pt>
                <c:pt idx="4" formatCode="_-* #\ ##0.00_р_._-;\-* #\ ##0.00_р_._-;_-* &quot;-&quot;??_р_._-;_-@_-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72C-B000-EB11CD92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496"/>
        <c:axId val="190214528"/>
      </c:lineChart>
      <c:catAx>
        <c:axId val="190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4528"/>
        <c:crosses val="autoZero"/>
        <c:auto val="1"/>
        <c:lblAlgn val="ctr"/>
        <c:lblOffset val="100"/>
        <c:noMultiLvlLbl val="0"/>
      </c:catAx>
      <c:valAx>
        <c:axId val="19021452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1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'Графики-2'!$B$28:$AB$28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43739.9</c:v>
                </c:pt>
                <c:pt idx="6">
                  <c:v>46538.5</c:v>
                </c:pt>
                <c:pt idx="7">
                  <c:v>47619.1</c:v>
                </c:pt>
                <c:pt idx="8">
                  <c:v>52399.3</c:v>
                </c:pt>
                <c:pt idx="9">
                  <c:v>49472.2</c:v>
                </c:pt>
                <c:pt idx="10">
                  <c:v>53187.7</c:v>
                </c:pt>
                <c:pt idx="11">
                  <c:v>55572.1</c:v>
                </c:pt>
                <c:pt idx="12">
                  <c:v>58800.3</c:v>
                </c:pt>
                <c:pt idx="13">
                  <c:v>66754.266451000003</c:v>
                </c:pt>
                <c:pt idx="14">
                  <c:v>74029.430366294822</c:v>
                </c:pt>
                <c:pt idx="15">
                  <c:v>80629.166467480856</c:v>
                </c:pt>
                <c:pt idx="16">
                  <c:v>86498.194659850924</c:v>
                </c:pt>
                <c:pt idx="17">
                  <c:v>92238.117693673077</c:v>
                </c:pt>
                <c:pt idx="18">
                  <c:v>99505.781051302882</c:v>
                </c:pt>
                <c:pt idx="19">
                  <c:v>108336.34537534126</c:v>
                </c:pt>
                <c:pt idx="20">
                  <c:v>117630.33111453119</c:v>
                </c:pt>
                <c:pt idx="21">
                  <c:v>127616.86558928182</c:v>
                </c:pt>
                <c:pt idx="22">
                  <c:v>136036.30405590317</c:v>
                </c:pt>
                <c:pt idx="23">
                  <c:v>143663.43660224584</c:v>
                </c:pt>
                <c:pt idx="24">
                  <c:v>151721.43641726009</c:v>
                </c:pt>
                <c:pt idx="25">
                  <c:v>160234.83763967385</c:v>
                </c:pt>
                <c:pt idx="26">
                  <c:v>169229.58293308524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1-4922-95BA-4D067EFD9FC6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'Графики-2'!$B$29:$AB$29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24666.854427345734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18369.147953459407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14725.151005259628</c:v>
                </c:pt>
                <c:pt idx="14">
                  <c:v>14619.481288501038</c:v>
                </c:pt>
                <c:pt idx="15">
                  <c:v>14514.868268910033</c:v>
                </c:pt>
                <c:pt idx="16">
                  <c:v>14411.30137951494</c:v>
                </c:pt>
                <c:pt idx="17">
                  <c:v>14308.770159013797</c:v>
                </c:pt>
                <c:pt idx="18">
                  <c:v>14207.264250717666</c:v>
                </c:pt>
                <c:pt idx="19">
                  <c:v>14106.773401504497</c:v>
                </c:pt>
                <c:pt idx="20">
                  <c:v>14007.287460783456</c:v>
                </c:pt>
                <c:pt idx="21">
                  <c:v>13908.796379469628</c:v>
                </c:pt>
                <c:pt idx="22">
                  <c:v>13811.290208968936</c:v>
                </c:pt>
                <c:pt idx="23">
                  <c:v>13714.759100173254</c:v>
                </c:pt>
                <c:pt idx="24">
                  <c:v>13619.19330246553</c:v>
                </c:pt>
                <c:pt idx="25">
                  <c:v>13524.583162734878</c:v>
                </c:pt>
                <c:pt idx="26">
                  <c:v>13430.91912440154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1-4922-95BA-4D067EFD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736"/>
        <c:axId val="190246272"/>
      </c:lineChart>
      <c:catAx>
        <c:axId val="1902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46272"/>
        <c:crosses val="autoZero"/>
        <c:auto val="1"/>
        <c:lblAlgn val="ctr"/>
        <c:lblOffset val="100"/>
        <c:noMultiLvlLbl val="0"/>
      </c:catAx>
      <c:valAx>
        <c:axId val="190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2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'Графики-2'!$B$60:$AB$60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43995.063860519032</c:v>
                </c:pt>
                <c:pt idx="6">
                  <c:v>46821.502237701658</c:v>
                </c:pt>
                <c:pt idx="7">
                  <c:v>48187.158288676175</c:v>
                </c:pt>
                <c:pt idx="8">
                  <c:v>54022.349358260173</c:v>
                </c:pt>
                <c:pt idx="9">
                  <c:v>53603.844833261275</c:v>
                </c:pt>
                <c:pt idx="10">
                  <c:v>60914.023547354154</c:v>
                </c:pt>
                <c:pt idx="11">
                  <c:v>66800.850894526026</c:v>
                </c:pt>
                <c:pt idx="12">
                  <c:v>74881.160209366353</c:v>
                </c:pt>
                <c:pt idx="13">
                  <c:v>130241.52427246665</c:v>
                </c:pt>
                <c:pt idx="14">
                  <c:v>220673.99121010833</c:v>
                </c:pt>
                <c:pt idx="15">
                  <c:v>283406.42243398039</c:v>
                </c:pt>
                <c:pt idx="16">
                  <c:v>265324.12426869996</c:v>
                </c:pt>
                <c:pt idx="17">
                  <c:v>244771.88222245485</c:v>
                </c:pt>
                <c:pt idx="18">
                  <c:v>235362.54477710539</c:v>
                </c:pt>
                <c:pt idx="19">
                  <c:v>254524.35786269832</c:v>
                </c:pt>
                <c:pt idx="20">
                  <c:v>302311.54790418968</c:v>
                </c:pt>
                <c:pt idx="21">
                  <c:v>395400.37737487361</c:v>
                </c:pt>
                <c:pt idx="22">
                  <c:v>510994.27023642545</c:v>
                </c:pt>
                <c:pt idx="23">
                  <c:v>630475.34381197556</c:v>
                </c:pt>
                <c:pt idx="24">
                  <c:v>738481.35735108901</c:v>
                </c:pt>
                <c:pt idx="25">
                  <c:v>786799.89081573859</c:v>
                </c:pt>
                <c:pt idx="26">
                  <c:v>838292.29110416654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0-464C-9328-9A5ECA51FB41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'Графики-2'!$B$61:$AB$61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25862.830126704172</c:v>
                </c:pt>
                <c:pt idx="6">
                  <c:v>24816.85442734573</c:v>
                </c:pt>
                <c:pt idx="7">
                  <c:v>23191.931776624511</c:v>
                </c:pt>
                <c:pt idx="8">
                  <c:v>23818.562603830986</c:v>
                </c:pt>
                <c:pt idx="9">
                  <c:v>21225.005043661749</c:v>
                </c:pt>
                <c:pt idx="10">
                  <c:v>21037.54648127027</c:v>
                </c:pt>
                <c:pt idx="11">
                  <c:v>19773.428898005364</c:v>
                </c:pt>
                <c:pt idx="12">
                  <c:v>18888.151735474668</c:v>
                </c:pt>
                <c:pt idx="13">
                  <c:v>28729.641025641573</c:v>
                </c:pt>
                <c:pt idx="14">
                  <c:v>43579.145069632526</c:v>
                </c:pt>
                <c:pt idx="15">
                  <c:v>51018.84427704438</c:v>
                </c:pt>
                <c:pt idx="16">
                  <c:v>44205.152872016013</c:v>
                </c:pt>
                <c:pt idx="17">
                  <c:v>37971.119659465279</c:v>
                </c:pt>
                <c:pt idx="18">
                  <c:v>33604.659277491519</c:v>
                </c:pt>
                <c:pt idx="19">
                  <c:v>33142.316450613558</c:v>
                </c:pt>
                <c:pt idx="20">
                  <c:v>35998.918936013142</c:v>
                </c:pt>
                <c:pt idx="21">
                  <c:v>43094.17342196859</c:v>
                </c:pt>
                <c:pt idx="22">
                  <c:v>51879.461224228377</c:v>
                </c:pt>
                <c:pt idx="23">
                  <c:v>60188.017657688273</c:v>
                </c:pt>
                <c:pt idx="24">
                  <c:v>66289.382657646944</c:v>
                </c:pt>
                <c:pt idx="25">
                  <c:v>66409.656679637395</c:v>
                </c:pt>
                <c:pt idx="26">
                  <c:v>66531.133441847735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0-464C-9328-9A5ECA51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9392"/>
        <c:axId val="190700928"/>
      </c:lineChart>
      <c:catAx>
        <c:axId val="190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928"/>
        <c:crosses val="autoZero"/>
        <c:auto val="1"/>
        <c:lblAlgn val="ctr"/>
        <c:lblOffset val="100"/>
        <c:noMultiLvlLbl val="0"/>
      </c:catAx>
      <c:valAx>
        <c:axId val="1907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3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'Графики-2'!$B$92:$AB$92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51143.702175060273</c:v>
                </c:pt>
                <c:pt idx="6">
                  <c:v>54750.056992359343</c:v>
                </c:pt>
                <c:pt idx="7">
                  <c:v>56662.282426760532</c:v>
                </c:pt>
                <c:pt idx="8">
                  <c:v>62270.837937051809</c:v>
                </c:pt>
                <c:pt idx="9">
                  <c:v>60464.157492907179</c:v>
                </c:pt>
                <c:pt idx="10">
                  <c:v>65789.97926561808</c:v>
                </c:pt>
                <c:pt idx="11">
                  <c:v>70275.809333159908</c:v>
                </c:pt>
                <c:pt idx="12">
                  <c:v>76055.102902463143</c:v>
                </c:pt>
                <c:pt idx="13">
                  <c:v>87936.76336696661</c:v>
                </c:pt>
                <c:pt idx="14">
                  <c:v>99327.964609511022</c:v>
                </c:pt>
                <c:pt idx="15">
                  <c:v>110196.52034075171</c:v>
                </c:pt>
                <c:pt idx="16">
                  <c:v>120427.06090678844</c:v>
                </c:pt>
                <c:pt idx="17">
                  <c:v>130828.21022289032</c:v>
                </c:pt>
                <c:pt idx="18">
                  <c:v>143795.61086730787</c:v>
                </c:pt>
                <c:pt idx="19">
                  <c:v>159518.14733743476</c:v>
                </c:pt>
                <c:pt idx="20">
                  <c:v>176492.35715358911</c:v>
                </c:pt>
                <c:pt idx="21">
                  <c:v>195126.92738347256</c:v>
                </c:pt>
                <c:pt idx="22">
                  <c:v>211981.61174496525</c:v>
                </c:pt>
                <c:pt idx="23">
                  <c:v>228168.31402478088</c:v>
                </c:pt>
                <c:pt idx="24">
                  <c:v>245613.94389367089</c:v>
                </c:pt>
                <c:pt idx="25">
                  <c:v>264418.03122649877</c:v>
                </c:pt>
                <c:pt idx="26">
                  <c:v>229848.08588067509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37F-82F9-EE46D74191AF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'Графики-2'!$B$93:$AB$93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30065.211079085126</c:v>
                </c:pt>
                <c:pt idx="6">
                  <c:v>29019.235379726684</c:v>
                </c:pt>
                <c:pt idx="7">
                  <c:v>27270.912729005464</c:v>
                </c:pt>
                <c:pt idx="8">
                  <c:v>27455.337826212035</c:v>
                </c:pt>
                <c:pt idx="9">
                  <c:v>23941.417854254199</c:v>
                </c:pt>
                <c:pt idx="10">
                  <c:v>22721.528905840358</c:v>
                </c:pt>
                <c:pt idx="11">
                  <c:v>20802.03620898621</c:v>
                </c:pt>
                <c:pt idx="12">
                  <c:v>19184.26904527552</c:v>
                </c:pt>
                <c:pt idx="13">
                  <c:v>19397.743220545399</c:v>
                </c:pt>
                <c:pt idx="14">
                  <c:v>19615.486879320677</c:v>
                </c:pt>
                <c:pt idx="15">
                  <c:v>19837.585411271459</c:v>
                </c:pt>
                <c:pt idx="16">
                  <c:v>20064.125913861251</c:v>
                </c:pt>
                <c:pt idx="17">
                  <c:v>20295.197226502845</c:v>
                </c:pt>
                <c:pt idx="18">
                  <c:v>20530.889965397266</c:v>
                </c:pt>
                <c:pt idx="19">
                  <c:v>20771.296559069582</c:v>
                </c:pt>
                <c:pt idx="20">
                  <c:v>21016.511284615342</c:v>
                </c:pt>
                <c:pt idx="21">
                  <c:v>21266.630304672017</c:v>
                </c:pt>
                <c:pt idx="22">
                  <c:v>21521.751705129824</c:v>
                </c:pt>
                <c:pt idx="23">
                  <c:v>21781.975533596789</c:v>
                </c:pt>
                <c:pt idx="24">
                  <c:v>22047.403838633094</c:v>
                </c:pt>
                <c:pt idx="25">
                  <c:v>22318.140709770123</c:v>
                </c:pt>
                <c:pt idx="26">
                  <c:v>18241.911365948941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37F-82F9-EE46D741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024"/>
        <c:axId val="190274560"/>
      </c:lineChart>
      <c:catAx>
        <c:axId val="190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74560"/>
        <c:crosses val="autoZero"/>
        <c:auto val="1"/>
        <c:lblAlgn val="ctr"/>
        <c:lblOffset val="100"/>
        <c:noMultiLvlLbl val="0"/>
      </c:catAx>
      <c:valAx>
        <c:axId val="19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4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'Графики-2'!$B$124:$AB$124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51036.953884645198</c:v>
                </c:pt>
                <c:pt idx="4">
                  <c:v>54792.673650828976</c:v>
                </c:pt>
                <c:pt idx="5">
                  <c:v>59287.88456762657</c:v>
                </c:pt>
                <c:pt idx="6">
                  <c:v>63782.769683954626</c:v>
                </c:pt>
                <c:pt idx="7">
                  <c:v>66609.783096197134</c:v>
                </c:pt>
                <c:pt idx="8">
                  <c:v>73129.529667808791</c:v>
                </c:pt>
                <c:pt idx="9">
                  <c:v>72555.310735105086</c:v>
                </c:pt>
                <c:pt idx="10">
                  <c:v>79652.486457797975</c:v>
                </c:pt>
                <c:pt idx="11">
                  <c:v>86449.88959963579</c:v>
                </c:pt>
                <c:pt idx="12">
                  <c:v>95035.386095172609</c:v>
                </c:pt>
                <c:pt idx="13">
                  <c:v>67722.019649000009</c:v>
                </c:pt>
                <c:pt idx="14">
                  <c:v>76191.39101062683</c:v>
                </c:pt>
                <c:pt idx="15">
                  <c:v>84186.791291270521</c:v>
                </c:pt>
                <c:pt idx="16">
                  <c:v>91623.887834701018</c:v>
                </c:pt>
                <c:pt idx="17">
                  <c:v>99120.048850173611</c:v>
                </c:pt>
                <c:pt idx="18">
                  <c:v>108479.6390806019</c:v>
                </c:pt>
                <c:pt idx="19">
                  <c:v>119818.06615258362</c:v>
                </c:pt>
                <c:pt idx="20">
                  <c:v>131982.07050795376</c:v>
                </c:pt>
                <c:pt idx="21">
                  <c:v>145261.45640967746</c:v>
                </c:pt>
                <c:pt idx="22">
                  <c:v>157087.98929243651</c:v>
                </c:pt>
                <c:pt idx="23">
                  <c:v>168298.13404620392</c:v>
                </c:pt>
                <c:pt idx="24">
                  <c:v>180311.6839746827</c:v>
                </c:pt>
                <c:pt idx="25">
                  <c:v>193186.44317993044</c:v>
                </c:pt>
                <c:pt idx="26">
                  <c:v>206984.38954348455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E5C-AE92-A807AD9B444E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'Графики-2'!$B$125:$AB$125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36712.453783830766</c:v>
                </c:pt>
                <c:pt idx="4">
                  <c:v>35808.175484013555</c:v>
                </c:pt>
                <c:pt idx="5">
                  <c:v>34852.830126704175</c:v>
                </c:pt>
                <c:pt idx="6">
                  <c:v>33806.85442734573</c:v>
                </c:pt>
                <c:pt idx="7">
                  <c:v>32058.531776624513</c:v>
                </c:pt>
                <c:pt idx="8">
                  <c:v>32242.956873831081</c:v>
                </c:pt>
                <c:pt idx="9">
                  <c:v>28729.036901873249</c:v>
                </c:pt>
                <c:pt idx="10">
                  <c:v>27509.147953459407</c:v>
                </c:pt>
                <c:pt idx="11">
                  <c:v>25589.655256605256</c:v>
                </c:pt>
                <c:pt idx="12">
                  <c:v>23971.888092894569</c:v>
                </c:pt>
                <c:pt idx="13">
                  <c:v>14938.625180529507</c:v>
                </c:pt>
                <c:pt idx="14">
                  <c:v>15046.429639040796</c:v>
                </c:pt>
                <c:pt idx="15">
                  <c:v>15155.312142137198</c:v>
                </c:pt>
                <c:pt idx="16">
                  <c:v>15265.283470264565</c:v>
                </c:pt>
                <c:pt idx="17">
                  <c:v>15376.354511673204</c:v>
                </c:pt>
                <c:pt idx="18">
                  <c:v>15488.536263495926</c:v>
                </c:pt>
                <c:pt idx="19">
                  <c:v>15601.83983283688</c:v>
                </c:pt>
                <c:pt idx="20">
                  <c:v>15716.27643787124</c:v>
                </c:pt>
                <c:pt idx="21">
                  <c:v>15831.85740895595</c:v>
                </c:pt>
                <c:pt idx="22">
                  <c:v>15948.594189751499</c:v>
                </c:pt>
                <c:pt idx="23">
                  <c:v>16066.498338355012</c:v>
                </c:pt>
                <c:pt idx="24">
                  <c:v>16185.581528444554</c:v>
                </c:pt>
                <c:pt idx="25">
                  <c:v>16305.855550434993</c:v>
                </c:pt>
                <c:pt idx="26">
                  <c:v>16427.332312645336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E5C-AE92-A807AD9B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520"/>
        <c:axId val="190397056"/>
      </c:lineChart>
      <c:catAx>
        <c:axId val="19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97056"/>
        <c:crosses val="autoZero"/>
        <c:auto val="1"/>
        <c:lblAlgn val="ctr"/>
        <c:lblOffset val="100"/>
        <c:noMultiLvlLbl val="0"/>
      </c:catAx>
      <c:valAx>
        <c:axId val="19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0%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'Графики-2'!$B$30:$AB$30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18850.48315</c:v>
                </c:pt>
                <c:pt idx="14">
                  <c:v>21055.989678549999</c:v>
                </c:pt>
                <c:pt idx="15">
                  <c:v>23098.420677369348</c:v>
                </c:pt>
                <c:pt idx="16">
                  <c:v>24957.843541897582</c:v>
                </c:pt>
                <c:pt idx="17">
                  <c:v>26804.723963998007</c:v>
                </c:pt>
                <c:pt idx="18">
                  <c:v>29123.332586883833</c:v>
                </c:pt>
                <c:pt idx="19">
                  <c:v>31933.734181518124</c:v>
                </c:pt>
                <c:pt idx="20">
                  <c:v>34919.538327490067</c:v>
                </c:pt>
                <c:pt idx="21">
                  <c:v>38152.389185849097</c:v>
                </c:pt>
                <c:pt idx="22">
                  <c:v>40956.589791008999</c:v>
                </c:pt>
                <c:pt idx="23">
                  <c:v>43557.333242738066</c:v>
                </c:pt>
                <c:pt idx="24">
                  <c:v>46323.223903651931</c:v>
                </c:pt>
                <c:pt idx="25">
                  <c:v>49264.748621533821</c:v>
                </c:pt>
                <c:pt idx="26">
                  <c:v>52393.060159001216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6F0-A8FF-31F60A1C4972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'Графики-2'!$B$31:$AB$31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4158.1793294006602</c:v>
                </c:pt>
                <c:pt idx="14">
                  <c:v>4158.1793294006602</c:v>
                </c:pt>
                <c:pt idx="15">
                  <c:v>4158.1793294006602</c:v>
                </c:pt>
                <c:pt idx="16">
                  <c:v>4158.1793294006602</c:v>
                </c:pt>
                <c:pt idx="17">
                  <c:v>4158.1793294006602</c:v>
                </c:pt>
                <c:pt idx="18">
                  <c:v>4158.1793294006602</c:v>
                </c:pt>
                <c:pt idx="19">
                  <c:v>4158.1793294006602</c:v>
                </c:pt>
                <c:pt idx="20">
                  <c:v>4158.1793294006602</c:v>
                </c:pt>
                <c:pt idx="21">
                  <c:v>4158.1793294006602</c:v>
                </c:pt>
                <c:pt idx="22">
                  <c:v>4158.1793294006602</c:v>
                </c:pt>
                <c:pt idx="23">
                  <c:v>4158.1793294006602</c:v>
                </c:pt>
                <c:pt idx="24">
                  <c:v>4158.1793294006602</c:v>
                </c:pt>
                <c:pt idx="25">
                  <c:v>4158.1793294006602</c:v>
                </c:pt>
                <c:pt idx="26">
                  <c:v>4158.1793294006602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C-46F0-A8FF-31F60A1C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12"/>
        <c:axId val="190318848"/>
      </c:lineChart>
      <c:catAx>
        <c:axId val="190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8848"/>
        <c:crosses val="autoZero"/>
        <c:auto val="1"/>
        <c:lblAlgn val="ctr"/>
        <c:lblOffset val="100"/>
        <c:noMultiLvlLbl val="0"/>
      </c:catAx>
      <c:valAx>
        <c:axId val="19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'Графики-2'!$B$62:$AB$62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6A8-90F5-3A1D07C60439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'Графики-2'!$B$63:$AB$63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B-46A8-90F5-3A1D07C6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1232"/>
        <c:crosses val="autoZero"/>
        <c:auto val="1"/>
        <c:lblAlgn val="ctr"/>
        <c:lblOffset val="100"/>
        <c:noMultiLvlLbl val="0"/>
      </c:catAx>
      <c:valAx>
        <c:axId val="190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'Графики-2'!$B$94:$AB$94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F4C-9594-154DA636691C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'Графики-2'!$B$95:$AB$95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6-4F4C-9594-154DA636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576"/>
        <c:axId val="191514112"/>
      </c:lineChart>
      <c:cat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4112"/>
        <c:crosses val="autoZero"/>
        <c:auto val="1"/>
        <c:lblAlgn val="ctr"/>
        <c:lblOffset val="100"/>
        <c:noMultiLvlLbl val="0"/>
      </c:catAx>
      <c:valAx>
        <c:axId val="191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</a:t>
            </a:r>
          </a:p>
        </c:rich>
      </c:tx>
      <c:layout>
        <c:manualLayout>
          <c:xMode val="edge"/>
          <c:yMode val="edge"/>
          <c:x val="0.2983723374964326"/>
          <c:y val="2.32263482620839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ГрСцЭкс!$C$114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ГрСцЭкс!$D$114:$AD$114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61F-95E6-3A5DB11B2B01}"/>
            </c:ext>
          </c:extLst>
        </c:ser>
        <c:ser>
          <c:idx val="1"/>
          <c:order val="1"/>
          <c:tx>
            <c:strRef>
              <c:f>ГрСцЭкс!$C$115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ГрСцЭкс!$D$115:$AD$115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61F-95E6-3A5DB11B2B01}"/>
            </c:ext>
          </c:extLst>
        </c:ser>
        <c:ser>
          <c:idx val="2"/>
          <c:order val="2"/>
          <c:tx>
            <c:strRef>
              <c:f>ГрСцЭкс!$C$116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ГрСцЭкс!$D$116:$AD$116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16055.368689556281</c:v>
                </c:pt>
                <c:pt idx="6">
                  <c:v>15035.660830199291</c:v>
                </c:pt>
                <c:pt idx="7">
                  <c:v>16167.124825409806</c:v>
                </c:pt>
                <c:pt idx="8">
                  <c:v>13574.196521085734</c:v>
                </c:pt>
                <c:pt idx="9">
                  <c:v>11454.987926699667</c:v>
                </c:pt>
                <c:pt idx="10">
                  <c:v>10953.150925514014</c:v>
                </c:pt>
                <c:pt idx="11">
                  <c:v>9410.7472780695825</c:v>
                </c:pt>
                <c:pt idx="12">
                  <c:v>8312.7247839461161</c:v>
                </c:pt>
                <c:pt idx="13">
                  <c:v>8419.461871581052</c:v>
                </c:pt>
                <c:pt idx="14">
                  <c:v>8525.1315883396455</c:v>
                </c:pt>
                <c:pt idx="15">
                  <c:v>8629.7446079306501</c:v>
                </c:pt>
                <c:pt idx="16">
                  <c:v>8733.3114973257434</c:v>
                </c:pt>
                <c:pt idx="17">
                  <c:v>8835.8427178268885</c:v>
                </c:pt>
                <c:pt idx="18">
                  <c:v>8937.3486261230173</c:v>
                </c:pt>
                <c:pt idx="19">
                  <c:v>9037.8394753361899</c:v>
                </c:pt>
                <c:pt idx="20">
                  <c:v>9137.3254160572269</c:v>
                </c:pt>
                <c:pt idx="21">
                  <c:v>9235.8164973710554</c:v>
                </c:pt>
                <c:pt idx="22">
                  <c:v>9333.3226678717438</c:v>
                </c:pt>
                <c:pt idx="23">
                  <c:v>9429.8537766674308</c:v>
                </c:pt>
                <c:pt idx="24">
                  <c:v>9525.4195743751552</c:v>
                </c:pt>
                <c:pt idx="25">
                  <c:v>9620.0297141058036</c:v>
                </c:pt>
                <c:pt idx="26">
                  <c:v>9713.6937524391433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61F-95E6-3A5DB11B2B01}"/>
            </c:ext>
          </c:extLst>
        </c:ser>
        <c:ser>
          <c:idx val="3"/>
          <c:order val="3"/>
          <c:tx>
            <c:strRef>
              <c:f>ГрСцЭкс!$C$117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ГрСцЭкс!$D$117:$AD$117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20819.702558071775</c:v>
                </c:pt>
                <c:pt idx="4">
                  <c:v>24117.791663858639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61F-95E6-3A5DB11B2B01}"/>
            </c:ext>
          </c:extLst>
        </c:ser>
        <c:ser>
          <c:idx val="4"/>
          <c:order val="4"/>
          <c:tx>
            <c:strRef>
              <c:f>ГрСцЭкс!$C$118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ГрСцЭкс!$D$118:$AD$118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61F-95E6-3A5DB11B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26720"/>
        <c:axId val="190128512"/>
      </c:lineChart>
      <c:catAx>
        <c:axId val="190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512"/>
        <c:crosses val="autoZero"/>
        <c:auto val="1"/>
        <c:lblAlgn val="ctr"/>
        <c:lblOffset val="100"/>
        <c:noMultiLvlLbl val="0"/>
      </c:catAx>
      <c:valAx>
        <c:axId val="190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секторе</a:t>
            </a:r>
            <a:r>
              <a:rPr lang="ru-RU" baseline="0"/>
              <a:t> ППП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Сценарии!$G$16:$AE$16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15.5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6.79</c:v>
                </c:pt>
                <c:pt idx="19">
                  <c:v>8</c:v>
                </c:pt>
                <c:pt idx="20">
                  <c:v>9</c:v>
                </c:pt>
                <c:pt idx="21">
                  <c:v>6.42</c:v>
                </c:pt>
                <c:pt idx="22">
                  <c:v>6</c:v>
                </c:pt>
                <c:pt idx="23">
                  <c:v>5.94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D7A-9AEF-EDE6529E256F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D7A-9AEF-EDE6529E256F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Сценарии!$G$18:$AE$18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11.89</c:v>
                </c:pt>
                <c:pt idx="17">
                  <c:v>10</c:v>
                </c:pt>
                <c:pt idx="18">
                  <c:v>11.57</c:v>
                </c:pt>
                <c:pt idx="19">
                  <c:v>13</c:v>
                </c:pt>
                <c:pt idx="20">
                  <c:v>14</c:v>
                </c:pt>
                <c:pt idx="21">
                  <c:v>11.46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D7A-9AEF-EDE6529E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8128"/>
        <c:axId val="191574016"/>
      </c:lineChart>
      <c:catAx>
        <c:axId val="191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4016"/>
        <c:crosses val="autoZero"/>
        <c:auto val="1"/>
        <c:lblAlgn val="ctr"/>
        <c:lblOffset val="100"/>
        <c:noMultiLvlLbl val="0"/>
      </c:catAx>
      <c:valAx>
        <c:axId val="19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потребительском секторе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Сценарии!$G$23:$AE$23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5.92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BD5-A6B4-0058B1363F0E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BD5-A6B4-0058B1363F0E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Сценарии!$G$25:$AE$25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12.5</c:v>
                </c:pt>
                <c:pt idx="19">
                  <c:v>11</c:v>
                </c:pt>
                <c:pt idx="20">
                  <c:v>9.52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BD5-A6B4-0058B136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0992"/>
        <c:axId val="191622528"/>
      </c:lineChart>
      <c:catAx>
        <c:axId val="191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</a:t>
            </a:r>
            <a:r>
              <a:rPr lang="ru-RU" baseline="0"/>
              <a:t> бюджетных доходов в сопоставимых ценах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Сценарии!$B$65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Сценарии!$C$65:$AB$65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23068859.585236199</c:v>
                </c:pt>
                <c:pt idx="12">
                  <c:v>20761973.626712579</c:v>
                </c:pt>
                <c:pt idx="13">
                  <c:v>20761973.626712579</c:v>
                </c:pt>
                <c:pt idx="14">
                  <c:v>20761973.626712579</c:v>
                </c:pt>
                <c:pt idx="15">
                  <c:v>20761973.626712579</c:v>
                </c:pt>
                <c:pt idx="16">
                  <c:v>20761973.626712579</c:v>
                </c:pt>
                <c:pt idx="17">
                  <c:v>20761973.626712579</c:v>
                </c:pt>
                <c:pt idx="18">
                  <c:v>20761973.626712579</c:v>
                </c:pt>
                <c:pt idx="19">
                  <c:v>20761973.626712579</c:v>
                </c:pt>
                <c:pt idx="20">
                  <c:v>20761973.626712579</c:v>
                </c:pt>
                <c:pt idx="21">
                  <c:v>20761973.626712579</c:v>
                </c:pt>
                <c:pt idx="22">
                  <c:v>20761973.626712579</c:v>
                </c:pt>
                <c:pt idx="23">
                  <c:v>20761973.626712579</c:v>
                </c:pt>
                <c:pt idx="24">
                  <c:v>20761973.626712579</c:v>
                </c:pt>
                <c:pt idx="25">
                  <c:v>20761973.626712579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9CE-A80F-0F355520D139}"/>
            </c:ext>
          </c:extLst>
        </c:ser>
        <c:ser>
          <c:idx val="1"/>
          <c:order val="1"/>
          <c:tx>
            <c:strRef>
              <c:f>Сценарии!$B$66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Сценарии!$C$66:$AB$66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22544567.321935374</c:v>
                </c:pt>
                <c:pt idx="12">
                  <c:v>19839219.243303131</c:v>
                </c:pt>
                <c:pt idx="13">
                  <c:v>19839219.243303131</c:v>
                </c:pt>
                <c:pt idx="14">
                  <c:v>19839219.243303131</c:v>
                </c:pt>
                <c:pt idx="15">
                  <c:v>19839219.243303131</c:v>
                </c:pt>
                <c:pt idx="16">
                  <c:v>19839219.243303131</c:v>
                </c:pt>
                <c:pt idx="17">
                  <c:v>19839219.243303131</c:v>
                </c:pt>
                <c:pt idx="18">
                  <c:v>19839219.243303131</c:v>
                </c:pt>
                <c:pt idx="19">
                  <c:v>19839219.243303131</c:v>
                </c:pt>
                <c:pt idx="20">
                  <c:v>19839219.243303131</c:v>
                </c:pt>
                <c:pt idx="21">
                  <c:v>19839219.243303131</c:v>
                </c:pt>
                <c:pt idx="22">
                  <c:v>19839219.243303131</c:v>
                </c:pt>
                <c:pt idx="23">
                  <c:v>19839219.243303131</c:v>
                </c:pt>
                <c:pt idx="24">
                  <c:v>19839219.243303131</c:v>
                </c:pt>
                <c:pt idx="25">
                  <c:v>19839219.243303131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9CE-A80F-0F355520D139}"/>
            </c:ext>
          </c:extLst>
        </c:ser>
        <c:ser>
          <c:idx val="2"/>
          <c:order val="2"/>
          <c:tx>
            <c:strRef>
              <c:f>Сценарии!$B$67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Сценарии!$C$67:$AB$67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22020275.058634553</c:v>
                </c:pt>
                <c:pt idx="12">
                  <c:v>18937436.550425716</c:v>
                </c:pt>
                <c:pt idx="13">
                  <c:v>17990564.722904429</c:v>
                </c:pt>
                <c:pt idx="14">
                  <c:v>17990564.722904429</c:v>
                </c:pt>
                <c:pt idx="15">
                  <c:v>17990564.722904429</c:v>
                </c:pt>
                <c:pt idx="16">
                  <c:v>17990564.722904429</c:v>
                </c:pt>
                <c:pt idx="17">
                  <c:v>17990564.722904429</c:v>
                </c:pt>
                <c:pt idx="18">
                  <c:v>17990564.722904429</c:v>
                </c:pt>
                <c:pt idx="19">
                  <c:v>17990564.722904429</c:v>
                </c:pt>
                <c:pt idx="20">
                  <c:v>17990564.722904429</c:v>
                </c:pt>
                <c:pt idx="21">
                  <c:v>17990564.722904429</c:v>
                </c:pt>
                <c:pt idx="22">
                  <c:v>17990564.722904429</c:v>
                </c:pt>
                <c:pt idx="23">
                  <c:v>17990564.722904429</c:v>
                </c:pt>
                <c:pt idx="24">
                  <c:v>17990564.722904429</c:v>
                </c:pt>
                <c:pt idx="25">
                  <c:v>17990564.722904429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9CE-A80F-0F35552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912"/>
        <c:axId val="191736448"/>
      </c:lineChart>
      <c:catAx>
        <c:axId val="191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36448"/>
        <c:crosses val="autoZero"/>
        <c:auto val="1"/>
        <c:lblAlgn val="ctr"/>
        <c:lblOffset val="100"/>
        <c:noMultiLvlLbl val="0"/>
      </c:catAx>
      <c:valAx>
        <c:axId val="1917364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бюджетных доходов края в текущих ценах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4963513909791"/>
          <c:y val="0.15116479021777579"/>
          <c:w val="0.69856464617823044"/>
          <c:h val="0.64236059240524523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Сценарии!$B$74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Сценарии!$C$74:$AB$74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77933850.391298115</c:v>
                </c:pt>
                <c:pt idx="12">
                  <c:v>82309836.0907695</c:v>
                </c:pt>
                <c:pt idx="13">
                  <c:v>94121297.569794923</c:v>
                </c:pt>
                <c:pt idx="14">
                  <c:v>105133489.38546093</c:v>
                </c:pt>
                <c:pt idx="15">
                  <c:v>115331437.85585064</c:v>
                </c:pt>
                <c:pt idx="16">
                  <c:v>124615618.60324663</c:v>
                </c:pt>
                <c:pt idx="17">
                  <c:v>133837174.37988688</c:v>
                </c:pt>
                <c:pt idx="18">
                  <c:v>145414089.96374708</c:v>
                </c:pt>
                <c:pt idx="19">
                  <c:v>159446549.64524871</c:v>
                </c:pt>
                <c:pt idx="20">
                  <c:v>174354802.03707945</c:v>
                </c:pt>
                <c:pt idx="21">
                  <c:v>190496569.60967225</c:v>
                </c:pt>
                <c:pt idx="22">
                  <c:v>204498067.47598314</c:v>
                </c:pt>
                <c:pt idx="23">
                  <c:v>217483694.76070803</c:v>
                </c:pt>
                <c:pt idx="24">
                  <c:v>231293909.37801298</c:v>
                </c:pt>
                <c:pt idx="25">
                  <c:v>245981072.62351677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3-431C-9E73-AA7C8A77F4B9}"/>
            </c:ext>
          </c:extLst>
        </c:ser>
        <c:ser>
          <c:idx val="1"/>
          <c:order val="1"/>
          <c:tx>
            <c:strRef>
              <c:f>Сценарии!$B$75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Сценарии!$C$75:$AB$75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76162626.518768609</c:v>
                </c:pt>
                <c:pt idx="12">
                  <c:v>78651621.153401971</c:v>
                </c:pt>
                <c:pt idx="13">
                  <c:v>89938128.788915157</c:v>
                </c:pt>
                <c:pt idx="14">
                  <c:v>100460889.85721822</c:v>
                </c:pt>
                <c:pt idx="15">
                  <c:v>110205596.17336839</c:v>
                </c:pt>
                <c:pt idx="16">
                  <c:v>119077146.66532455</c:v>
                </c:pt>
                <c:pt idx="17">
                  <c:v>127888855.51855858</c:v>
                </c:pt>
                <c:pt idx="18">
                  <c:v>138951241.5209139</c:v>
                </c:pt>
                <c:pt idx="19">
                  <c:v>152360036.32768208</c:v>
                </c:pt>
                <c:pt idx="20">
                  <c:v>166605699.72432035</c:v>
                </c:pt>
                <c:pt idx="21">
                  <c:v>182030055.40479791</c:v>
                </c:pt>
                <c:pt idx="22">
                  <c:v>195409264.47705057</c:v>
                </c:pt>
                <c:pt idx="23">
                  <c:v>207817752.77134323</c:v>
                </c:pt>
                <c:pt idx="24">
                  <c:v>221014180.07232353</c:v>
                </c:pt>
                <c:pt idx="25">
                  <c:v>235048580.50691605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31C-9E73-AA7C8A77F4B9}"/>
            </c:ext>
          </c:extLst>
        </c:ser>
        <c:ser>
          <c:idx val="2"/>
          <c:order val="2"/>
          <c:tx>
            <c:strRef>
              <c:f>Сценарии!$B$76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Сценарии!$C$76:$AB$76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74391402.646239102</c:v>
                </c:pt>
                <c:pt idx="12">
                  <c:v>75076547.464610964</c:v>
                </c:pt>
                <c:pt idx="13">
                  <c:v>81557530.424493507</c:v>
                </c:pt>
                <c:pt idx="14">
                  <c:v>91099761.484159246</c:v>
                </c:pt>
                <c:pt idx="15">
                  <c:v>99936438.348122686</c:v>
                </c:pt>
                <c:pt idx="16">
                  <c:v>107981321.63514657</c:v>
                </c:pt>
                <c:pt idx="17">
                  <c:v>115971939.43614742</c:v>
                </c:pt>
                <c:pt idx="18">
                  <c:v>126003512.19737418</c:v>
                </c:pt>
                <c:pt idx="19">
                  <c:v>138162851.12442079</c:v>
                </c:pt>
                <c:pt idx="20">
                  <c:v>151081077.70455414</c:v>
                </c:pt>
                <c:pt idx="21">
                  <c:v>165068163.87844175</c:v>
                </c:pt>
                <c:pt idx="22">
                  <c:v>177200673.92350721</c:v>
                </c:pt>
                <c:pt idx="23">
                  <c:v>188452916.71764988</c:v>
                </c:pt>
                <c:pt idx="24">
                  <c:v>200419676.92922062</c:v>
                </c:pt>
                <c:pt idx="25">
                  <c:v>213146326.41422611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3-431C-9E73-AA7C8A77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2416"/>
        <c:axId val="192173952"/>
      </c:lineChart>
      <c:catAx>
        <c:axId val="19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952"/>
        <c:crosses val="autoZero"/>
        <c:auto val="1"/>
        <c:lblAlgn val="ctr"/>
        <c:lblOffset val="100"/>
        <c:noMultiLvlLbl val="0"/>
      </c:catAx>
      <c:valAx>
        <c:axId val="19217395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расходов на непр. сферу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Сценарии!$C$90:$AB$90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Сценарии!$C$92:$AB$92</c:f>
              <c:numCache>
                <c:formatCode>_-* #\ ##0.00_р_._-;\-* #\ ##0.00_р_._-;_-* "-"??_р_._-;_-@_-</c:formatCode>
                <c:ptCount val="26"/>
                <c:pt idx="0">
                  <c:v>13314182.053560002</c:v>
                </c:pt>
                <c:pt idx="1">
                  <c:v>16709238.932039998</c:v>
                </c:pt>
                <c:pt idx="2">
                  <c:v>19374981.762139998</c:v>
                </c:pt>
                <c:pt idx="3">
                  <c:v>23529017.37799</c:v>
                </c:pt>
                <c:pt idx="4">
                  <c:v>24880386.637880005</c:v>
                </c:pt>
                <c:pt idx="5">
                  <c:v>27975769.610169999</c:v>
                </c:pt>
                <c:pt idx="6">
                  <c:v>29060796.29377</c:v>
                </c:pt>
                <c:pt idx="7">
                  <c:v>37764372.420560002</c:v>
                </c:pt>
                <c:pt idx="8">
                  <c:v>42168282.307270013</c:v>
                </c:pt>
                <c:pt idx="9">
                  <c:v>43886462.336021848</c:v>
                </c:pt>
                <c:pt idx="10">
                  <c:v>48162498.18973998</c:v>
                </c:pt>
                <c:pt idx="11">
                  <c:v>52315641.393009104</c:v>
                </c:pt>
                <c:pt idx="12">
                  <c:v>57533260.640013009</c:v>
                </c:pt>
                <c:pt idx="13">
                  <c:v>65774955.869593002</c:v>
                </c:pt>
                <c:pt idx="14">
                  <c:v>73454781.73651804</c:v>
                </c:pt>
                <c:pt idx="15">
                  <c:v>50856607.931067638</c:v>
                </c:pt>
                <c:pt idx="16">
                  <c:v>55318690.274628341</c:v>
                </c:pt>
                <c:pt idx="17">
                  <c:v>59803686.373187833</c:v>
                </c:pt>
                <c:pt idx="18">
                  <c:v>65397722.786339909</c:v>
                </c:pt>
                <c:pt idx="19">
                  <c:v>72165632.312537029</c:v>
                </c:pt>
                <c:pt idx="20">
                  <c:v>79407882.833356082</c:v>
                </c:pt>
                <c:pt idx="21">
                  <c:v>87294628.076075494</c:v>
                </c:pt>
                <c:pt idx="22">
                  <c:v>94279536.223614037</c:v>
                </c:pt>
                <c:pt idx="23">
                  <c:v>100865106.88425691</c:v>
                </c:pt>
                <c:pt idx="24">
                  <c:v>107900517.90698914</c:v>
                </c:pt>
                <c:pt idx="25">
                  <c:v>115416007.68229148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1C3-BA9E-A337517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4432"/>
        <c:axId val="192195968"/>
      </c:lineChart>
      <c:catAx>
        <c:axId val="192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ввода жилья за счёт населения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Сценарии!$B$110</c:f>
              <c:strCache>
                <c:ptCount val="1"/>
                <c:pt idx="0">
                  <c:v>сценарий 1 покупают много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Сценарии!$C$110:$AB$110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63506.383199999997</c:v>
                </c:pt>
                <c:pt idx="12">
                  <c:v>60331.064039999997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07B-98AD-61FBD85B09BA}"/>
            </c:ext>
          </c:extLst>
        </c:ser>
        <c:ser>
          <c:idx val="1"/>
          <c:order val="1"/>
          <c:tx>
            <c:strRef>
              <c:f>Сценарии!$B$111</c:f>
              <c:strCache>
                <c:ptCount val="1"/>
                <c:pt idx="0">
                  <c:v>сценарий 2 инерция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Сценарии!$C$111:$AB$111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51598.936349999989</c:v>
                </c:pt>
                <c:pt idx="12">
                  <c:v>41279.149079999996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07B-98AD-61FBD85B09BA}"/>
            </c:ext>
          </c:extLst>
        </c:ser>
        <c:ser>
          <c:idx val="2"/>
          <c:order val="2"/>
          <c:tx>
            <c:strRef>
              <c:f>Сценарии!$B$112</c:f>
              <c:strCache>
                <c:ptCount val="1"/>
                <c:pt idx="0">
                  <c:v>сценарий 3  покупают мало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Сценарии!$C$112:$AB$112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39691.489499999996</c:v>
                </c:pt>
                <c:pt idx="12">
                  <c:v>25799.468174999995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07B-98AD-61FBD85B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Инерционные сценарии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Инерция ППП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F67-B341-1A0F446CD35C}"/>
            </c:ext>
          </c:extLst>
        </c:ser>
        <c:ser>
          <c:idx val="1"/>
          <c:order val="1"/>
          <c:tx>
            <c:v>Инерция потр сектор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F67-B341-1A0F446CD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1504"/>
        <c:axId val="192267392"/>
      </c:lineChart>
      <c:catAx>
        <c:axId val="19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7392"/>
        <c:crosses val="autoZero"/>
        <c:auto val="1"/>
        <c:lblAlgn val="ctr"/>
        <c:lblOffset val="100"/>
        <c:noMultiLvlLbl val="0"/>
      </c:catAx>
      <c:valAx>
        <c:axId val="192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КБ,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803215074306193E-2"/>
          <c:y val="0.19480351414406533"/>
          <c:w val="0.80012724599901197"/>
          <c:h val="0.75379593175853132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Сценарии!$B$56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Сценарии!$C$56:$AB$56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-12</c:v>
                </c:pt>
                <c:pt idx="12" formatCode="General">
                  <c:v>-10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5A6-8BF8-0AE7085DF6D6}"/>
            </c:ext>
          </c:extLst>
        </c:ser>
        <c:ser>
          <c:idx val="1"/>
          <c:order val="1"/>
          <c:tx>
            <c:strRef>
              <c:f>Сценарии!$B$57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Сценарии!$C$57:$AB$57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-14</c:v>
                </c:pt>
                <c:pt idx="12" formatCode="General">
                  <c:v>-12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1-45A6-8BF8-0AE7085DF6D6}"/>
            </c:ext>
          </c:extLst>
        </c:ser>
        <c:ser>
          <c:idx val="2"/>
          <c:order val="2"/>
          <c:tx>
            <c:strRef>
              <c:f>Сценарии!$B$58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Сценарии!$C$58:$AB$58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-16</c:v>
                </c:pt>
                <c:pt idx="12" formatCode="General">
                  <c:v>-14</c:v>
                </c:pt>
                <c:pt idx="13" formatCode="General">
                  <c:v>-5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1-45A6-8BF8-0AE7085D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328"/>
        <c:axId val="192377216"/>
      </c:lineChart>
      <c:catAx>
        <c:axId val="19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7216"/>
        <c:crosses val="autoZero"/>
        <c:auto val="1"/>
        <c:lblAlgn val="ctr"/>
        <c:lblOffset val="100"/>
        <c:noMultiLvlLbl val="0"/>
      </c:catAx>
      <c:valAx>
        <c:axId val="192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</a:t>
            </a:r>
            <a:r>
              <a:rPr lang="ru-RU" baseline="0"/>
              <a:t> роста ввода жилья за счёт населения, %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Сценарии!$B$102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Сценарии!$C$102:$AB$102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-20</c:v>
                </c:pt>
                <c:pt idx="12">
                  <c:v>-5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25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DE2-A6DD-FD9DAFA6213C}"/>
            </c:ext>
          </c:extLst>
        </c:ser>
        <c:ser>
          <c:idx val="1"/>
          <c:order val="1"/>
          <c:tx>
            <c:strRef>
              <c:f>Сценарии!$B$103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Сценарии!$C$103:$AB$103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-35</c:v>
                </c:pt>
                <c:pt idx="12">
                  <c:v>-20</c:v>
                </c:pt>
                <c:pt idx="13">
                  <c:v>45</c:v>
                </c:pt>
                <c:pt idx="14">
                  <c:v>35</c:v>
                </c:pt>
                <c:pt idx="15">
                  <c:v>35</c:v>
                </c:pt>
                <c:pt idx="16">
                  <c:v>20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DE2-A6DD-FD9DAFA6213C}"/>
            </c:ext>
          </c:extLst>
        </c:ser>
        <c:ser>
          <c:idx val="2"/>
          <c:order val="2"/>
          <c:tx>
            <c:strRef>
              <c:f>Сценарии!$B$104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Сценарии!$C$104:$AB$104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-50</c:v>
                </c:pt>
                <c:pt idx="12">
                  <c:v>-35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15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4-4DE2-A6DD-FD9DAFA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catAx>
        <c:axId val="19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04864"/>
        <c:crosses val="autoZero"/>
        <c:auto val="1"/>
        <c:lblAlgn val="ctr"/>
        <c:lblOffset val="100"/>
        <c:noMultiLvlLbl val="0"/>
      </c:catAx>
      <c:valAx>
        <c:axId val="19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515-A4F3-1A3B37B1C3D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515-A4F3-1A3B37B1C3D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515-A4F3-1A3B37B1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7472"/>
        <c:axId val="192699008"/>
      </c:lineChart>
      <c:catAx>
        <c:axId val="192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9008"/>
        <c:crosses val="autoZero"/>
        <c:auto val="1"/>
        <c:lblAlgn val="ctr"/>
        <c:lblOffset val="100"/>
        <c:noMultiLvlLbl val="0"/>
      </c:catAx>
      <c:valAx>
        <c:axId val="1926990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собственные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ГрСцЭкс!$C$130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ГрСцЭкс!$D$130:$AD$130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5E0-8A2B-C319654C09F9}"/>
            </c:ext>
          </c:extLst>
        </c:ser>
        <c:ser>
          <c:idx val="1"/>
          <c:order val="1"/>
          <c:tx>
            <c:strRef>
              <c:f>ГрСцЭкс!$C$131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5E0-8A2B-C319654C09F9}"/>
            </c:ext>
          </c:extLst>
        </c:ser>
        <c:ser>
          <c:idx val="2"/>
          <c:order val="2"/>
          <c:tx>
            <c:strRef>
              <c:f>ГрСцЭкс!$C$132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ГрСцЭкс!$D$132:$AD$132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10874.523386484841</c:v>
                </c:pt>
                <c:pt idx="16">
                  <c:v>10765.778152619994</c:v>
                </c:pt>
                <c:pt idx="17">
                  <c:v>10658.120371093793</c:v>
                </c:pt>
                <c:pt idx="18">
                  <c:v>10551.539167382856</c:v>
                </c:pt>
                <c:pt idx="19">
                  <c:v>10446.023775709027</c:v>
                </c:pt>
                <c:pt idx="20">
                  <c:v>10341.563537951937</c:v>
                </c:pt>
                <c:pt idx="21">
                  <c:v>10238.147902572417</c:v>
                </c:pt>
                <c:pt idx="22">
                  <c:v>10135.766423546693</c:v>
                </c:pt>
                <c:pt idx="23">
                  <c:v>10034.408759311224</c:v>
                </c:pt>
                <c:pt idx="24">
                  <c:v>9934.0646717181116</c:v>
                </c:pt>
                <c:pt idx="25">
                  <c:v>9834.7240250009309</c:v>
                </c:pt>
                <c:pt idx="26">
                  <c:v>9736.3767847509225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2-45E0-8A2B-C319654C09F9}"/>
            </c:ext>
          </c:extLst>
        </c:ser>
        <c:ser>
          <c:idx val="3"/>
          <c:order val="3"/>
          <c:tx>
            <c:strRef>
              <c:f>ГрСцЭкс!$C$133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ГрСцЭкс!$D$133:$AD$133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16687.388787046941</c:v>
                </c:pt>
                <c:pt idx="4">
                  <c:v>12274.903011162665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11207.394201668603</c:v>
                </c:pt>
                <c:pt idx="14">
                  <c:v>11207.394201668603</c:v>
                </c:pt>
                <c:pt idx="15">
                  <c:v>11207.394201668603</c:v>
                </c:pt>
                <c:pt idx="16">
                  <c:v>11207.394201668603</c:v>
                </c:pt>
                <c:pt idx="17">
                  <c:v>11207.394201668605</c:v>
                </c:pt>
                <c:pt idx="18">
                  <c:v>11207.394201668603</c:v>
                </c:pt>
                <c:pt idx="19">
                  <c:v>11207.394201668603</c:v>
                </c:pt>
                <c:pt idx="20">
                  <c:v>11207.394201668603</c:v>
                </c:pt>
                <c:pt idx="21">
                  <c:v>11207.394201668603</c:v>
                </c:pt>
                <c:pt idx="22">
                  <c:v>11207.394201668603</c:v>
                </c:pt>
                <c:pt idx="23">
                  <c:v>11207.394201668603</c:v>
                </c:pt>
                <c:pt idx="24">
                  <c:v>11207.394201668603</c:v>
                </c:pt>
                <c:pt idx="25">
                  <c:v>11207.394201668603</c:v>
                </c:pt>
                <c:pt idx="26">
                  <c:v>11207.394201668601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2-45E0-8A2B-C319654C09F9}"/>
            </c:ext>
          </c:extLst>
        </c:ser>
        <c:ser>
          <c:idx val="4"/>
          <c:order val="4"/>
          <c:tx>
            <c:strRef>
              <c:f>ГрСцЭкс!$C$134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ГрСцЭкс!$D$134:$AD$134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2-45E0-8A2B-C319654C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76640"/>
        <c:axId val="190178432"/>
      </c:lineChart>
      <c:catAx>
        <c:axId val="190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роста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749-A9BB-EB4BEB54F5F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749-A9BB-EB4BEB54F5F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D-4749-A9BB-EB4BEB5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4560"/>
        <c:axId val="192436096"/>
      </c:lineChart>
      <c:catAx>
        <c:axId val="192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auto val="1"/>
        <c:lblAlgn val="ctr"/>
        <c:lblOffset val="100"/>
        <c:noMultiLvlLbl val="0"/>
      </c:catAx>
      <c:valAx>
        <c:axId val="19243609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расходов краевого бюджета (КБ) на непроизводственную сферу в общих расходах КБ в текущих ценах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КраевойБюджет!$C$5:$M$5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КраевойБюджет!$C$15:$M$15</c:f>
              <c:numCache>
                <c:formatCode>0.00%</c:formatCode>
                <c:ptCount val="11"/>
                <c:pt idx="0">
                  <c:v>0.39642323465497098</c:v>
                </c:pt>
                <c:pt idx="1">
                  <c:v>0.39353545619034119</c:v>
                </c:pt>
                <c:pt idx="2">
                  <c:v>0.58492762474099591</c:v>
                </c:pt>
                <c:pt idx="3">
                  <c:v>0.53430893317832817</c:v>
                </c:pt>
                <c:pt idx="4">
                  <c:v>0.52648133668640407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0.61082809984622677</c:v>
                </c:pt>
                <c:pt idx="8">
                  <c:v>0.59220356146509945</c:v>
                </c:pt>
                <c:pt idx="9">
                  <c:v>0.63074647097385483</c:v>
                </c:pt>
                <c:pt idx="10">
                  <c:v>0.6299954832483472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464-8D76-C22D2314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5664"/>
        <c:axId val="192767104"/>
      </c:lineChart>
      <c:catAx>
        <c:axId val="19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доля,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26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Демография!$B$71</c:f>
              <c:strCache>
                <c:ptCount val="1"/>
                <c:pt idx="0">
                  <c:v>модель, общая численность населения 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Демография!$C$71:$AB$71</c:f>
              <c:numCache>
                <c:formatCode>_-* #\ ##0.00_р_._-;\-* #\ ##0.00_р_._-;_-* "-"??_р_._-;_-@_-</c:formatCode>
                <c:ptCount val="26"/>
                <c:pt idx="0">
                  <c:v>1134.087</c:v>
                </c:pt>
                <c:pt idx="1">
                  <c:v>1124.873</c:v>
                </c:pt>
                <c:pt idx="2">
                  <c:v>1117.0160000000001</c:v>
                </c:pt>
                <c:pt idx="3">
                  <c:v>1112.3920000000001</c:v>
                </c:pt>
                <c:pt idx="4">
                  <c:v>1106.271</c:v>
                </c:pt>
                <c:pt idx="5">
                  <c:v>1099.616</c:v>
                </c:pt>
                <c:pt idx="6">
                  <c:v>1095.7</c:v>
                </c:pt>
                <c:pt idx="7">
                  <c:v>1090.7329999999999</c:v>
                </c:pt>
                <c:pt idx="8">
                  <c:v>1084.335</c:v>
                </c:pt>
                <c:pt idx="9">
                  <c:v>1077.701</c:v>
                </c:pt>
                <c:pt idx="10">
                  <c:v>1068.9639999999999</c:v>
                </c:pt>
                <c:pt idx="11">
                  <c:v>1059.835</c:v>
                </c:pt>
                <c:pt idx="12">
                  <c:v>1049.913</c:v>
                </c:pt>
                <c:pt idx="13">
                  <c:v>1038.808</c:v>
                </c:pt>
                <c:pt idx="14">
                  <c:v>1026.4010000000001</c:v>
                </c:pt>
                <c:pt idx="15">
                  <c:v>1013.885</c:v>
                </c:pt>
                <c:pt idx="16">
                  <c:v>999.85299999999995</c:v>
                </c:pt>
                <c:pt idx="17">
                  <c:v>984.61300000000006</c:v>
                </c:pt>
                <c:pt idx="18">
                  <c:v>967.98599999999999</c:v>
                </c:pt>
                <c:pt idx="19">
                  <c:v>949.79499999999996</c:v>
                </c:pt>
                <c:pt idx="20">
                  <c:v>931.62300000000005</c:v>
                </c:pt>
                <c:pt idx="21">
                  <c:v>920</c:v>
                </c:pt>
                <c:pt idx="22">
                  <c:v>910</c:v>
                </c:pt>
                <c:pt idx="23">
                  <c:v>900</c:v>
                </c:pt>
                <c:pt idx="24">
                  <c:v>895</c:v>
                </c:pt>
                <c:pt idx="25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C0A-B461-66EE738E30D6}"/>
            </c:ext>
          </c:extLst>
        </c:ser>
        <c:ser>
          <c:idx val="1"/>
          <c:order val="1"/>
          <c:tx>
            <c:strRef>
              <c:f>Демография!$B$72</c:f>
              <c:strCache>
                <c:ptCount val="1"/>
                <c:pt idx="0">
                  <c:v>дошкольники, тыс. чел.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Демография!$C$72:$AB$72</c:f>
              <c:numCache>
                <c:formatCode>General</c:formatCode>
                <c:ptCount val="26"/>
                <c:pt idx="0">
                  <c:v>71.260000000000005</c:v>
                </c:pt>
                <c:pt idx="1">
                  <c:v>72.281000000000006</c:v>
                </c:pt>
                <c:pt idx="2">
                  <c:v>73.811000000000007</c:v>
                </c:pt>
                <c:pt idx="3">
                  <c:v>75.459999999999994</c:v>
                </c:pt>
                <c:pt idx="4">
                  <c:v>77.623000000000005</c:v>
                </c:pt>
                <c:pt idx="5">
                  <c:v>79.673000000000002</c:v>
                </c:pt>
                <c:pt idx="6">
                  <c:v>81.594999999999999</c:v>
                </c:pt>
                <c:pt idx="7">
                  <c:v>84.296000000000006</c:v>
                </c:pt>
                <c:pt idx="8">
                  <c:v>84.784000000000006</c:v>
                </c:pt>
                <c:pt idx="9">
                  <c:v>86.933999999999997</c:v>
                </c:pt>
                <c:pt idx="10">
                  <c:v>87.866</c:v>
                </c:pt>
                <c:pt idx="11">
                  <c:v>88.234999999999999</c:v>
                </c:pt>
                <c:pt idx="12">
                  <c:v>88.094999999999999</c:v>
                </c:pt>
                <c:pt idx="13">
                  <c:v>87.552999999999997</c:v>
                </c:pt>
                <c:pt idx="14">
                  <c:v>86.563999999999993</c:v>
                </c:pt>
                <c:pt idx="15">
                  <c:v>85.331999999999994</c:v>
                </c:pt>
                <c:pt idx="16">
                  <c:v>82.918000000000006</c:v>
                </c:pt>
                <c:pt idx="17">
                  <c:v>81.412000000000006</c:v>
                </c:pt>
                <c:pt idx="18">
                  <c:v>79.072000000000003</c:v>
                </c:pt>
                <c:pt idx="19">
                  <c:v>77.801000000000002</c:v>
                </c:pt>
                <c:pt idx="20">
                  <c:v>76.623000000000005</c:v>
                </c:pt>
                <c:pt idx="21">
                  <c:v>72.600999999999999</c:v>
                </c:pt>
                <c:pt idx="22">
                  <c:v>67.599999999999994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C0A-B461-66EE738E30D6}"/>
            </c:ext>
          </c:extLst>
        </c:ser>
        <c:ser>
          <c:idx val="2"/>
          <c:order val="2"/>
          <c:tx>
            <c:strRef>
              <c:f>Демография!$B$73</c:f>
              <c:strCache>
                <c:ptCount val="1"/>
                <c:pt idx="0">
                  <c:v>реципиенты отрасли Образование(тыс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Демография!$C$73:$AB$73</c:f>
              <c:numCache>
                <c:formatCode>General</c:formatCode>
                <c:ptCount val="26"/>
                <c:pt idx="0">
                  <c:v>217.089</c:v>
                </c:pt>
                <c:pt idx="1">
                  <c:v>207.30099999999999</c:v>
                </c:pt>
                <c:pt idx="2">
                  <c:v>196.72900000000001</c:v>
                </c:pt>
                <c:pt idx="3">
                  <c:v>186.20500000000001</c:v>
                </c:pt>
                <c:pt idx="4">
                  <c:v>178.25200000000001</c:v>
                </c:pt>
                <c:pt idx="5">
                  <c:v>171.684</c:v>
                </c:pt>
                <c:pt idx="6">
                  <c:v>168.673</c:v>
                </c:pt>
                <c:pt idx="7">
                  <c:v>164.65100000000001</c:v>
                </c:pt>
                <c:pt idx="8">
                  <c:v>160.673</c:v>
                </c:pt>
                <c:pt idx="9">
                  <c:v>159.684</c:v>
                </c:pt>
                <c:pt idx="10">
                  <c:v>160.63399999999999</c:v>
                </c:pt>
                <c:pt idx="11">
                  <c:v>161.75299999999999</c:v>
                </c:pt>
                <c:pt idx="12">
                  <c:v>162.98400000000001</c:v>
                </c:pt>
                <c:pt idx="13">
                  <c:v>165.45599999999999</c:v>
                </c:pt>
                <c:pt idx="14">
                  <c:v>167.501</c:v>
                </c:pt>
                <c:pt idx="15">
                  <c:v>168.833</c:v>
                </c:pt>
                <c:pt idx="16">
                  <c:v>169.46600000000001</c:v>
                </c:pt>
                <c:pt idx="17">
                  <c:v>169.67500000000001</c:v>
                </c:pt>
                <c:pt idx="18">
                  <c:v>169.364</c:v>
                </c:pt>
                <c:pt idx="19">
                  <c:v>167.91200000000001</c:v>
                </c:pt>
                <c:pt idx="20">
                  <c:v>165.03100000000001</c:v>
                </c:pt>
                <c:pt idx="21">
                  <c:v>161.654</c:v>
                </c:pt>
                <c:pt idx="22">
                  <c:v>161.5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6-4C0A-B461-66EE738E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368"/>
        <c:axId val="191931904"/>
      </c:lineChart>
      <c:catAx>
        <c:axId val="19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1904"/>
        <c:crosses val="autoZero"/>
        <c:auto val="1"/>
        <c:lblAlgn val="ctr"/>
        <c:lblOffset val="100"/>
        <c:noMultiLvlLbl val="0"/>
      </c:catAx>
      <c:valAx>
        <c:axId val="191931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Прогноз динамики изменения доли расходов бюджета края на непроизводственную сферу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Сценарии!$L$84:$AB$84</c:f>
              <c:numCache>
                <c:formatCode>_-* #\ ##0.00_р_._-;\-* #\ ##0.00_р_._-;_-* "-"??_р_._-;_-@_-</c:formatCode>
                <c:ptCount val="17"/>
                <c:pt idx="0">
                  <c:v>0.59220356146509934</c:v>
                </c:pt>
                <c:pt idx="1">
                  <c:v>0.59220356146509934</c:v>
                </c:pt>
                <c:pt idx="2">
                  <c:v>0.59220356146509934</c:v>
                </c:pt>
                <c:pt idx="3">
                  <c:v>0.59220356146509934</c:v>
                </c:pt>
                <c:pt idx="4">
                  <c:v>0.59220356146509934</c:v>
                </c:pt>
                <c:pt idx="5">
                  <c:v>0.59220356146509934</c:v>
                </c:pt>
                <c:pt idx="6">
                  <c:v>0.59220356146509934</c:v>
                </c:pt>
                <c:pt idx="7">
                  <c:v>0.59220356146509934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3C3-8A91-7B9433438FAE}"/>
            </c:ext>
          </c:extLst>
        </c:ser>
        <c:ser>
          <c:idx val="1"/>
          <c:order val="1"/>
          <c:tx>
            <c:v>инерционный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Сценарии!$L$85:$AB$85</c:f>
              <c:numCache>
                <c:formatCode>_-* #\ ##0.00_р_._-;\-* #\ ##0.00_р_._-;_-* "-"??_р_._-;_-@_-</c:formatCode>
                <c:ptCount val="17"/>
                <c:pt idx="0">
                  <c:v>0.59516457927242472</c:v>
                </c:pt>
                <c:pt idx="1">
                  <c:v>0.59814040216878683</c:v>
                </c:pt>
                <c:pt idx="2">
                  <c:v>0.60113110417963067</c:v>
                </c:pt>
                <c:pt idx="3">
                  <c:v>0.60413675970052871</c:v>
                </c:pt>
                <c:pt idx="4">
                  <c:v>0.60715744349903134</c:v>
                </c:pt>
                <c:pt idx="5">
                  <c:v>0.61019323071652642</c:v>
                </c:pt>
                <c:pt idx="6">
                  <c:v>0.613244196870109</c:v>
                </c:pt>
                <c:pt idx="7">
                  <c:v>0.6163104178544595</c:v>
                </c:pt>
                <c:pt idx="8">
                  <c:v>0.61939196994373169</c:v>
                </c:pt>
                <c:pt idx="9">
                  <c:v>0.62248892979345027</c:v>
                </c:pt>
                <c:pt idx="10">
                  <c:v>0.62560137444241748</c:v>
                </c:pt>
                <c:pt idx="11">
                  <c:v>0.62872938131462952</c:v>
                </c:pt>
                <c:pt idx="12" formatCode="_-* #\ ##0.0000_р_._-;\-* #\ ##0.0000_р_._-;_-* &quot;-&quot;??_р_._-;_-@_-">
                  <c:v>0.63187302822120262</c:v>
                </c:pt>
                <c:pt idx="13">
                  <c:v>0.63503239336230854</c:v>
                </c:pt>
                <c:pt idx="14">
                  <c:v>0.63820755532911999</c:v>
                </c:pt>
                <c:pt idx="15">
                  <c:v>0.64139859310576552</c:v>
                </c:pt>
                <c:pt idx="16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3C3-8A91-7B9433438FAE}"/>
            </c:ext>
          </c:extLst>
        </c:ser>
        <c:ser>
          <c:idx val="2"/>
          <c:order val="2"/>
          <c:tx>
            <c:v>пессимистический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Сценарии!$L$86:$AB$86</c:f>
              <c:numCache>
                <c:formatCode>_-* #\ ##0.00_р_._-;\-* #\ ##0.00_р_._-;_-* "-"??_р_._-;_-@_-</c:formatCode>
                <c:ptCount val="17"/>
                <c:pt idx="0">
                  <c:v>0.60404763269440132</c:v>
                </c:pt>
                <c:pt idx="1">
                  <c:v>0.6161285853482894</c:v>
                </c:pt>
                <c:pt idx="2">
                  <c:v>0.62845115705525523</c:v>
                </c:pt>
                <c:pt idx="3">
                  <c:v>0.64102018019636031</c:v>
                </c:pt>
                <c:pt idx="4">
                  <c:v>0.65384058380028753</c:v>
                </c:pt>
                <c:pt idx="5">
                  <c:v>0.66691739547629325</c:v>
                </c:pt>
                <c:pt idx="6">
                  <c:v>0.68025574338581918</c:v>
                </c:pt>
                <c:pt idx="7">
                  <c:v>0.69386085825353561</c:v>
                </c:pt>
                <c:pt idx="8">
                  <c:v>0.70773807541860634</c:v>
                </c:pt>
                <c:pt idx="9">
                  <c:v>0.72189283692697848</c:v>
                </c:pt>
                <c:pt idx="10">
                  <c:v>0.73633069366551807</c:v>
                </c:pt>
                <c:pt idx="11">
                  <c:v>0.75105730753882849</c:v>
                </c:pt>
                <c:pt idx="12">
                  <c:v>0.76607845368960503</c:v>
                </c:pt>
                <c:pt idx="13">
                  <c:v>0.78140002276339715</c:v>
                </c:pt>
                <c:pt idx="14">
                  <c:v>0.79702802321866506</c:v>
                </c:pt>
                <c:pt idx="15">
                  <c:v>0.81296858368303837</c:v>
                </c:pt>
                <c:pt idx="16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3C3-8A91-7B943343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008"/>
        <c:axId val="189724928"/>
      </c:lineChart>
      <c:catAx>
        <c:axId val="189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24928"/>
        <c:crosses val="autoZero"/>
        <c:auto val="1"/>
        <c:lblAlgn val="ctr"/>
        <c:lblOffset val="100"/>
        <c:noMultiLvlLbl val="0"/>
      </c:catAx>
      <c:valAx>
        <c:axId val="189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 расходов, %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897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КБ, всего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ГрСцЭкс!$C$143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ГрСцЭкс!$D$143:$AD$143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382-A03E-67C2A1F88744}"/>
            </c:ext>
          </c:extLst>
        </c:ser>
        <c:ser>
          <c:idx val="1"/>
          <c:order val="1"/>
          <c:tx>
            <c:strRef>
              <c:f>ГрСцЭкс!$C$144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ГрСцЭкс!$D$144:$AD$144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382-A03E-67C2A1F88744}"/>
            </c:ext>
          </c:extLst>
        </c:ser>
        <c:ser>
          <c:idx val="2"/>
          <c:order val="2"/>
          <c:tx>
            <c:strRef>
              <c:f>ГрСцЭкс!$C$145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ГрСцЭкс!$D$145:$AD$145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30557.975925834297</c:v>
                </c:pt>
                <c:pt idx="6">
                  <c:v>29510.686834475786</c:v>
                </c:pt>
                <c:pt idx="7">
                  <c:v>27618.374851457978</c:v>
                </c:pt>
                <c:pt idx="8">
                  <c:v>27941.667618741078</c:v>
                </c:pt>
                <c:pt idx="9">
                  <c:v>24358.012077904656</c:v>
                </c:pt>
                <c:pt idx="10">
                  <c:v>23102.220532129402</c:v>
                </c:pt>
                <c:pt idx="11">
                  <c:v>21163.873382804766</c:v>
                </c:pt>
                <c:pt idx="12">
                  <c:v>19520.118985614718</c:v>
                </c:pt>
                <c:pt idx="13">
                  <c:v>19514.782131232969</c:v>
                </c:pt>
                <c:pt idx="14">
                  <c:v>19509.498645395041</c:v>
                </c:pt>
                <c:pt idx="15">
                  <c:v>19504.267994415492</c:v>
                </c:pt>
                <c:pt idx="16">
                  <c:v>19499.089649945738</c:v>
                </c:pt>
                <c:pt idx="17">
                  <c:v>19493.963088920682</c:v>
                </c:pt>
                <c:pt idx="18">
                  <c:v>19488.887793505874</c:v>
                </c:pt>
                <c:pt idx="19">
                  <c:v>19483.863251045215</c:v>
                </c:pt>
                <c:pt idx="20">
                  <c:v>19478.888954009162</c:v>
                </c:pt>
                <c:pt idx="21">
                  <c:v>19473.96439994347</c:v>
                </c:pt>
                <c:pt idx="22">
                  <c:v>19469.089091418435</c:v>
                </c:pt>
                <c:pt idx="23">
                  <c:v>19464.262535978654</c:v>
                </c:pt>
                <c:pt idx="24">
                  <c:v>19459.484246093267</c:v>
                </c:pt>
                <c:pt idx="25">
                  <c:v>19454.753739106734</c:v>
                </c:pt>
                <c:pt idx="26">
                  <c:v>19450.070537190066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382-A03E-67C2A1F88744}"/>
            </c:ext>
          </c:extLst>
        </c:ser>
        <c:ser>
          <c:idx val="3"/>
          <c:order val="3"/>
          <c:tx>
            <c:strRef>
              <c:f>ГрСцЭкс!$C$146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ГрСцЭкс!$D$146:$AD$146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37507.091345118715</c:v>
                </c:pt>
                <c:pt idx="4">
                  <c:v>36392.694675021303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15472.310618704201</c:v>
                </c:pt>
                <c:pt idx="14">
                  <c:v>15577.980335462793</c:v>
                </c:pt>
                <c:pt idx="15">
                  <c:v>15682.593355053799</c:v>
                </c:pt>
                <c:pt idx="16">
                  <c:v>15786.160244448893</c:v>
                </c:pt>
                <c:pt idx="17">
                  <c:v>15888.691464950038</c:v>
                </c:pt>
                <c:pt idx="18">
                  <c:v>15990.197373246167</c:v>
                </c:pt>
                <c:pt idx="19">
                  <c:v>16090.688222459337</c:v>
                </c:pt>
                <c:pt idx="20">
                  <c:v>16190.174163180376</c:v>
                </c:pt>
                <c:pt idx="21">
                  <c:v>16288.665244494205</c:v>
                </c:pt>
                <c:pt idx="22">
                  <c:v>16386.171414994893</c:v>
                </c:pt>
                <c:pt idx="23">
                  <c:v>16482.702523790576</c:v>
                </c:pt>
                <c:pt idx="24">
                  <c:v>16578.268321498304</c:v>
                </c:pt>
                <c:pt idx="25">
                  <c:v>16672.878461228953</c:v>
                </c:pt>
                <c:pt idx="26">
                  <c:v>16766.542499562289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0-4382-A03E-67C2A1F88744}"/>
            </c:ext>
          </c:extLst>
        </c:ser>
        <c:ser>
          <c:idx val="4"/>
          <c:order val="4"/>
          <c:tx>
            <c:strRef>
              <c:f>ГрСцЭкс!$C$147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ГрСцЭкс!$D$147:$AD$147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0-4382-A03E-67C2A1F8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8960"/>
        <c:axId val="190490496"/>
      </c:lineChart>
      <c:catAx>
        <c:axId val="19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496"/>
        <c:crosses val="autoZero"/>
        <c:auto val="1"/>
        <c:lblAlgn val="ctr"/>
        <c:lblOffset val="100"/>
        <c:noMultiLvlLbl val="0"/>
      </c:cat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интерфейс!$C$158</c:f>
              <c:strCache>
                <c:ptCount val="1"/>
                <c:pt idx="0">
                  <c:v>сц.1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интерфейс!$D$158:$AD$158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DD5-86EB-6AC736AE0A8F}"/>
            </c:ext>
          </c:extLst>
        </c:ser>
        <c:ser>
          <c:idx val="1"/>
          <c:order val="1"/>
          <c:tx>
            <c:strRef>
              <c:f>интерфейс!$C$159</c:f>
              <c:strCache>
                <c:ptCount val="1"/>
                <c:pt idx="0">
                  <c:v>сц. 2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интерфейс!$D$159:$AD$159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15193.207580862685</c:v>
                </c:pt>
                <c:pt idx="6">
                  <c:v>15164.312956861088</c:v>
                </c:pt>
                <c:pt idx="7">
                  <c:v>11996.547646336181</c:v>
                </c:pt>
                <c:pt idx="8">
                  <c:v>15051.636388019882</c:v>
                </c:pt>
                <c:pt idx="9">
                  <c:v>13517.45387269094</c:v>
                </c:pt>
                <c:pt idx="10">
                  <c:v>13652.628411417849</c:v>
                </c:pt>
                <c:pt idx="11">
                  <c:v>13789.154695532028</c:v>
                </c:pt>
                <c:pt idx="12">
                  <c:v>13927.046242487349</c:v>
                </c:pt>
                <c:pt idx="13">
                  <c:v>14066.316704912224</c:v>
                </c:pt>
                <c:pt idx="14">
                  <c:v>14206.979871961346</c:v>
                </c:pt>
                <c:pt idx="15">
                  <c:v>14349.049670680961</c:v>
                </c:pt>
                <c:pt idx="16">
                  <c:v>14492.540167387771</c:v>
                </c:pt>
                <c:pt idx="17">
                  <c:v>14637.465569061649</c:v>
                </c:pt>
                <c:pt idx="18">
                  <c:v>14783.840224752266</c:v>
                </c:pt>
                <c:pt idx="19">
                  <c:v>14931.678626999788</c:v>
                </c:pt>
                <c:pt idx="20">
                  <c:v>15080.995413269786</c:v>
                </c:pt>
                <c:pt idx="21">
                  <c:v>15231.805367402483</c:v>
                </c:pt>
                <c:pt idx="22">
                  <c:v>15384.123421076509</c:v>
                </c:pt>
                <c:pt idx="23">
                  <c:v>15537.964655287275</c:v>
                </c:pt>
                <c:pt idx="24">
                  <c:v>15693.344301840147</c:v>
                </c:pt>
                <c:pt idx="25">
                  <c:v>15850.277744858548</c:v>
                </c:pt>
                <c:pt idx="26">
                  <c:v>16008.780522307134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4-4DD5-86EB-6AC736AE0A8F}"/>
            </c:ext>
          </c:extLst>
        </c:ser>
        <c:ser>
          <c:idx val="2"/>
          <c:order val="2"/>
          <c:tx>
            <c:strRef>
              <c:f>интерфейс!$C$160</c:f>
              <c:strCache>
                <c:ptCount val="1"/>
                <c:pt idx="0">
                  <c:v>сц.3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интерфейс!$D$160:$AD$160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11451.250026048172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DD5-86EB-6AC736AE0A8F}"/>
            </c:ext>
          </c:extLst>
        </c:ser>
        <c:ser>
          <c:idx val="3"/>
          <c:order val="3"/>
          <c:tx>
            <c:strRef>
              <c:f>интерфейс!$C$161</c:f>
              <c:strCache>
                <c:ptCount val="1"/>
                <c:pt idx="0">
                  <c:v>сц.4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интерфейс!$D$161:$AD$161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4-4DD5-86EB-6AC736AE0A8F}"/>
            </c:ext>
          </c:extLst>
        </c:ser>
        <c:ser>
          <c:idx val="4"/>
          <c:order val="4"/>
          <c:tx>
            <c:strRef>
              <c:f>интерфейс!$C$162</c:f>
              <c:strCache>
                <c:ptCount val="1"/>
                <c:pt idx="0">
                  <c:v>сц 5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интерфейс!$D$162:$AD$162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14819.669480568788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13210.239011947962</c:v>
                </c:pt>
                <c:pt idx="10">
                  <c:v>13276.290207007702</c:v>
                </c:pt>
                <c:pt idx="11">
                  <c:v>13342.671658042738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13747.988791672853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14236.446542588956</c:v>
                </c:pt>
                <c:pt idx="25">
                  <c:v>14307.628775301899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4-4DD5-86EB-6AC736AE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3680"/>
        <c:axId val="190745216"/>
      </c:lineChart>
      <c:catAx>
        <c:axId val="190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45216"/>
        <c:crosses val="autoZero"/>
        <c:auto val="1"/>
        <c:lblAlgn val="ctr"/>
        <c:lblOffset val="100"/>
        <c:noMultiLvlLbl val="0"/>
      </c:catAx>
      <c:valAx>
        <c:axId val="19074521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7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ГрСцЭкс!$C$186</c:f>
              <c:strCache>
                <c:ptCount val="1"/>
                <c:pt idx="0">
                  <c:v>ммм</c:v>
                </c:pt>
              </c:strCache>
            </c:strRef>
          </c:tx>
          <c:marker>
            <c:symbol val="none"/>
          </c:marker>
          <c:cat>
            <c:numRef>
              <c:f>ГрСцЭкс!$D$185:$Y$185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ГрСцЭкс!$D$186:$Y$186</c:f>
              <c:numCache>
                <c:formatCode>General</c:formatCode>
                <c:ptCount val="22"/>
                <c:pt idx="0">
                  <c:v>0.83713627302550664</c:v>
                </c:pt>
                <c:pt idx="1">
                  <c:v>0.83690416390310551</c:v>
                </c:pt>
                <c:pt idx="2">
                  <c:v>0.81224137783795236</c:v>
                </c:pt>
                <c:pt idx="3">
                  <c:v>0.8360238169887394</c:v>
                </c:pt>
                <c:pt idx="4">
                  <c:v>0.83091635102863437</c:v>
                </c:pt>
                <c:pt idx="5">
                  <c:v>0.82841870195729561</c:v>
                </c:pt>
                <c:pt idx="6">
                  <c:v>0.82867971354720682</c:v>
                </c:pt>
                <c:pt idx="7">
                  <c:v>0.82805231436977156</c:v>
                </c:pt>
                <c:pt idx="8">
                  <c:v>0.82945784339177298</c:v>
                </c:pt>
                <c:pt idx="9">
                  <c:v>0.83073828755387458</c:v>
                </c:pt>
                <c:pt idx="10">
                  <c:v>0.83294133193747066</c:v>
                </c:pt>
                <c:pt idx="11">
                  <c:v>0.83395820448057656</c:v>
                </c:pt>
                <c:pt idx="12">
                  <c:v>0.83435453461522779</c:v>
                </c:pt>
                <c:pt idx="13">
                  <c:v>0.83421643733333128</c:v>
                </c:pt>
                <c:pt idx="14">
                  <c:v>0.83643122862104136</c:v>
                </c:pt>
                <c:pt idx="15">
                  <c:v>0.83755289583054537</c:v>
                </c:pt>
                <c:pt idx="16">
                  <c:v>0.83859458033183987</c:v>
                </c:pt>
                <c:pt idx="17">
                  <c:v>0.83963305915190223</c:v>
                </c:pt>
                <c:pt idx="18">
                  <c:v>0.84034154174675735</c:v>
                </c:pt>
                <c:pt idx="19">
                  <c:v>0.84191084211840028</c:v>
                </c:pt>
                <c:pt idx="20">
                  <c:v>0.84150338665656488</c:v>
                </c:pt>
                <c:pt idx="21">
                  <c:v>0.84033419767708539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ADE-82D4-418BF617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272"/>
        <c:axId val="190772352"/>
      </c:lineChart>
      <c:catAx>
        <c:axId val="190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72352"/>
        <c:crosses val="autoZero"/>
        <c:auto val="1"/>
        <c:lblAlgn val="ctr"/>
        <c:lblOffset val="100"/>
        <c:noMultiLvlLbl val="0"/>
      </c:catAx>
      <c:valAx>
        <c:axId val="190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A77-A0BA-A8D530D80847}"/>
            </c:ext>
          </c:extLst>
        </c:ser>
        <c:ser>
          <c:idx val="1"/>
          <c:order val="1"/>
          <c:tx>
            <c:strRef>
              <c:f>'Графики(МОИТ)'!$C$12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A77-A0BA-A8D530D80847}"/>
            </c:ext>
          </c:extLst>
        </c:ser>
        <c:ser>
          <c:idx val="2"/>
          <c:order val="2"/>
          <c:tx>
            <c:strRef>
              <c:f>'Графики(МОИТ)'!$C$13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A77-A0BA-A8D530D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2432"/>
        <c:axId val="189857792"/>
      </c:lineChart>
      <c:catAx>
        <c:axId val="1906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57792"/>
        <c:crosses val="autoZero"/>
        <c:auto val="1"/>
        <c:lblAlgn val="ctr"/>
        <c:lblOffset val="100"/>
        <c:noMultiLvlLbl val="0"/>
      </c:catAx>
      <c:valAx>
        <c:axId val="18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8BF-AEF7-F2954D2ED644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8BF-AEF7-F2954D2ED644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B-48BF-AEF7-F2954D2E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8000"/>
        <c:axId val="189889536"/>
      </c:lineChart>
      <c:catAx>
        <c:axId val="189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9536"/>
        <c:crosses val="autoZero"/>
        <c:auto val="1"/>
        <c:lblAlgn val="ctr"/>
        <c:lblOffset val="100"/>
        <c:noMultiLvlLbl val="0"/>
      </c:catAx>
      <c:valAx>
        <c:axId val="1898895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9888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11" Type="http://schemas.openxmlformats.org/officeDocument/2006/relationships/chart" Target="../charts/chart13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0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11" Type="http://schemas.openxmlformats.org/officeDocument/2006/relationships/chart" Target="../charts/chart19.xml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chart" Target="../charts/chart16.xml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123825</xdr:rowOff>
    </xdr:from>
    <xdr:to>
      <xdr:col>15</xdr:col>
      <xdr:colOff>152400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4400" y="447675"/>
          <a:ext cx="83820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Уровень и структура денежных доходов домашних хозяйств в 2016 году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55601,8 60981,7 43280,7 Доход от трудовой деятельности – всего 42198,5 47397,4 30291,9 Доход от собственности – всего 129,5 125,1 139,5 Трансферты полученные – всего 13273,8 13459,2 12849,3 Социальные выплаты 12323,2 12336,4 12293,0 в том числе пенсии...– всего 20366,9 22954,8 14934,1 Доход от трудовой деятельности – всего 15457,3 17841,3 10452,3 Доход от собственности – всего 47,4 47,1 48,2 Трансферты полученные – всего 4862,2 5066,3 4433,7 Социальные выплаты 4514,0 4643,7 4241,8 в том числе пенсии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47</xdr:row>
      <xdr:rowOff>161924</xdr:rowOff>
    </xdr:from>
    <xdr:to>
      <xdr:col>10</xdr:col>
      <xdr:colOff>1019174</xdr:colOff>
      <xdr:row>76</xdr:row>
      <xdr:rowOff>104774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80</xdr:row>
      <xdr:rowOff>83609</xdr:rowOff>
    </xdr:from>
    <xdr:to>
      <xdr:col>24</xdr:col>
      <xdr:colOff>0</xdr:colOff>
      <xdr:row>111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142875</xdr:rowOff>
    </xdr:from>
    <xdr:to>
      <xdr:col>12</xdr:col>
      <xdr:colOff>38100</xdr:colOff>
      <xdr:row>33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114</xdr:row>
      <xdr:rowOff>95249</xdr:rowOff>
    </xdr:from>
    <xdr:to>
      <xdr:col>9</xdr:col>
      <xdr:colOff>466725</xdr:colOff>
      <xdr:row>124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91675" y="19592924"/>
          <a:ext cx="3829050" cy="174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Объект налогообложения</a:t>
          </a:r>
        </a:p>
        <a:p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К объектам налогообложения относятся 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находящиеся в собственности физических лиц жилой дом, квартира, комната, </a:t>
          </a:r>
          <a:r>
            <a:rPr lang="ru-RU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дача, гараж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, иное строение, помещение и сооружение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доля в праве общей собственности в вышеперечисленных видах имущества.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Выделить чистую жилплощадь нереально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У нас количество</a:t>
          </a:r>
          <a:r>
            <a:rPr lang="ru-RU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кв метров в целом жилья, а не находящегося в собственности</a:t>
          </a:r>
        </a:p>
        <a:p>
          <a:endParaRPr lang="ru-RU" sz="1100" b="0" i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102394</xdr:colOff>
      <xdr:row>15</xdr:row>
      <xdr:rowOff>14287</xdr:rowOff>
    </xdr:from>
    <xdr:to>
      <xdr:col>4</xdr:col>
      <xdr:colOff>1391444</xdr:colOff>
      <xdr:row>33</xdr:row>
      <xdr:rowOff>122237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1575594</xdr:colOff>
      <xdr:row>14</xdr:row>
      <xdr:rowOff>115888</xdr:rowOff>
    </xdr:from>
    <xdr:to>
      <xdr:col>20</xdr:col>
      <xdr:colOff>35718</xdr:colOff>
      <xdr:row>36</xdr:row>
      <xdr:rowOff>130969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426128</xdr:colOff>
      <xdr:row>121</xdr:row>
      <xdr:rowOff>5313</xdr:rowOff>
    </xdr:from>
    <xdr:to>
      <xdr:col>11</xdr:col>
      <xdr:colOff>59531</xdr:colOff>
      <xdr:row>144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330212</xdr:colOff>
      <xdr:row>120</xdr:row>
      <xdr:rowOff>152149</xdr:rowOff>
    </xdr:from>
    <xdr:to>
      <xdr:col>28</xdr:col>
      <xdr:colOff>83343</xdr:colOff>
      <xdr:row>144</xdr:row>
      <xdr:rowOff>166686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443179</xdr:colOff>
      <xdr:row>148</xdr:row>
      <xdr:rowOff>147107</xdr:rowOff>
    </xdr:from>
    <xdr:to>
      <xdr:col>14</xdr:col>
      <xdr:colOff>642937</xdr:colOff>
      <xdr:row>178</xdr:row>
      <xdr:rowOff>107156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273845</xdr:colOff>
      <xdr:row>15</xdr:row>
      <xdr:rowOff>7936</xdr:rowOff>
    </xdr:from>
    <xdr:to>
      <xdr:col>29</xdr:col>
      <xdr:colOff>309563</xdr:colOff>
      <xdr:row>36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214313</xdr:colOff>
      <xdr:row>148</xdr:row>
      <xdr:rowOff>80962</xdr:rowOff>
    </xdr:from>
    <xdr:to>
      <xdr:col>23</xdr:col>
      <xdr:colOff>535782</xdr:colOff>
      <xdr:row>164</xdr:row>
      <xdr:rowOff>157162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14</xdr:row>
      <xdr:rowOff>19049</xdr:rowOff>
    </xdr:from>
    <xdr:to>
      <xdr:col>11</xdr:col>
      <xdr:colOff>163285</xdr:colOff>
      <xdr:row>38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318407</xdr:colOff>
      <xdr:row>15</xdr:row>
      <xdr:rowOff>149679</xdr:rowOff>
    </xdr:from>
    <xdr:to>
      <xdr:col>31</xdr:col>
      <xdr:colOff>75391</xdr:colOff>
      <xdr:row>39</xdr:row>
      <xdr:rowOff>168728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4943" y="2667000"/>
          <a:ext cx="9554127" cy="3937907"/>
        </a:xfrm>
        <a:prstGeom prst="rect">
          <a:avLst/>
        </a:prstGeom>
      </xdr:spPr>
    </xdr:pic>
    <xdr:clientData/>
  </xdr:twoCellAnchor>
  <xdr:twoCellAnchor>
    <xdr:from>
      <xdr:col>0</xdr:col>
      <xdr:colOff>432707</xdr:colOff>
      <xdr:row>53</xdr:row>
      <xdr:rowOff>156483</xdr:rowOff>
    </xdr:from>
    <xdr:to>
      <xdr:col>9</xdr:col>
      <xdr:colOff>217715</xdr:colOff>
      <xdr:row>78</xdr:row>
      <xdr:rowOff>59873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91</xdr:row>
      <xdr:rowOff>152399</xdr:rowOff>
    </xdr:from>
    <xdr:to>
      <xdr:col>9</xdr:col>
      <xdr:colOff>571500</xdr:colOff>
      <xdr:row>117</xdr:row>
      <xdr:rowOff>104774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421822</xdr:colOff>
      <xdr:row>52</xdr:row>
      <xdr:rowOff>0</xdr:rowOff>
    </xdr:from>
    <xdr:to>
      <xdr:col>28</xdr:col>
      <xdr:colOff>176084</xdr:colOff>
      <xdr:row>76</xdr:row>
      <xdr:rowOff>149702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1393" y="8626929"/>
          <a:ext cx="9551405" cy="40685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26</xdr:col>
      <xdr:colOff>366584</xdr:colOff>
      <xdr:row>116</xdr:row>
      <xdr:rowOff>155798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1509712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132</xdr:row>
      <xdr:rowOff>161924</xdr:rowOff>
    </xdr:from>
    <xdr:to>
      <xdr:col>9</xdr:col>
      <xdr:colOff>342901</xdr:colOff>
      <xdr:row>159</xdr:row>
      <xdr:rowOff>9524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133</xdr:row>
      <xdr:rowOff>0</xdr:rowOff>
    </xdr:from>
    <xdr:to>
      <xdr:col>25</xdr:col>
      <xdr:colOff>366584</xdr:colOff>
      <xdr:row>157</xdr:row>
      <xdr:rowOff>155798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39075" y="21802725"/>
          <a:ext cx="9510584" cy="404199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17</xdr:col>
      <xdr:colOff>324643</xdr:colOff>
      <xdr:row>237</xdr:row>
      <xdr:rowOff>142875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457200</xdr:colOff>
      <xdr:row>176</xdr:row>
      <xdr:rowOff>38100</xdr:rowOff>
    </xdr:from>
    <xdr:to>
      <xdr:col>28</xdr:col>
      <xdr:colOff>214184</xdr:colOff>
      <xdr:row>201</xdr:row>
      <xdr:rowOff>31973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15475" y="2887027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176</xdr:row>
      <xdr:rowOff>19050</xdr:rowOff>
    </xdr:from>
    <xdr:to>
      <xdr:col>12</xdr:col>
      <xdr:colOff>19050</xdr:colOff>
      <xdr:row>201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57150</xdr:rowOff>
    </xdr:from>
    <xdr:to>
      <xdr:col>12</xdr:col>
      <xdr:colOff>589190</xdr:colOff>
      <xdr:row>38</xdr:row>
      <xdr:rowOff>156483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28575</xdr:rowOff>
    </xdr:from>
    <xdr:to>
      <xdr:col>26</xdr:col>
      <xdr:colOff>533400</xdr:colOff>
      <xdr:row>39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14</xdr:row>
      <xdr:rowOff>0</xdr:rowOff>
    </xdr:from>
    <xdr:to>
      <xdr:col>41</xdr:col>
      <xdr:colOff>299417</xdr:colOff>
      <xdr:row>38</xdr:row>
      <xdr:rowOff>161895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5050" y="2266950"/>
          <a:ext cx="8224217" cy="404809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133350</xdr:rowOff>
    </xdr:from>
    <xdr:to>
      <xdr:col>14</xdr:col>
      <xdr:colOff>600075</xdr:colOff>
      <xdr:row>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30</xdr:col>
      <xdr:colOff>482365</xdr:colOff>
      <xdr:row>70</xdr:row>
      <xdr:rowOff>35815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9850" y="6962775"/>
          <a:ext cx="9016765" cy="440779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86</xdr:row>
      <xdr:rowOff>28575</xdr:rowOff>
    </xdr:from>
    <xdr:to>
      <xdr:col>14</xdr:col>
      <xdr:colOff>228600</xdr:colOff>
      <xdr:row>111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0</xdr:colOff>
      <xdr:row>86</xdr:row>
      <xdr:rowOff>0</xdr:rowOff>
    </xdr:from>
    <xdr:to>
      <xdr:col>28</xdr:col>
      <xdr:colOff>299417</xdr:colOff>
      <xdr:row>111</xdr:row>
      <xdr:rowOff>6066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13925550"/>
          <a:ext cx="8224217" cy="405419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142875</xdr:colOff>
      <xdr:row>140</xdr:row>
      <xdr:rowOff>28575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0</xdr:colOff>
      <xdr:row>113</xdr:row>
      <xdr:rowOff>0</xdr:rowOff>
    </xdr:from>
    <xdr:to>
      <xdr:col>30</xdr:col>
      <xdr:colOff>482365</xdr:colOff>
      <xdr:row>140</xdr:row>
      <xdr:rowOff>35815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9850" y="18297525"/>
          <a:ext cx="9016765" cy="4407790"/>
        </a:xfrm>
        <a:prstGeom prst="rect">
          <a:avLst/>
        </a:prstGeom>
      </xdr:spPr>
    </xdr:pic>
    <xdr:clientData/>
  </xdr:twoCellAnchor>
  <xdr:twoCellAnchor editAs="oneCell">
    <xdr:from>
      <xdr:col>16</xdr:col>
      <xdr:colOff>555928</xdr:colOff>
      <xdr:row>156</xdr:row>
      <xdr:rowOff>38100</xdr:rowOff>
    </xdr:from>
    <xdr:to>
      <xdr:col>31</xdr:col>
      <xdr:colOff>272815</xdr:colOff>
      <xdr:row>182</xdr:row>
      <xdr:rowOff>159640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5778" y="25298400"/>
          <a:ext cx="8860887" cy="43315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13</xdr:col>
      <xdr:colOff>419100</xdr:colOff>
      <xdr:row>180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0</xdr:colOff>
      <xdr:row>185</xdr:row>
      <xdr:rowOff>0</xdr:rowOff>
    </xdr:from>
    <xdr:to>
      <xdr:col>30</xdr:col>
      <xdr:colOff>299417</xdr:colOff>
      <xdr:row>209</xdr:row>
      <xdr:rowOff>161895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9450" y="29956125"/>
          <a:ext cx="8224217" cy="4048095"/>
        </a:xfrm>
        <a:prstGeom prst="rect">
          <a:avLst/>
        </a:prstGeom>
      </xdr:spPr>
    </xdr:pic>
    <xdr:clientData/>
  </xdr:twoCellAnchor>
  <xdr:twoCellAnchor>
    <xdr:from>
      <xdr:col>2</xdr:col>
      <xdr:colOff>847725</xdr:colOff>
      <xdr:row>231</xdr:row>
      <xdr:rowOff>0</xdr:rowOff>
    </xdr:from>
    <xdr:to>
      <xdr:col>16</xdr:col>
      <xdr:colOff>209550</xdr:colOff>
      <xdr:row>255</xdr:row>
      <xdr:rowOff>152400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0</xdr:colOff>
      <xdr:row>231</xdr:row>
      <xdr:rowOff>0</xdr:rowOff>
    </xdr:from>
    <xdr:to>
      <xdr:col>30</xdr:col>
      <xdr:colOff>293320</xdr:colOff>
      <xdr:row>255</xdr:row>
      <xdr:rowOff>161895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9450" y="37404675"/>
          <a:ext cx="8218120" cy="404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19</xdr:col>
      <xdr:colOff>482365</xdr:colOff>
      <xdr:row>284</xdr:row>
      <xdr:rowOff>35815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24250" y="41614725"/>
          <a:ext cx="9016765" cy="4407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402168</xdr:colOff>
      <xdr:row>242</xdr:row>
      <xdr:rowOff>88900</xdr:rowOff>
    </xdr:from>
    <xdr:to>
      <xdr:col>52</xdr:col>
      <xdr:colOff>137585</xdr:colOff>
      <xdr:row>265</xdr:row>
      <xdr:rowOff>42332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576793</xdr:colOff>
      <xdr:row>22</xdr:row>
      <xdr:rowOff>64560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33</xdr:row>
      <xdr:rowOff>28574</xdr:rowOff>
    </xdr:from>
    <xdr:to>
      <xdr:col>20</xdr:col>
      <xdr:colOff>600075</xdr:colOff>
      <xdr:row>56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962025</xdr:colOff>
      <xdr:row>65</xdr:row>
      <xdr:rowOff>85725</xdr:rowOff>
    </xdr:from>
    <xdr:to>
      <xdr:col>21</xdr:col>
      <xdr:colOff>161925</xdr:colOff>
      <xdr:row>89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95</xdr:row>
      <xdr:rowOff>0</xdr:rowOff>
    </xdr:from>
    <xdr:to>
      <xdr:col>21</xdr:col>
      <xdr:colOff>257175</xdr:colOff>
      <xdr:row>118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923925</xdr:colOff>
      <xdr:row>129</xdr:row>
      <xdr:rowOff>104775</xdr:rowOff>
    </xdr:from>
    <xdr:to>
      <xdr:col>21</xdr:col>
      <xdr:colOff>123825</xdr:colOff>
      <xdr:row>153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33</xdr:row>
      <xdr:rowOff>76200</xdr:rowOff>
    </xdr:from>
    <xdr:to>
      <xdr:col>34</xdr:col>
      <xdr:colOff>542925</xdr:colOff>
      <xdr:row>56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65</xdr:row>
      <xdr:rowOff>38100</xdr:rowOff>
    </xdr:from>
    <xdr:to>
      <xdr:col>35</xdr:col>
      <xdr:colOff>228600</xdr:colOff>
      <xdr:row>88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96</xdr:row>
      <xdr:rowOff>66675</xdr:rowOff>
    </xdr:from>
    <xdr:to>
      <xdr:col>35</xdr:col>
      <xdr:colOff>428625</xdr:colOff>
      <xdr:row>119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133350</xdr:rowOff>
    </xdr:from>
    <xdr:to>
      <xdr:col>14</xdr:col>
      <xdr:colOff>57150</xdr:colOff>
      <xdr:row>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096000" y="942975"/>
          <a:ext cx="311467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Используется при вычислении нормативных трудозатрат на год  (чел./нат. Ед. фондов)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17</xdr:col>
      <xdr:colOff>581025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581026</xdr:colOff>
      <xdr:row>44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514349</xdr:colOff>
      <xdr:row>67</xdr:row>
      <xdr:rowOff>66675</xdr:rowOff>
    </xdr:from>
    <xdr:to>
      <xdr:col>17</xdr:col>
      <xdr:colOff>542924</xdr:colOff>
      <xdr:row>91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92</xdr:row>
      <xdr:rowOff>95250</xdr:rowOff>
    </xdr:from>
    <xdr:to>
      <xdr:col>17</xdr:col>
      <xdr:colOff>571499</xdr:colOff>
      <xdr:row>113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116</xdr:row>
      <xdr:rowOff>9525</xdr:rowOff>
    </xdr:from>
    <xdr:to>
      <xdr:col>18</xdr:col>
      <xdr:colOff>57150</xdr:colOff>
      <xdr:row>134</xdr:row>
      <xdr:rowOff>83344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138</xdr:row>
      <xdr:rowOff>0</xdr:rowOff>
    </xdr:from>
    <xdr:to>
      <xdr:col>18</xdr:col>
      <xdr:colOff>19049</xdr:colOff>
      <xdr:row>154</xdr:row>
      <xdr:rowOff>147638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523874</xdr:colOff>
      <xdr:row>45</xdr:row>
      <xdr:rowOff>114300</xdr:rowOff>
    </xdr:from>
    <xdr:to>
      <xdr:col>18</xdr:col>
      <xdr:colOff>38099</xdr:colOff>
      <xdr:row>66</xdr:row>
      <xdr:rowOff>40902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314325</xdr:colOff>
      <xdr:row>4</xdr:row>
      <xdr:rowOff>85725</xdr:rowOff>
    </xdr:from>
    <xdr:to>
      <xdr:col>37</xdr:col>
      <xdr:colOff>38100</xdr:colOff>
      <xdr:row>28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156</xdr:row>
      <xdr:rowOff>19050</xdr:rowOff>
    </xdr:from>
    <xdr:to>
      <xdr:col>18</xdr:col>
      <xdr:colOff>276225</xdr:colOff>
      <xdr:row>181</xdr:row>
      <xdr:rowOff>29936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1</xdr:rowOff>
    </xdr:from>
    <xdr:to>
      <xdr:col>18</xdr:col>
      <xdr:colOff>142875</xdr:colOff>
      <xdr:row>206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67</xdr:row>
      <xdr:rowOff>47625</xdr:rowOff>
    </xdr:from>
    <xdr:to>
      <xdr:col>33</xdr:col>
      <xdr:colOff>285750</xdr:colOff>
      <xdr:row>91</xdr:row>
      <xdr:rowOff>142875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86;&#1076;&#1064;&#1090;&#1072;&#1082;&#1077;&#1083;&#1100;&#1073;&#1077;&#1088;&#1075;/obrabotka_10_TC_N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  <sheetName val="Модель_Соц_сфера"/>
    </sheetNames>
    <definedNames>
      <definedName name="KoefRostTarif" refersTo="='ПУЛЬТ'!$U$29:$AL$35"/>
      <definedName name="KoefRostZPl" refersTo="='ПУЛЬТ'!$U$41:$AL$47"/>
      <definedName name="NScenDoliFB" refersTo="='ПУЛЬТ'!$G$25"/>
      <definedName name="NscenDoliNS" refersTo="='ПУЛЬТ'!$G$19"/>
      <definedName name="NscenInfl" refersTo="='ПУЛЬТ'!$G$15"/>
      <definedName name="NScenRostTarif_1" refersTo="='ПУЛЬТ'!$L$17"/>
      <definedName name="NScenRostTarif_2" refersTo="='ПУЛЬТ'!$L$18"/>
      <definedName name="NScenRostTarif_3" refersTo="='ПУЛЬТ'!$L$19"/>
      <definedName name="NScenRostTarif_4" refersTo="='ПУЛЬТ'!$L$20"/>
      <definedName name="NScenRostTarif_5" refersTo="='ПУЛЬТ'!$L$21"/>
      <definedName name="NScenRostTarif_6" refersTo="='ПУЛЬТ'!$L$22"/>
      <definedName name="NScenRostTarif_7" refersTo="='ПУЛЬТ'!$L$23"/>
      <definedName name="NScenRostZPlat_2" refersTo="='ПУЛЬТ'!$L$29"/>
      <definedName name="NScenRostZPlat_3" refersTo="='ПУЛЬТ'!$L$30"/>
      <definedName name="NScenRostZPlat_4" refersTo="='ПУЛЬТ'!$L$31"/>
      <definedName name="NScenRostZPlat_5" refersTo="='ПУЛЬТ'!$L$32"/>
      <definedName name="NScenRostZPlat_6" refersTo="='ПУЛЬТ'!$L$33"/>
      <definedName name="NScenRostZPlat_7" refersTo="='ПУЛЬТ'!$L$34"/>
      <definedName name="NscenSobDoh" refersTo="='ПУЛЬТ'!$G$23"/>
      <definedName name="NScenSocTransFB" refersTo="='ПУЛЬТ'!$G$18"/>
      <definedName name="NScenSocTransKB" refersTo="='ПУЛЬТ'!$G$17"/>
      <definedName name="NScenVvodNaselGKH" refersTo="='ПУЛЬТ'!$G$21"/>
      <definedName name="VvodNewMosh" refersTo="='распределение '!$C$700:$AB$706"/>
    </definedNames>
    <sheetDataSet>
      <sheetData sheetId="0">
        <row r="15">
          <cell r="G15">
            <v>2</v>
          </cell>
        </row>
        <row r="17">
          <cell r="G17">
            <v>1</v>
          </cell>
          <cell r="L17">
            <v>1</v>
          </cell>
        </row>
        <row r="18">
          <cell r="G18">
            <v>1</v>
          </cell>
          <cell r="L18">
            <v>1</v>
          </cell>
        </row>
        <row r="19">
          <cell r="G19">
            <v>1</v>
          </cell>
          <cell r="L19">
            <v>1</v>
          </cell>
        </row>
        <row r="20">
          <cell r="L20">
            <v>1</v>
          </cell>
        </row>
        <row r="21">
          <cell r="G21">
            <v>2</v>
          </cell>
          <cell r="L21">
            <v>1</v>
          </cell>
        </row>
        <row r="22">
          <cell r="L22">
            <v>1</v>
          </cell>
        </row>
        <row r="23">
          <cell r="G23">
            <v>4</v>
          </cell>
          <cell r="L23">
            <v>1</v>
          </cell>
        </row>
        <row r="25">
          <cell r="G25">
            <v>2</v>
          </cell>
        </row>
        <row r="29">
          <cell r="L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0.1</v>
          </cell>
          <cell r="AL29">
            <v>0.1</v>
          </cell>
        </row>
        <row r="30">
          <cell r="L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0.12</v>
          </cell>
          <cell r="AL30">
            <v>0.12</v>
          </cell>
        </row>
        <row r="31">
          <cell r="L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0.13</v>
          </cell>
          <cell r="AL31">
            <v>0.13</v>
          </cell>
        </row>
        <row r="32">
          <cell r="L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0.14000000000000001</v>
          </cell>
          <cell r="AL32">
            <v>0.14000000000000001</v>
          </cell>
        </row>
        <row r="33">
          <cell r="L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0.15</v>
          </cell>
          <cell r="AL33">
            <v>0.15</v>
          </cell>
        </row>
        <row r="34">
          <cell r="L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0.16</v>
          </cell>
          <cell r="AL34">
            <v>0.16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0.17</v>
          </cell>
          <cell r="AL35">
            <v>0.17</v>
          </cell>
        </row>
        <row r="41"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0.1</v>
          </cell>
          <cell r="AL42">
            <v>0.1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0.12</v>
          </cell>
          <cell r="AL43">
            <v>0.12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0.13</v>
          </cell>
          <cell r="AL44">
            <v>0.13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0.14000000000000001</v>
          </cell>
          <cell r="AL45">
            <v>0.14000000000000001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0.15</v>
          </cell>
          <cell r="AL46">
            <v>0.15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0.16</v>
          </cell>
          <cell r="AL47">
            <v>0.16</v>
          </cell>
        </row>
      </sheetData>
      <sheetData sheetId="1">
        <row r="38">
          <cell r="A38">
            <v>1</v>
          </cell>
        </row>
        <row r="39">
          <cell r="A39">
            <v>2.5</v>
          </cell>
        </row>
      </sheetData>
      <sheetData sheetId="2">
        <row r="14">
          <cell r="N14">
            <v>53151.791279939374</v>
          </cell>
          <cell r="O14">
            <v>53456.593793053406</v>
          </cell>
          <cell r="P14">
            <v>53868.5941392401</v>
          </cell>
          <cell r="Q14">
            <v>54115.310299274577</v>
          </cell>
          <cell r="R14">
            <v>54192.920918382646</v>
          </cell>
          <cell r="S14">
            <v>53092.903568348614</v>
          </cell>
          <cell r="T14">
            <v>52327.523291331738</v>
          </cell>
          <cell r="U14">
            <v>51634.585218809734</v>
          </cell>
          <cell r="V14">
            <v>50990.990937693146</v>
          </cell>
          <cell r="W14">
            <v>50316.834004587261</v>
          </cell>
          <cell r="X14">
            <v>49680.782364385523</v>
          </cell>
          <cell r="Y14">
            <v>49076.853069946999</v>
          </cell>
          <cell r="Z14">
            <v>48583.306410946083</v>
          </cell>
        </row>
      </sheetData>
      <sheetData sheetId="3"/>
      <sheetData sheetId="4">
        <row r="88">
          <cell r="S88">
            <v>9238.1035553099337</v>
          </cell>
          <cell r="T88">
            <v>7286.0124570879689</v>
          </cell>
          <cell r="U88">
            <v>8889.5949957827252</v>
          </cell>
          <cell r="V88">
            <v>6458.4030204831588</v>
          </cell>
          <cell r="W88">
            <v>7735.9645694937562</v>
          </cell>
          <cell r="X88">
            <v>7027.7337487568957</v>
          </cell>
          <cell r="Y88">
            <v>8920.3831543209053</v>
          </cell>
          <cell r="Z88">
            <v>8540.2798136274796</v>
          </cell>
          <cell r="AA88">
            <v>6421.2040222561391</v>
          </cell>
          <cell r="AB88">
            <v>10670.183438421202</v>
          </cell>
          <cell r="AC88">
            <v>10573.019856320199</v>
          </cell>
          <cell r="AD88">
            <v>6444.5264647617123</v>
          </cell>
          <cell r="AE88">
            <v>4966.1984344576222</v>
          </cell>
          <cell r="AF88">
            <v>0</v>
          </cell>
        </row>
        <row r="97">
          <cell r="S97">
            <v>358705.31417405262</v>
          </cell>
          <cell r="T97">
            <v>230114.90481222825</v>
          </cell>
          <cell r="U97">
            <v>167921.29453377827</v>
          </cell>
          <cell r="V97">
            <v>78789.125851305231</v>
          </cell>
          <cell r="W97">
            <v>117986.89594891602</v>
          </cell>
          <cell r="X97">
            <v>74244.236342498218</v>
          </cell>
          <cell r="Y97">
            <v>67361.501991412762</v>
          </cell>
          <cell r="Z97">
            <v>61991.598042885198</v>
          </cell>
          <cell r="AA97">
            <v>65341.762776644195</v>
          </cell>
          <cell r="AB97">
            <v>94798.730112738034</v>
          </cell>
          <cell r="AC97">
            <v>51566.968132905859</v>
          </cell>
          <cell r="AD97">
            <v>95344.912840090255</v>
          </cell>
          <cell r="AE97">
            <v>169766.79303483054</v>
          </cell>
          <cell r="AF97">
            <v>0</v>
          </cell>
        </row>
        <row r="105"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23</v>
          </cell>
          <cell r="T105">
            <v>93</v>
          </cell>
          <cell r="U105">
            <v>148</v>
          </cell>
          <cell r="V105">
            <v>88</v>
          </cell>
          <cell r="W105">
            <v>115</v>
          </cell>
          <cell r="X105">
            <v>94</v>
          </cell>
          <cell r="Y105">
            <v>142</v>
          </cell>
          <cell r="Z105">
            <v>148</v>
          </cell>
          <cell r="AA105">
            <v>71</v>
          </cell>
          <cell r="AB105">
            <v>33</v>
          </cell>
          <cell r="AC105">
            <v>49</v>
          </cell>
          <cell r="AD105">
            <v>44</v>
          </cell>
          <cell r="AE105">
            <v>43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  <cell r="P106">
            <v>50</v>
          </cell>
          <cell r="Q106">
            <v>50</v>
          </cell>
          <cell r="R106">
            <v>50</v>
          </cell>
          <cell r="S106">
            <v>61</v>
          </cell>
          <cell r="T106">
            <v>39</v>
          </cell>
          <cell r="U106">
            <v>43</v>
          </cell>
          <cell r="V106">
            <v>27</v>
          </cell>
          <cell r="W106">
            <v>31</v>
          </cell>
          <cell r="X106">
            <v>27</v>
          </cell>
          <cell r="Y106">
            <v>33</v>
          </cell>
          <cell r="Z106">
            <v>27</v>
          </cell>
          <cell r="AA106">
            <v>18</v>
          </cell>
          <cell r="AB106">
            <v>34</v>
          </cell>
          <cell r="AC106">
            <v>34</v>
          </cell>
          <cell r="AD106">
            <v>19</v>
          </cell>
          <cell r="AE106">
            <v>14</v>
          </cell>
        </row>
        <row r="107"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94</v>
          </cell>
          <cell r="T107">
            <v>98</v>
          </cell>
          <cell r="U107">
            <v>101</v>
          </cell>
          <cell r="V107">
            <v>92</v>
          </cell>
          <cell r="W107">
            <v>101</v>
          </cell>
          <cell r="X107">
            <v>102</v>
          </cell>
          <cell r="Y107">
            <v>107</v>
          </cell>
          <cell r="Z107">
            <v>110</v>
          </cell>
          <cell r="AA107">
            <v>95</v>
          </cell>
          <cell r="AB107">
            <v>112</v>
          </cell>
          <cell r="AC107">
            <v>112</v>
          </cell>
          <cell r="AD107">
            <v>93</v>
          </cell>
          <cell r="AE107">
            <v>70</v>
          </cell>
        </row>
        <row r="108"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30</v>
          </cell>
          <cell r="S108">
            <v>0</v>
          </cell>
          <cell r="T108">
            <v>10</v>
          </cell>
          <cell r="U108">
            <v>18</v>
          </cell>
          <cell r="V108">
            <v>14</v>
          </cell>
          <cell r="W108">
            <v>18</v>
          </cell>
          <cell r="X108">
            <v>16</v>
          </cell>
          <cell r="Y108">
            <v>21</v>
          </cell>
          <cell r="Z108">
            <v>19</v>
          </cell>
          <cell r="AA108">
            <v>15</v>
          </cell>
          <cell r="AB108">
            <v>28</v>
          </cell>
          <cell r="AC108">
            <v>27</v>
          </cell>
          <cell r="AD108">
            <v>15</v>
          </cell>
          <cell r="AE108">
            <v>11</v>
          </cell>
        </row>
        <row r="109"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169</v>
          </cell>
          <cell r="T109">
            <v>89</v>
          </cell>
          <cell r="U109">
            <v>105</v>
          </cell>
          <cell r="V109">
            <v>68</v>
          </cell>
          <cell r="W109">
            <v>81</v>
          </cell>
          <cell r="X109">
            <v>75</v>
          </cell>
          <cell r="Y109">
            <v>100</v>
          </cell>
          <cell r="Z109">
            <v>92</v>
          </cell>
          <cell r="AA109">
            <v>73</v>
          </cell>
          <cell r="AB109">
            <v>138</v>
          </cell>
          <cell r="AC109">
            <v>133</v>
          </cell>
          <cell r="AD109">
            <v>76</v>
          </cell>
          <cell r="AE109">
            <v>58</v>
          </cell>
        </row>
        <row r="110"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169</v>
          </cell>
          <cell r="T110">
            <v>115</v>
          </cell>
          <cell r="U110">
            <v>137</v>
          </cell>
          <cell r="V110">
            <v>99</v>
          </cell>
          <cell r="W110">
            <v>126</v>
          </cell>
          <cell r="X110">
            <v>105</v>
          </cell>
          <cell r="Y110">
            <v>144</v>
          </cell>
          <cell r="Z110">
            <v>141</v>
          </cell>
          <cell r="AA110">
            <v>103</v>
          </cell>
          <cell r="AB110">
            <v>200</v>
          </cell>
          <cell r="AC110">
            <v>203</v>
          </cell>
          <cell r="AD110">
            <v>109</v>
          </cell>
          <cell r="AE110">
            <v>84</v>
          </cell>
        </row>
      </sheetData>
      <sheetData sheetId="5">
        <row r="82">
          <cell r="L82">
            <v>79382.978999999992</v>
          </cell>
          <cell r="M82">
            <v>51598.936349999989</v>
          </cell>
          <cell r="N82">
            <v>41279.149079999996</v>
          </cell>
          <cell r="O82">
            <v>358705.31417405262</v>
          </cell>
          <cell r="P82">
            <v>230114.90481222825</v>
          </cell>
          <cell r="Q82">
            <v>167921.29453377827</v>
          </cell>
          <cell r="R82">
            <v>78789.125851305231</v>
          </cell>
          <cell r="S82">
            <v>117986.89594891602</v>
          </cell>
          <cell r="T82">
            <v>74244.236342498218</v>
          </cell>
          <cell r="U82">
            <v>67361.501991412762</v>
          </cell>
          <cell r="V82">
            <v>61991.598042885198</v>
          </cell>
          <cell r="W82">
            <v>65341.762776644195</v>
          </cell>
          <cell r="X82">
            <v>94798.730112738034</v>
          </cell>
          <cell r="Y82">
            <v>51566.968132905859</v>
          </cell>
          <cell r="Z82">
            <v>95344.912840090255</v>
          </cell>
          <cell r="AA82">
            <v>169766.79303483054</v>
          </cell>
          <cell r="AB82">
            <v>0</v>
          </cell>
        </row>
        <row r="120">
          <cell r="C120">
            <v>16709238.932039998</v>
          </cell>
          <cell r="D120">
            <v>19374981.762139998</v>
          </cell>
          <cell r="E120">
            <v>23529017.37799</v>
          </cell>
          <cell r="F120">
            <v>24880386.637880005</v>
          </cell>
          <cell r="G120">
            <v>27975769.610169999</v>
          </cell>
          <cell r="H120">
            <v>29060796.29377</v>
          </cell>
          <cell r="I120">
            <v>37764372.420560002</v>
          </cell>
          <cell r="J120">
            <v>42168282.307270013</v>
          </cell>
          <cell r="K120">
            <v>43886462.336021848</v>
          </cell>
          <cell r="L120">
            <v>48162498.18973998</v>
          </cell>
          <cell r="M120">
            <v>52315641.393009104</v>
          </cell>
          <cell r="N120">
            <v>57533260.640013009</v>
          </cell>
          <cell r="O120">
            <v>65774955.869593002</v>
          </cell>
          <cell r="P120">
            <v>73454781.73651804</v>
          </cell>
          <cell r="Q120">
            <v>50856607.931067638</v>
          </cell>
          <cell r="R120">
            <v>55318690.274628341</v>
          </cell>
          <cell r="S120">
            <v>59803686.373187833</v>
          </cell>
          <cell r="T120">
            <v>65397722.786339909</v>
          </cell>
          <cell r="U120">
            <v>72165632.312537029</v>
          </cell>
          <cell r="V120">
            <v>79407882.833356082</v>
          </cell>
          <cell r="W120">
            <v>87294628.076075494</v>
          </cell>
          <cell r="X120">
            <v>94279536.223614037</v>
          </cell>
          <cell r="Y120">
            <v>100865106.88425691</v>
          </cell>
          <cell r="Z120">
            <v>107900517.90698914</v>
          </cell>
          <cell r="AA120">
            <v>115416007.68229148</v>
          </cell>
          <cell r="AB120">
            <v>123443823.20947058</v>
          </cell>
        </row>
        <row r="156">
          <cell r="L156">
            <v>4.887882521964515E-2</v>
          </cell>
          <cell r="M156">
            <v>5.6233581906800278E-2</v>
          </cell>
          <cell r="N156">
            <v>6.6888544771732339E-2</v>
          </cell>
          <cell r="O156">
            <v>5.9379899999409624E-2</v>
          </cell>
          <cell r="P156">
            <v>7.7289886151782117E-2</v>
          </cell>
          <cell r="Q156">
            <v>9.0183950950501246E-2</v>
          </cell>
          <cell r="R156">
            <v>0.10431230117782575</v>
          </cell>
          <cell r="S156">
            <v>0.11468451486137865</v>
          </cell>
          <cell r="T156">
            <v>0.12299329623247346</v>
          </cell>
          <cell r="U156">
            <v>0.12839464322178429</v>
          </cell>
          <cell r="V156">
            <v>0.12819207996452153</v>
          </cell>
          <cell r="W156">
            <v>0.1214710509585416</v>
          </cell>
          <cell r="X156">
            <v>0.11337923270459482</v>
          </cell>
          <cell r="Y156">
            <v>0.12248699215738512</v>
          </cell>
          <cell r="Z156">
            <v>0.13082154971408866</v>
          </cell>
          <cell r="AA156">
            <v>0.13940847722349348</v>
          </cell>
          <cell r="AB156">
            <v>0.14769404965202759</v>
          </cell>
        </row>
        <row r="157">
          <cell r="L157">
            <v>9.5472773907524268E-4</v>
          </cell>
          <cell r="M157">
            <v>1.7474069810412118E-3</v>
          </cell>
          <cell r="N157">
            <v>2.0200472812148991E-3</v>
          </cell>
          <cell r="O157">
            <v>1.7104919785669095E-3</v>
          </cell>
          <cell r="P157">
            <v>2.4141006582771816E-3</v>
          </cell>
          <cell r="Q157">
            <v>2.6135777350867438E-3</v>
          </cell>
          <cell r="R157">
            <v>3.3353418887220876E-3</v>
          </cell>
          <cell r="S157">
            <v>3.9682415531400693E-3</v>
          </cell>
          <cell r="T157">
            <v>4.5439791869279107E-3</v>
          </cell>
          <cell r="U157">
            <v>5.0341768629674766E-3</v>
          </cell>
          <cell r="V157">
            <v>5.4478264640210501E-3</v>
          </cell>
          <cell r="W157">
            <v>5.8217837389713256E-3</v>
          </cell>
          <cell r="X157">
            <v>6.3063287883588018E-3</v>
          </cell>
          <cell r="Y157">
            <v>6.8171257734127473E-3</v>
          </cell>
          <cell r="Z157">
            <v>7.2878951399469524E-3</v>
          </cell>
          <cell r="AA157">
            <v>7.8653472008112513E-3</v>
          </cell>
          <cell r="AB157">
            <v>7.3803072489728797E-3</v>
          </cell>
        </row>
        <row r="158">
          <cell r="L158">
            <v>1.7149656195624662E-3</v>
          </cell>
          <cell r="M158">
            <v>2.4734403924480432E-3</v>
          </cell>
          <cell r="N158">
            <v>3.0687133445439878E-3</v>
          </cell>
          <cell r="O158">
            <v>0</v>
          </cell>
          <cell r="P158">
            <v>1.5861741969616996E-3</v>
          </cell>
          <cell r="Q158">
            <v>2.7973127466788053E-3</v>
          </cell>
          <cell r="R158">
            <v>3.8092607960508174E-3</v>
          </cell>
          <cell r="S158">
            <v>4.6047145766741071E-3</v>
          </cell>
          <cell r="T158">
            <v>5.271159364764362E-3</v>
          </cell>
          <cell r="U158">
            <v>5.7895488912563312E-3</v>
          </cell>
          <cell r="V158">
            <v>6.1779273868835805E-3</v>
          </cell>
          <cell r="W158">
            <v>6.5133970655001441E-3</v>
          </cell>
          <cell r="X158">
            <v>7.0657985987060135E-3</v>
          </cell>
          <cell r="Y158">
            <v>7.6296946745350314E-3</v>
          </cell>
          <cell r="Z158">
            <v>8.1337008290128104E-3</v>
          </cell>
          <cell r="AA158">
            <v>8.8245361951468093E-3</v>
          </cell>
          <cell r="AB158">
            <v>7.9738181321719268E-3</v>
          </cell>
        </row>
        <row r="159">
          <cell r="L159">
            <v>1.6251704534409078E-2</v>
          </cell>
          <cell r="M159">
            <v>1.4593710554694161E-2</v>
          </cell>
          <cell r="N159">
            <v>2.2364923956675303E-2</v>
          </cell>
          <cell r="O159">
            <v>2.4742066021134712E-2</v>
          </cell>
          <cell r="P159">
            <v>2.4940083795816304E-2</v>
          </cell>
          <cell r="Q159">
            <v>3.1133639570133542E-2</v>
          </cell>
          <cell r="R159">
            <v>3.6430874188985191E-2</v>
          </cell>
          <cell r="S159">
            <v>4.1507090580159556E-2</v>
          </cell>
          <cell r="T159">
            <v>4.8968750178669113E-2</v>
          </cell>
          <cell r="U159">
            <v>5.3119929209271916E-2</v>
          </cell>
          <cell r="V159">
            <v>5.6753168640753388E-2</v>
          </cell>
          <cell r="W159">
            <v>6.3070955561838171E-2</v>
          </cell>
          <cell r="X159">
            <v>6.7692592115799893E-2</v>
          </cell>
          <cell r="Y159">
            <v>7.264853336261054E-2</v>
          </cell>
          <cell r="Z159">
            <v>8.052440991603188E-2</v>
          </cell>
          <cell r="AA159">
            <v>8.6432524719115417E-2</v>
          </cell>
          <cell r="AB159">
            <v>8.320035990248148E-2</v>
          </cell>
        </row>
        <row r="160">
          <cell r="L160">
            <v>1.3835493425290057E-2</v>
          </cell>
          <cell r="M160">
            <v>1.8232883770245123E-2</v>
          </cell>
          <cell r="N160">
            <v>2.3279255498399126E-2</v>
          </cell>
          <cell r="O160">
            <v>1.6873993565729273E-2</v>
          </cell>
          <cell r="P160">
            <v>2.3070903002085114E-2</v>
          </cell>
          <cell r="Q160">
            <v>2.8134286219249294E-2</v>
          </cell>
          <cell r="R160">
            <v>3.6272473189790516E-2</v>
          </cell>
          <cell r="S160">
            <v>4.3753139867740598E-2</v>
          </cell>
          <cell r="T160">
            <v>4.5791490050615336E-2</v>
          </cell>
          <cell r="U160">
            <v>5.2789835983690081E-2</v>
          </cell>
          <cell r="V160">
            <v>5.9001041636903173E-2</v>
          </cell>
          <cell r="W160">
            <v>5.9474565574466703E-2</v>
          </cell>
          <cell r="X160">
            <v>6.7073286769092078E-2</v>
          </cell>
          <cell r="Y160">
            <v>7.47024547127354E-2</v>
          </cell>
          <cell r="Z160">
            <v>7.6559177552144475E-2</v>
          </cell>
          <cell r="AA160">
            <v>8.553899942176782E-2</v>
          </cell>
          <cell r="AB160">
            <v>8.5497745491980831E-2</v>
          </cell>
        </row>
        <row r="161">
          <cell r="M161"/>
          <cell r="N161"/>
        </row>
        <row r="162">
          <cell r="L162">
            <v>2015</v>
          </cell>
          <cell r="M162">
            <v>2016</v>
          </cell>
          <cell r="N162">
            <v>2017</v>
          </cell>
          <cell r="O162">
            <v>2018</v>
          </cell>
          <cell r="P162">
            <v>2019</v>
          </cell>
          <cell r="Q162">
            <v>2020</v>
          </cell>
          <cell r="R162">
            <v>2021</v>
          </cell>
          <cell r="S162">
            <v>2022</v>
          </cell>
          <cell r="T162">
            <v>2023</v>
          </cell>
          <cell r="U162">
            <v>2024</v>
          </cell>
          <cell r="V162">
            <v>2025</v>
          </cell>
          <cell r="W162">
            <v>2026</v>
          </cell>
          <cell r="X162">
            <v>2027</v>
          </cell>
          <cell r="Y162">
            <v>2028</v>
          </cell>
          <cell r="Z162">
            <v>2029</v>
          </cell>
          <cell r="AA162">
            <v>2030</v>
          </cell>
          <cell r="AB162">
            <v>2031</v>
          </cell>
        </row>
        <row r="179">
          <cell r="C179">
            <v>0.26499912417665161</v>
          </cell>
          <cell r="D179">
            <v>0.36004748797313829</v>
          </cell>
          <cell r="E179">
            <v>0.36678540085206174</v>
          </cell>
          <cell r="F179">
            <v>0.16675242563664083</v>
          </cell>
          <cell r="G179">
            <v>0.20095949436801017</v>
          </cell>
          <cell r="H179">
            <v>1.424554279281426E-2</v>
          </cell>
          <cell r="I179">
            <v>0</v>
          </cell>
          <cell r="J179">
            <v>1.6398735900905279E-2</v>
          </cell>
          <cell r="K179">
            <v>0.19520506507065732</v>
          </cell>
          <cell r="L179">
            <v>0.1362529912369928</v>
          </cell>
          <cell r="M179">
            <v>0.14982786675460563</v>
          </cell>
          <cell r="N179">
            <v>0.14574608462581548</v>
          </cell>
          <cell r="O179">
            <v>0</v>
          </cell>
          <cell r="P179">
            <v>7.9908685171089011E-2</v>
          </cell>
          <cell r="Q179">
            <v>0.11334385484599646</v>
          </cell>
          <cell r="R179">
            <v>0.12346820131681906</v>
          </cell>
          <cell r="S179">
            <v>0.12801452057909005</v>
          </cell>
          <cell r="T179">
            <v>0.129841798665565</v>
          </cell>
          <cell r="U179">
            <v>0.12957285930632578</v>
          </cell>
          <cell r="V179">
            <v>0.12746220467088326</v>
          </cell>
          <cell r="W179">
            <v>0.12694765392447502</v>
          </cell>
          <cell r="X179">
            <v>0.13051995415778878</v>
          </cell>
          <cell r="Y179">
            <v>0.13324209067173934</v>
          </cell>
          <cell r="Z179">
            <v>0.13131547613732331</v>
          </cell>
          <cell r="AA179">
            <v>0.12907963079727663</v>
          </cell>
          <cell r="AB179">
            <v>0.11992295886275166</v>
          </cell>
          <cell r="AC179">
            <v>5</v>
          </cell>
        </row>
        <row r="663">
          <cell r="C663">
            <v>5402426.1729265861</v>
          </cell>
          <cell r="D663">
            <v>5900720.7049857499</v>
          </cell>
          <cell r="E663">
            <v>7107154.222717775</v>
          </cell>
          <cell r="F663">
            <v>7309430.418136551</v>
          </cell>
          <cell r="G663">
            <v>7497675.0986040737</v>
          </cell>
          <cell r="H663">
            <v>7044330.8882491216</v>
          </cell>
          <cell r="I663">
            <v>6817240.110375613</v>
          </cell>
          <cell r="J663">
            <v>10555779.010395344</v>
          </cell>
          <cell r="K663">
            <v>11649641.81383506</v>
          </cell>
          <cell r="L663">
            <v>11014967.869139181</v>
          </cell>
          <cell r="M663">
            <v>13535873.980643716</v>
          </cell>
          <cell r="N663">
            <v>12332037.983498903</v>
          </cell>
          <cell r="O663">
            <v>13711829.028886339</v>
          </cell>
          <cell r="P663">
            <v>18527796.938880354</v>
          </cell>
          <cell r="Q663">
            <v>13699300.285662137</v>
          </cell>
          <cell r="R663">
            <v>14122917.271311406</v>
          </cell>
          <cell r="S663">
            <v>14595812.308463618</v>
          </cell>
          <cell r="T663">
            <v>15727968.521881539</v>
          </cell>
          <cell r="U663">
            <v>17128325.32914345</v>
          </cell>
          <cell r="V663">
            <v>18537676.962728128</v>
          </cell>
          <cell r="W663">
            <v>19785721.420923155</v>
          </cell>
          <cell r="X663">
            <v>20841601.339145593</v>
          </cell>
          <cell r="Y663">
            <v>21601794.470476434</v>
          </cell>
          <cell r="Z663">
            <v>22591320.997223444</v>
          </cell>
          <cell r="AA663">
            <v>23900084.278738782</v>
          </cell>
          <cell r="AB663">
            <v>25507933.884067655</v>
          </cell>
        </row>
        <row r="700">
          <cell r="C700">
            <v>132947</v>
          </cell>
          <cell r="D700">
            <v>173808</v>
          </cell>
          <cell r="E700">
            <v>194474</v>
          </cell>
          <cell r="F700">
            <v>190616</v>
          </cell>
          <cell r="G700">
            <v>195145</v>
          </cell>
          <cell r="H700">
            <v>175906</v>
          </cell>
          <cell r="I700">
            <v>213894</v>
          </cell>
          <cell r="J700">
            <v>190141</v>
          </cell>
          <cell r="K700">
            <v>148814</v>
          </cell>
          <cell r="L700">
            <v>185678</v>
          </cell>
          <cell r="M700">
            <v>197904</v>
          </cell>
          <cell r="N700">
            <v>199377</v>
          </cell>
          <cell r="O700">
            <v>203329</v>
          </cell>
          <cell r="P700">
            <v>196676</v>
          </cell>
          <cell r="Q700">
            <v>145182</v>
          </cell>
          <cell r="R700">
            <v>147113</v>
          </cell>
          <cell r="S700">
            <v>145310</v>
          </cell>
          <cell r="T700">
            <v>148995</v>
          </cell>
          <cell r="U700">
            <v>151366</v>
          </cell>
          <cell r="V700">
            <v>151501</v>
          </cell>
          <cell r="W700">
            <v>152264</v>
          </cell>
          <cell r="X700">
            <v>153958</v>
          </cell>
          <cell r="Y700">
            <v>155146</v>
          </cell>
          <cell r="Z700">
            <v>156434</v>
          </cell>
          <cell r="AA700">
            <v>156850</v>
          </cell>
          <cell r="AB700">
            <v>158220</v>
          </cell>
        </row>
        <row r="701">
          <cell r="C701">
            <v>2999</v>
          </cell>
          <cell r="D701">
            <v>1965</v>
          </cell>
          <cell r="E701">
            <v>977</v>
          </cell>
          <cell r="F701">
            <v>723</v>
          </cell>
          <cell r="G701">
            <v>755</v>
          </cell>
          <cell r="H701">
            <v>1212</v>
          </cell>
          <cell r="I701">
            <v>2227</v>
          </cell>
          <cell r="J701">
            <v>2947</v>
          </cell>
          <cell r="K701">
            <v>1289</v>
          </cell>
          <cell r="L701">
            <v>1448</v>
          </cell>
          <cell r="M701">
            <v>1340</v>
          </cell>
          <cell r="N701">
            <v>1212</v>
          </cell>
          <cell r="O701">
            <v>47</v>
          </cell>
          <cell r="P701">
            <v>373</v>
          </cell>
          <cell r="Q701">
            <v>408</v>
          </cell>
          <cell r="R701">
            <v>393</v>
          </cell>
          <cell r="S701">
            <v>420</v>
          </cell>
          <cell r="T701">
            <v>416</v>
          </cell>
          <cell r="U701">
            <v>461</v>
          </cell>
          <cell r="V701">
            <v>513</v>
          </cell>
          <cell r="W701">
            <v>378</v>
          </cell>
          <cell r="X701">
            <v>117</v>
          </cell>
          <cell r="Y701">
            <v>148</v>
          </cell>
          <cell r="Z701">
            <v>224</v>
          </cell>
          <cell r="AA701">
            <v>284</v>
          </cell>
          <cell r="AB701">
            <v>175</v>
          </cell>
        </row>
        <row r="702">
          <cell r="C702">
            <v>1842</v>
          </cell>
          <cell r="D702">
            <v>1813</v>
          </cell>
          <cell r="E702">
            <v>444</v>
          </cell>
          <cell r="F702">
            <v>744</v>
          </cell>
          <cell r="G702">
            <v>1397</v>
          </cell>
          <cell r="H702">
            <v>0</v>
          </cell>
          <cell r="I702">
            <v>164</v>
          </cell>
          <cell r="J702">
            <v>826</v>
          </cell>
          <cell r="K702">
            <v>3850</v>
          </cell>
          <cell r="L702">
            <v>2840</v>
          </cell>
          <cell r="M702">
            <v>2572</v>
          </cell>
          <cell r="N702">
            <v>2482</v>
          </cell>
          <cell r="O702">
            <v>2686</v>
          </cell>
          <cell r="P702">
            <v>3049</v>
          </cell>
          <cell r="Q702">
            <v>2296</v>
          </cell>
          <cell r="R702">
            <v>2276</v>
          </cell>
          <cell r="S702">
            <v>2250</v>
          </cell>
          <cell r="T702">
            <v>2263</v>
          </cell>
          <cell r="U702">
            <v>2199</v>
          </cell>
          <cell r="V702">
            <v>1997</v>
          </cell>
          <cell r="W702">
            <v>1723</v>
          </cell>
          <cell r="X702">
            <v>1756</v>
          </cell>
          <cell r="Y702">
            <v>1798</v>
          </cell>
          <cell r="Z702">
            <v>1820</v>
          </cell>
          <cell r="AA702">
            <v>1856</v>
          </cell>
          <cell r="AB702">
            <v>1936</v>
          </cell>
        </row>
        <row r="703">
          <cell r="C703">
            <v>100</v>
          </cell>
          <cell r="D703">
            <v>0</v>
          </cell>
          <cell r="E703">
            <v>0</v>
          </cell>
          <cell r="F703">
            <v>65</v>
          </cell>
          <cell r="G703">
            <v>48</v>
          </cell>
          <cell r="H703">
            <v>471</v>
          </cell>
          <cell r="I703">
            <v>1091</v>
          </cell>
          <cell r="J703">
            <v>967</v>
          </cell>
          <cell r="K703">
            <v>1131</v>
          </cell>
          <cell r="L703">
            <v>344</v>
          </cell>
          <cell r="M703">
            <v>855</v>
          </cell>
          <cell r="N703">
            <v>508</v>
          </cell>
          <cell r="O703">
            <v>468</v>
          </cell>
          <cell r="P703">
            <v>936</v>
          </cell>
          <cell r="Q703">
            <v>443</v>
          </cell>
          <cell r="R703">
            <v>499</v>
          </cell>
          <cell r="S703">
            <v>536</v>
          </cell>
          <cell r="T703">
            <v>574</v>
          </cell>
          <cell r="U703">
            <v>602</v>
          </cell>
          <cell r="V703">
            <v>617</v>
          </cell>
          <cell r="W703">
            <v>630</v>
          </cell>
          <cell r="X703">
            <v>649</v>
          </cell>
          <cell r="Y703">
            <v>664</v>
          </cell>
          <cell r="Z703">
            <v>676</v>
          </cell>
          <cell r="AA703">
            <v>689</v>
          </cell>
          <cell r="AB703">
            <v>661</v>
          </cell>
        </row>
        <row r="704">
          <cell r="C704">
            <v>1492</v>
          </cell>
          <cell r="D704">
            <v>1459</v>
          </cell>
          <cell r="E704">
            <v>972</v>
          </cell>
          <cell r="F704">
            <v>646</v>
          </cell>
          <cell r="G704">
            <v>1061</v>
          </cell>
          <cell r="H704">
            <v>70</v>
          </cell>
          <cell r="I704">
            <v>0</v>
          </cell>
          <cell r="J704">
            <v>37</v>
          </cell>
          <cell r="K704">
            <v>1903</v>
          </cell>
          <cell r="L704">
            <v>898</v>
          </cell>
          <cell r="M704">
            <v>1108</v>
          </cell>
          <cell r="N704">
            <v>1170</v>
          </cell>
          <cell r="O704">
            <v>0</v>
          </cell>
          <cell r="P704">
            <v>534</v>
          </cell>
          <cell r="Q704">
            <v>747</v>
          </cell>
          <cell r="R704">
            <v>906</v>
          </cell>
          <cell r="S704">
            <v>990</v>
          </cell>
          <cell r="T704">
            <v>1066</v>
          </cell>
          <cell r="U704">
            <v>1113</v>
          </cell>
          <cell r="V704">
            <v>1130</v>
          </cell>
          <cell r="W704">
            <v>1159</v>
          </cell>
          <cell r="X704">
            <v>1208</v>
          </cell>
          <cell r="Y704">
            <v>1244</v>
          </cell>
          <cell r="Z704">
            <v>1281</v>
          </cell>
          <cell r="AA704">
            <v>1316</v>
          </cell>
          <cell r="AB704">
            <v>1245</v>
          </cell>
        </row>
        <row r="705">
          <cell r="C705">
            <v>3980</v>
          </cell>
          <cell r="D705">
            <v>3535</v>
          </cell>
          <cell r="E705">
            <v>1944</v>
          </cell>
          <cell r="F705">
            <v>3437</v>
          </cell>
          <cell r="G705">
            <v>6966</v>
          </cell>
          <cell r="H705">
            <v>7294</v>
          </cell>
          <cell r="I705">
            <v>7846</v>
          </cell>
          <cell r="J705">
            <v>4662</v>
          </cell>
          <cell r="K705">
            <v>3299</v>
          </cell>
          <cell r="L705">
            <v>11677</v>
          </cell>
          <cell r="M705">
            <v>2780</v>
          </cell>
          <cell r="N705">
            <v>3343</v>
          </cell>
          <cell r="O705">
            <v>9073</v>
          </cell>
          <cell r="P705">
            <v>3692</v>
          </cell>
          <cell r="Q705">
            <v>4414</v>
          </cell>
          <cell r="R705">
            <v>4397</v>
          </cell>
          <cell r="S705">
            <v>2661</v>
          </cell>
          <cell r="T705">
            <v>4677</v>
          </cell>
          <cell r="U705">
            <v>4753</v>
          </cell>
          <cell r="V705">
            <v>2903</v>
          </cell>
          <cell r="W705">
            <v>4881</v>
          </cell>
          <cell r="X705">
            <v>4901</v>
          </cell>
          <cell r="Y705">
            <v>2976</v>
          </cell>
          <cell r="Z705">
            <v>4986</v>
          </cell>
          <cell r="AA705">
            <v>4972</v>
          </cell>
          <cell r="AB705">
            <v>2909</v>
          </cell>
        </row>
        <row r="706">
          <cell r="C706">
            <v>3980</v>
          </cell>
          <cell r="D706">
            <v>285</v>
          </cell>
          <cell r="E706">
            <v>993</v>
          </cell>
          <cell r="F706">
            <v>7472</v>
          </cell>
          <cell r="G706">
            <v>7969</v>
          </cell>
          <cell r="H706">
            <v>7405</v>
          </cell>
          <cell r="I706">
            <v>7634</v>
          </cell>
          <cell r="J706">
            <v>9764</v>
          </cell>
          <cell r="K706">
            <v>5033</v>
          </cell>
          <cell r="L706">
            <v>4873</v>
          </cell>
          <cell r="M706">
            <v>4078</v>
          </cell>
          <cell r="N706">
            <v>10926</v>
          </cell>
          <cell r="O706">
            <v>2914</v>
          </cell>
          <cell r="P706">
            <v>3364</v>
          </cell>
          <cell r="Q706">
            <v>2295</v>
          </cell>
          <cell r="R706">
            <v>2452</v>
          </cell>
          <cell r="S706">
            <v>5534</v>
          </cell>
          <cell r="T706">
            <v>2446</v>
          </cell>
          <cell r="U706">
            <v>2625</v>
          </cell>
          <cell r="V706">
            <v>5856</v>
          </cell>
          <cell r="W706">
            <v>2568</v>
          </cell>
          <cell r="X706">
            <v>2693</v>
          </cell>
          <cell r="Y706">
            <v>5818</v>
          </cell>
          <cell r="Z706">
            <v>2610</v>
          </cell>
          <cell r="AA706">
            <v>2674</v>
          </cell>
          <cell r="AB706">
            <v>5540</v>
          </cell>
        </row>
      </sheetData>
      <sheetData sheetId="6">
        <row r="8">
          <cell r="F8">
            <v>1</v>
          </cell>
          <cell r="G8">
            <v>1.1255303700579902</v>
          </cell>
          <cell r="H8">
            <v>1.2013430639985347</v>
          </cell>
          <cell r="I8">
            <v>1.14415356205732</v>
          </cell>
          <cell r="J8">
            <v>1.2330702058692962</v>
          </cell>
          <cell r="K8">
            <v>1.1318206742469294</v>
          </cell>
          <cell r="L8">
            <v>1.1352053293298843</v>
          </cell>
          <cell r="M8">
            <v>1.1117168757500784</v>
          </cell>
          <cell r="N8">
            <v>1.095</v>
          </cell>
          <cell r="O8">
            <v>1.1100000000000001</v>
          </cell>
          <cell r="P8">
            <v>1.1499999999999999</v>
          </cell>
          <cell r="Q8">
            <v>1.165</v>
          </cell>
          <cell r="R8">
            <v>1.17</v>
          </cell>
          <cell r="S8">
            <v>1.1400000000000001</v>
          </cell>
          <cell r="T8">
            <v>1.1100000000000001</v>
          </cell>
          <cell r="U8">
            <v>1.0900000000000001</v>
          </cell>
          <cell r="V8">
            <v>1.07</v>
          </cell>
          <cell r="W8">
            <v>1.06</v>
          </cell>
          <cell r="X8">
            <v>1.0900000000000001</v>
          </cell>
          <cell r="Y8">
            <v>1.1000000000000001</v>
          </cell>
          <cell r="Z8">
            <v>1.0900000000000001</v>
          </cell>
          <cell r="AA8">
            <v>1.0831999999999999</v>
          </cell>
          <cell r="AB8">
            <v>1.07</v>
          </cell>
          <cell r="AC8">
            <v>1.06</v>
          </cell>
          <cell r="AD8">
            <v>1.06</v>
          </cell>
          <cell r="AE8">
            <v>1.0660000000000001</v>
          </cell>
          <cell r="AF8">
            <v>1.0660000000000001</v>
          </cell>
        </row>
        <row r="9">
          <cell r="F9">
            <v>1</v>
          </cell>
          <cell r="G9">
            <v>1.036576029241066</v>
          </cell>
          <cell r="H9">
            <v>0.95480671296296293</v>
          </cell>
          <cell r="I9">
            <v>1.0015485116597029</v>
          </cell>
          <cell r="J9">
            <v>1.1761658031088082</v>
          </cell>
          <cell r="K9">
            <v>1.0966994788650841</v>
          </cell>
          <cell r="L9">
            <v>1.0431860374016417</v>
          </cell>
          <cell r="M9">
            <v>1.1075360958150462</v>
          </cell>
          <cell r="N9">
            <v>1.095</v>
          </cell>
          <cell r="O9">
            <v>1.1100000000000001</v>
          </cell>
          <cell r="P9">
            <v>1.1499999999999999</v>
          </cell>
          <cell r="Q9">
            <v>1.165</v>
          </cell>
          <cell r="R9">
            <v>1.17</v>
          </cell>
          <cell r="S9">
            <v>1.1400000000000001</v>
          </cell>
          <cell r="T9">
            <v>1.1100000000000001</v>
          </cell>
          <cell r="U9">
            <v>1.0900000000000001</v>
          </cell>
          <cell r="V9">
            <v>1.07</v>
          </cell>
          <cell r="W9">
            <v>1.06</v>
          </cell>
          <cell r="X9">
            <v>1.0900000000000001</v>
          </cell>
          <cell r="Y9">
            <v>1.1000000000000001</v>
          </cell>
          <cell r="Z9">
            <v>1.0900000000000001</v>
          </cell>
          <cell r="AA9">
            <v>1.0831999999999999</v>
          </cell>
          <cell r="AB9">
            <v>1.07</v>
          </cell>
          <cell r="AC9">
            <v>1.06</v>
          </cell>
          <cell r="AD9">
            <v>1.06</v>
          </cell>
          <cell r="AE9">
            <v>1.0671999999999999</v>
          </cell>
          <cell r="AF9">
            <v>1.0671999999999999</v>
          </cell>
        </row>
        <row r="10">
          <cell r="F10">
            <v>1</v>
          </cell>
          <cell r="G10">
            <v>1.3588026116783611</v>
          </cell>
          <cell r="H10">
            <v>1.2335276498900443</v>
          </cell>
          <cell r="I10">
            <v>1.2282268224113826</v>
          </cell>
          <cell r="J10">
            <v>1.1399968483807135</v>
          </cell>
          <cell r="K10">
            <v>1.0210318102655207</v>
          </cell>
          <cell r="L10">
            <v>1.0430374221408292</v>
          </cell>
          <cell r="M10">
            <v>1.1701925337659174</v>
          </cell>
          <cell r="N10">
            <v>1.095</v>
          </cell>
          <cell r="O10">
            <v>1.1100000000000001</v>
          </cell>
          <cell r="P10">
            <v>1.1499999999999999</v>
          </cell>
          <cell r="Q10">
            <v>1.165</v>
          </cell>
          <cell r="R10">
            <v>1.17</v>
          </cell>
          <cell r="S10">
            <v>1.1400000000000001</v>
          </cell>
          <cell r="T10">
            <v>1.1100000000000001</v>
          </cell>
          <cell r="U10">
            <v>1.0900000000000001</v>
          </cell>
          <cell r="V10">
            <v>1.07</v>
          </cell>
          <cell r="W10">
            <v>1.06</v>
          </cell>
          <cell r="X10">
            <v>1.0900000000000001</v>
          </cell>
          <cell r="Y10">
            <v>1.1000000000000001</v>
          </cell>
          <cell r="Z10">
            <v>1.0900000000000001</v>
          </cell>
          <cell r="AA10">
            <v>1.0831999999999999</v>
          </cell>
          <cell r="AB10">
            <v>1.07</v>
          </cell>
          <cell r="AC10">
            <v>1.06</v>
          </cell>
          <cell r="AD10">
            <v>1.06</v>
          </cell>
          <cell r="AE10">
            <v>1.0678000000000001</v>
          </cell>
          <cell r="AF10">
            <v>1.0678000000000001</v>
          </cell>
        </row>
        <row r="11">
          <cell r="F11">
            <v>1</v>
          </cell>
          <cell r="G11">
            <v>1.8978688661306582</v>
          </cell>
          <cell r="H11">
            <v>1.5722639770250428</v>
          </cell>
          <cell r="I11">
            <v>1.4625405075677218</v>
          </cell>
          <cell r="J11">
            <v>1.2846644406406895</v>
          </cell>
          <cell r="K11">
            <v>1.2746505941746697</v>
          </cell>
          <cell r="L11">
            <v>1.198381469592162</v>
          </cell>
          <cell r="M11">
            <v>1.2058955989576239</v>
          </cell>
          <cell r="N11">
            <v>1.095</v>
          </cell>
          <cell r="O11">
            <v>1.1100000000000001</v>
          </cell>
          <cell r="P11">
            <v>1.1499999999999999</v>
          </cell>
          <cell r="Q11">
            <v>1.165</v>
          </cell>
          <cell r="R11">
            <v>1.17</v>
          </cell>
          <cell r="S11">
            <v>1.1400000000000001</v>
          </cell>
          <cell r="T11">
            <v>1.1100000000000001</v>
          </cell>
          <cell r="U11">
            <v>1.0900000000000001</v>
          </cell>
          <cell r="V11">
            <v>1.07</v>
          </cell>
          <cell r="W11">
            <v>1.06</v>
          </cell>
          <cell r="X11">
            <v>1.0900000000000001</v>
          </cell>
          <cell r="Y11">
            <v>1.1000000000000001</v>
          </cell>
          <cell r="Z11">
            <v>1.0900000000000001</v>
          </cell>
          <cell r="AA11">
            <v>1.0831999999999999</v>
          </cell>
          <cell r="AB11">
            <v>1.07</v>
          </cell>
          <cell r="AC11">
            <v>1.06</v>
          </cell>
          <cell r="AD11">
            <v>1.06</v>
          </cell>
          <cell r="AE11">
            <v>1.0684</v>
          </cell>
          <cell r="AF11">
            <v>1.0684</v>
          </cell>
        </row>
        <row r="12">
          <cell r="F12">
            <v>1</v>
          </cell>
          <cell r="G12">
            <v>1.2184525848354637</v>
          </cell>
          <cell r="H12">
            <v>0.99517933819656179</v>
          </cell>
          <cell r="I12">
            <v>1.2650994791080845</v>
          </cell>
          <cell r="J12">
            <v>1.2578748970959697</v>
          </cell>
          <cell r="K12">
            <v>1.2281889816980021</v>
          </cell>
          <cell r="L12">
            <v>1.0948382037965816</v>
          </cell>
          <cell r="M12">
            <v>1.203963004001231</v>
          </cell>
          <cell r="N12">
            <v>1.095</v>
          </cell>
          <cell r="O12">
            <v>1.1100000000000001</v>
          </cell>
          <cell r="P12">
            <v>1.1499999999999999</v>
          </cell>
          <cell r="Q12">
            <v>1.165</v>
          </cell>
          <cell r="R12">
            <v>1.17</v>
          </cell>
          <cell r="S12">
            <v>1.1400000000000001</v>
          </cell>
          <cell r="T12">
            <v>1.1100000000000001</v>
          </cell>
          <cell r="U12">
            <v>1.0900000000000001</v>
          </cell>
          <cell r="V12">
            <v>1.07</v>
          </cell>
          <cell r="W12">
            <v>1.06</v>
          </cell>
          <cell r="X12">
            <v>1.0900000000000001</v>
          </cell>
          <cell r="Y12">
            <v>1.1000000000000001</v>
          </cell>
          <cell r="Z12">
            <v>1.0900000000000001</v>
          </cell>
          <cell r="AA12">
            <v>1.0831999999999999</v>
          </cell>
          <cell r="AB12">
            <v>1.07</v>
          </cell>
          <cell r="AC12">
            <v>1.06</v>
          </cell>
          <cell r="AD12">
            <v>1.06</v>
          </cell>
          <cell r="AE12">
            <v>1.069</v>
          </cell>
          <cell r="AF12">
            <v>1.069</v>
          </cell>
        </row>
        <row r="13">
          <cell r="F13">
            <v>1</v>
          </cell>
          <cell r="G13">
            <v>1.1624898733755784</v>
          </cell>
          <cell r="H13">
            <v>1.3991843860264914</v>
          </cell>
          <cell r="I13">
            <v>1.0995290629224261</v>
          </cell>
          <cell r="J13">
            <v>1.0907149262248308</v>
          </cell>
          <cell r="K13">
            <v>1.4817951496795398</v>
          </cell>
          <cell r="L13">
            <v>1.0482833063478225</v>
          </cell>
          <cell r="M13">
            <v>1.0455445544554456</v>
          </cell>
          <cell r="N13">
            <v>1.095</v>
          </cell>
          <cell r="O13">
            <v>1.1100000000000001</v>
          </cell>
          <cell r="P13">
            <v>1.1499999999999999</v>
          </cell>
          <cell r="Q13">
            <v>1.165</v>
          </cell>
          <cell r="R13">
            <v>1.17</v>
          </cell>
          <cell r="S13">
            <v>1.1400000000000001</v>
          </cell>
          <cell r="T13">
            <v>1.1100000000000001</v>
          </cell>
          <cell r="U13">
            <v>1.0900000000000001</v>
          </cell>
          <cell r="V13">
            <v>1.07</v>
          </cell>
          <cell r="W13">
            <v>1.06</v>
          </cell>
          <cell r="X13">
            <v>1.0900000000000001</v>
          </cell>
          <cell r="Y13">
            <v>1.1000000000000001</v>
          </cell>
          <cell r="Z13">
            <v>1.0900000000000001</v>
          </cell>
          <cell r="AA13">
            <v>1.0831999999999999</v>
          </cell>
          <cell r="AB13">
            <v>1.07</v>
          </cell>
          <cell r="AC13">
            <v>1.06</v>
          </cell>
          <cell r="AD13">
            <v>1.06</v>
          </cell>
          <cell r="AE13">
            <v>1.0695999999999999</v>
          </cell>
          <cell r="AF13">
            <v>1.0695999999999999</v>
          </cell>
        </row>
        <row r="14">
          <cell r="F14">
            <v>1</v>
          </cell>
          <cell r="G14">
            <v>0.9517992893291698</v>
          </cell>
          <cell r="H14">
            <v>1.3930984555984556</v>
          </cell>
          <cell r="I14">
            <v>1.1758728035626154</v>
          </cell>
          <cell r="J14">
            <v>1.1740159248646456</v>
          </cell>
          <cell r="K14">
            <v>1.0542433055546183</v>
          </cell>
          <cell r="L14">
            <v>1.6385021872773464</v>
          </cell>
          <cell r="M14">
            <v>1.0353302611367126</v>
          </cell>
          <cell r="N14">
            <v>1.095</v>
          </cell>
          <cell r="O14">
            <v>1.1100000000000001</v>
          </cell>
          <cell r="P14">
            <v>1.1499999999999999</v>
          </cell>
          <cell r="Q14">
            <v>1.165</v>
          </cell>
          <cell r="R14">
            <v>1.17</v>
          </cell>
          <cell r="S14">
            <v>1.1400000000000001</v>
          </cell>
          <cell r="T14">
            <v>1.1100000000000001</v>
          </cell>
          <cell r="U14">
            <v>1.0900000000000001</v>
          </cell>
          <cell r="V14">
            <v>1.07</v>
          </cell>
          <cell r="W14">
            <v>1.06</v>
          </cell>
          <cell r="X14">
            <v>1.0900000000000001</v>
          </cell>
          <cell r="Y14">
            <v>1.1000000000000001</v>
          </cell>
          <cell r="Z14">
            <v>1.0900000000000001</v>
          </cell>
          <cell r="AA14">
            <v>1.0831999999999999</v>
          </cell>
          <cell r="AB14">
            <v>1.07</v>
          </cell>
          <cell r="AC14">
            <v>1.06</v>
          </cell>
          <cell r="AD14">
            <v>1.06</v>
          </cell>
          <cell r="AE14">
            <v>1.0702</v>
          </cell>
          <cell r="AF14">
            <v>1.0702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</row>
        <row r="4">
          <cell r="E4">
            <v>40900</v>
          </cell>
        </row>
        <row r="5">
          <cell r="E5">
            <v>198878</v>
          </cell>
        </row>
        <row r="6">
          <cell r="E6">
            <v>15560</v>
          </cell>
        </row>
        <row r="7">
          <cell r="E7">
            <v>25612</v>
          </cell>
        </row>
        <row r="8">
          <cell r="E8">
            <v>125500</v>
          </cell>
        </row>
        <row r="9">
          <cell r="E9">
            <v>125500</v>
          </cell>
        </row>
        <row r="24">
          <cell r="D24">
            <v>92857</v>
          </cell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D25">
            <v>50</v>
          </cell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D26">
            <v>350</v>
          </cell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D27">
            <v>50</v>
          </cell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D28">
            <v>0</v>
          </cell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D29">
            <v>2000</v>
          </cell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D30">
            <v>15008</v>
          </cell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  <row r="36">
          <cell r="D36">
            <v>131100</v>
          </cell>
          <cell r="E36">
            <v>179000</v>
          </cell>
          <cell r="F36">
            <v>232700</v>
          </cell>
          <cell r="G36">
            <v>258600</v>
          </cell>
          <cell r="H36">
            <v>269100</v>
          </cell>
          <cell r="I36">
            <v>274800</v>
          </cell>
          <cell r="J36">
            <v>276900</v>
          </cell>
          <cell r="K36">
            <v>302900</v>
          </cell>
          <cell r="L36">
            <v>290200</v>
          </cell>
        </row>
        <row r="38">
          <cell r="D38">
            <v>38243</v>
          </cell>
          <cell r="E38">
            <v>45327</v>
          </cell>
          <cell r="F38">
            <v>57390</v>
          </cell>
          <cell r="G38">
            <v>64558</v>
          </cell>
          <cell r="H38">
            <v>79561</v>
          </cell>
          <cell r="I38">
            <v>76798</v>
          </cell>
          <cell r="J38">
            <v>102700</v>
          </cell>
          <cell r="K38">
            <v>87400</v>
          </cell>
          <cell r="L38">
            <v>111900</v>
          </cell>
        </row>
        <row r="42">
          <cell r="D42">
            <v>1144900</v>
          </cell>
          <cell r="E42">
            <v>954500</v>
          </cell>
          <cell r="F42">
            <v>211900</v>
          </cell>
          <cell r="G42">
            <v>780500</v>
          </cell>
          <cell r="H42">
            <v>900400</v>
          </cell>
          <cell r="I42">
            <v>289400</v>
          </cell>
        </row>
      </sheetData>
      <sheetData sheetId="1"/>
      <sheetData sheetId="2">
        <row r="15">
          <cell r="B15">
            <v>1228093937.9099998</v>
          </cell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B16">
            <v>293315482.13999999</v>
          </cell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B17">
            <v>1142953399.6699989</v>
          </cell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B18">
            <v>2815817199.7400007</v>
          </cell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B19">
            <v>96966332.849999994</v>
          </cell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B20">
            <v>200002185.58000001</v>
          </cell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B21">
            <v>215324100</v>
          </cell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>
        <row r="3">
          <cell r="C3">
            <v>139000</v>
          </cell>
          <cell r="D3">
            <v>156000</v>
          </cell>
        </row>
        <row r="4">
          <cell r="C4">
            <v>5670</v>
          </cell>
          <cell r="D4">
            <v>5798</v>
          </cell>
        </row>
        <row r="5">
          <cell r="C5">
            <v>29634</v>
          </cell>
          <cell r="D5">
            <v>29734</v>
          </cell>
        </row>
        <row r="6">
          <cell r="C6">
            <v>18979</v>
          </cell>
          <cell r="D6">
            <v>19500</v>
          </cell>
        </row>
        <row r="8">
          <cell r="C8">
            <v>3000</v>
          </cell>
          <cell r="D8">
            <v>3030</v>
          </cell>
        </row>
        <row r="9">
          <cell r="C9">
            <v>2299</v>
          </cell>
          <cell r="D9">
            <v>2587</v>
          </cell>
        </row>
      </sheetData>
      <sheetData sheetId="4">
        <row r="5">
          <cell r="C5">
            <v>7738.95</v>
          </cell>
        </row>
        <row r="6">
          <cell r="C6">
            <v>4325</v>
          </cell>
        </row>
        <row r="7">
          <cell r="C7">
            <v>7800</v>
          </cell>
        </row>
        <row r="8">
          <cell r="C8">
            <v>5883.9</v>
          </cell>
        </row>
        <row r="9">
          <cell r="C9">
            <v>5883.9</v>
          </cell>
        </row>
        <row r="10">
          <cell r="C10">
            <v>5901.3</v>
          </cell>
        </row>
        <row r="11">
          <cell r="C11">
            <v>5046.6000000000004</v>
          </cell>
        </row>
      </sheetData>
      <sheetData sheetId="5">
        <row r="3">
          <cell r="C3">
            <v>2714500000</v>
          </cell>
          <cell r="D3">
            <v>3092799999.9999995</v>
          </cell>
          <cell r="E3">
            <v>3727800000</v>
          </cell>
          <cell r="F3">
            <v>4295700000</v>
          </cell>
          <cell r="G3">
            <v>5317700000</v>
          </cell>
          <cell r="H3">
            <v>6036900000</v>
          </cell>
          <cell r="I3">
            <v>6891300000</v>
          </cell>
          <cell r="J3">
            <v>7730500000</v>
          </cell>
          <cell r="K3">
            <v>8464897500</v>
          </cell>
        </row>
        <row r="4">
          <cell r="C4">
            <v>198000000</v>
          </cell>
          <cell r="D4">
            <v>200000000</v>
          </cell>
          <cell r="E4">
            <v>201700000</v>
          </cell>
          <cell r="F4">
            <v>212300000</v>
          </cell>
          <cell r="G4">
            <v>254100000</v>
          </cell>
          <cell r="H4">
            <v>284100000</v>
          </cell>
          <cell r="I4">
            <v>312100000</v>
          </cell>
          <cell r="J4">
            <v>359600000</v>
          </cell>
          <cell r="K4">
            <v>393762000</v>
          </cell>
        </row>
        <row r="5">
          <cell r="C5">
            <v>596000000</v>
          </cell>
          <cell r="D5">
            <v>778300000</v>
          </cell>
          <cell r="E5">
            <v>918800000</v>
          </cell>
          <cell r="F5">
            <v>1089600000.0000002</v>
          </cell>
          <cell r="G5">
            <v>1211400000</v>
          </cell>
          <cell r="H5">
            <v>1213800000.0000002</v>
          </cell>
          <cell r="I5">
            <v>1250800000.0000002</v>
          </cell>
          <cell r="J5">
            <v>1448699999.9999998</v>
          </cell>
          <cell r="K5">
            <v>1586326499.9999998</v>
          </cell>
        </row>
        <row r="6">
          <cell r="C6">
            <v>102030000</v>
          </cell>
          <cell r="D6">
            <v>192760000</v>
          </cell>
          <cell r="E6">
            <v>299700000</v>
          </cell>
          <cell r="F6">
            <v>403000000</v>
          </cell>
          <cell r="G6">
            <v>478050000</v>
          </cell>
          <cell r="H6">
            <v>601650000</v>
          </cell>
          <cell r="I6">
            <v>684000000</v>
          </cell>
          <cell r="J6">
            <v>824900000</v>
          </cell>
          <cell r="K6">
            <v>903265500</v>
          </cell>
        </row>
        <row r="7">
          <cell r="C7">
            <v>238070000</v>
          </cell>
          <cell r="D7">
            <v>289140000</v>
          </cell>
          <cell r="E7">
            <v>299700000</v>
          </cell>
          <cell r="F7">
            <v>403000000</v>
          </cell>
          <cell r="G7">
            <v>478050000</v>
          </cell>
          <cell r="H7">
            <v>601650000</v>
          </cell>
          <cell r="I7">
            <v>684000000</v>
          </cell>
          <cell r="J7">
            <v>824900000</v>
          </cell>
          <cell r="K7">
            <v>903265500</v>
          </cell>
        </row>
        <row r="8">
          <cell r="C8">
            <v>71800000</v>
          </cell>
          <cell r="D8">
            <v>83600000</v>
          </cell>
          <cell r="E8">
            <v>120700000</v>
          </cell>
          <cell r="F8">
            <v>136300000</v>
          </cell>
          <cell r="G8">
            <v>150900000</v>
          </cell>
          <cell r="H8">
            <v>229400000</v>
          </cell>
          <cell r="I8">
            <v>252500000</v>
          </cell>
          <cell r="J8">
            <v>277200000</v>
          </cell>
          <cell r="K8">
            <v>303534000</v>
          </cell>
        </row>
        <row r="9">
          <cell r="C9">
            <v>14800000</v>
          </cell>
          <cell r="D9">
            <v>16000000</v>
          </cell>
          <cell r="E9">
            <v>23000000</v>
          </cell>
          <cell r="F9">
            <v>27100000</v>
          </cell>
          <cell r="G9">
            <v>32100000</v>
          </cell>
          <cell r="H9">
            <v>35800000</v>
          </cell>
          <cell r="I9">
            <v>62000000</v>
          </cell>
          <cell r="J9">
            <v>67400000</v>
          </cell>
          <cell r="K9">
            <v>73803000</v>
          </cell>
        </row>
      </sheetData>
      <sheetData sheetId="6"/>
      <sheetData sheetId="7">
        <row r="14">
          <cell r="C14">
            <v>250000</v>
          </cell>
        </row>
        <row r="15">
          <cell r="C15">
            <v>100000</v>
          </cell>
        </row>
        <row r="16">
          <cell r="C16">
            <v>300000</v>
          </cell>
        </row>
        <row r="17">
          <cell r="C17">
            <v>300000</v>
          </cell>
        </row>
        <row r="18">
          <cell r="C18">
            <v>60000</v>
          </cell>
        </row>
        <row r="19">
          <cell r="C19">
            <v>60000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definedNames>
      <definedName name="Delta1" refersTo="='ГИПЕР-Пульт'!$G$14"/>
      <definedName name="Delta2" refersTo="='ГИПЕР-Пульт'!$G$15"/>
      <definedName name="Delta3" refersTo="='ГИПЕР-Пульт'!$G$16"/>
      <definedName name="NscenTransInvest" refersTo="='ГИПЕР-Пульт'!$G$6"/>
      <definedName name="StartScen3" refersTo="='ГИПЕР-Пульт'!$G$18"/>
      <definedName name="StartScen4" refersTo="='ГИПЕР-Пульт'!$G$19"/>
      <definedName name="StopScen3" refersTo="='ГИПЕР-Пульт'!$H$18"/>
      <definedName name="StopScen4" refersTo="='ГИПЕР-Пульт'!$H$19"/>
      <definedName name="TempIndKBInfl" refersTo="='ГИПЕР-Пульт'!$G$12"/>
      <definedName name="TempRostaNeSySobstvrDohodov" refersTo="='ГИПЕР-Пульт'!$G$13"/>
    </definedNames>
    <sheetDataSet>
      <sheetData sheetId="0"/>
      <sheetData sheetId="1"/>
      <sheetData sheetId="2"/>
      <sheetData sheetId="3"/>
      <sheetData sheetId="4">
        <row r="3">
          <cell r="G3">
            <v>-0.5</v>
          </cell>
        </row>
        <row r="4">
          <cell r="D4">
            <v>2010</v>
          </cell>
        </row>
        <row r="5">
          <cell r="D5">
            <v>1</v>
          </cell>
          <cell r="G5">
            <v>1</v>
          </cell>
        </row>
        <row r="6">
          <cell r="G6">
            <v>4</v>
          </cell>
          <cell r="K6">
            <v>0.7</v>
          </cell>
          <cell r="O6">
            <v>0.25</v>
          </cell>
        </row>
        <row r="7">
          <cell r="G7">
            <v>1</v>
          </cell>
          <cell r="K7">
            <v>0.4</v>
          </cell>
        </row>
        <row r="8">
          <cell r="A8">
            <v>0</v>
          </cell>
        </row>
        <row r="9">
          <cell r="G9">
            <v>1</v>
          </cell>
          <cell r="M9">
            <v>0</v>
          </cell>
        </row>
        <row r="10">
          <cell r="A10">
            <v>0</v>
          </cell>
          <cell r="M10">
            <v>0.5</v>
          </cell>
        </row>
        <row r="11">
          <cell r="M11">
            <v>2</v>
          </cell>
        </row>
        <row r="12">
          <cell r="G12">
            <v>0</v>
          </cell>
        </row>
        <row r="13">
          <cell r="G13">
            <v>-1</v>
          </cell>
          <cell r="N13">
            <v>-1</v>
          </cell>
          <cell r="O13">
            <v>-0.4</v>
          </cell>
        </row>
        <row r="14">
          <cell r="G14">
            <v>2</v>
          </cell>
          <cell r="N14">
            <v>0.2</v>
          </cell>
          <cell r="O14">
            <v>0.6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1.5</v>
          </cell>
        </row>
        <row r="18">
          <cell r="G18">
            <v>2010</v>
          </cell>
          <cell r="H18">
            <v>2012</v>
          </cell>
        </row>
        <row r="19">
          <cell r="G19">
            <v>2010</v>
          </cell>
          <cell r="H19">
            <v>2019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Sur2"/>
      <sheetName val="SURm"/>
      <sheetName val="для поверх"/>
      <sheetName val="затр_M"/>
      <sheetName val="ЭБ"/>
      <sheetName val="затр_2"/>
      <sheetName val="Res"/>
      <sheetName val="выход"/>
      <sheetName val="Эксперим гр. 3-1"/>
      <sheetName val="Эксперим гр. 3-2"/>
      <sheetName val="Эксперим. 3-3"/>
      <sheetName val="Эксперим. 3-4"/>
      <sheetName val="Эксперим. 3-5"/>
      <sheetName val="Эксперим. 3-6"/>
      <sheetName val="Эксперимент 1"/>
      <sheetName val="Эксперимент 2"/>
      <sheetName val="Эксперимент 3"/>
      <sheetName val="Эксперим гр. 2-5"/>
      <sheetName val="Эксперим гр 2-1"/>
      <sheetName val="Эксперим гр.2-2"/>
      <sheetName val="Эксперим гр.2-3"/>
      <sheetName val="Эксперим гр.2-4"/>
      <sheetName val="БД_Sht"/>
      <sheetName val="потоки"/>
      <sheetName val="эко_БД"/>
      <sheetName val="инфр_БД"/>
      <sheetName val="экорента"/>
      <sheetName val="ИП1-10"/>
      <sheetName val="ИП11-50НЕРАБОЧАЯ"/>
      <sheetName val="для_рис+"/>
      <sheetName val="obrabotka_10_TC_NBD"/>
    </sheetNames>
    <definedNames>
      <definedName name="RezShtak" refersTo="='Res'!$G$9:$Z$18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>
        <row r="9">
          <cell r="G9">
            <v>150</v>
          </cell>
          <cell r="H9">
            <v>150</v>
          </cell>
          <cell r="I9">
            <v>273.39999999999998</v>
          </cell>
          <cell r="J9">
            <v>715.60572999990291</v>
          </cell>
          <cell r="K9">
            <v>1635.9681417884999</v>
          </cell>
          <cell r="L9">
            <v>2668.3985278108644</v>
          </cell>
          <cell r="M9">
            <v>3323.7736414001101</v>
          </cell>
          <cell r="N9">
            <v>4056.263642580102</v>
          </cell>
          <cell r="O9">
            <v>13791.015845112064</v>
          </cell>
          <cell r="P9">
            <v>28532.715430591728</v>
          </cell>
          <cell r="Q9">
            <v>35863.532134907182</v>
          </cell>
          <cell r="R9">
            <v>28939.869401751446</v>
          </cell>
          <cell r="S9">
            <v>22594.765147792074</v>
          </cell>
          <cell r="T9">
            <v>18116.123013995595</v>
          </cell>
          <cell r="U9">
            <v>17540.47661777668</v>
          </cell>
          <cell r="V9">
            <v>20282.6424981419</v>
          </cell>
          <cell r="W9">
            <v>27262.316013012638</v>
          </cell>
          <cell r="X9">
            <v>35930.867034476876</v>
          </cell>
          <cell r="Y9">
            <v>44121.519319333267</v>
          </cell>
          <cell r="Z9">
            <v>50103.801129202395</v>
          </cell>
        </row>
        <row r="10">
          <cell r="G10">
            <v>2135</v>
          </cell>
          <cell r="H10">
            <v>2225</v>
          </cell>
          <cell r="I10">
            <v>3042.8</v>
          </cell>
          <cell r="J10">
            <v>4633.5</v>
          </cell>
          <cell r="K10">
            <v>7239.9</v>
          </cell>
          <cell r="L10">
            <v>7693.9</v>
          </cell>
          <cell r="M10">
            <v>7693.9</v>
          </cell>
          <cell r="N10">
            <v>7920.1</v>
          </cell>
          <cell r="O10">
            <v>6615.1</v>
          </cell>
          <cell r="P10">
            <v>6615.1</v>
          </cell>
          <cell r="Q10">
            <v>7137.1</v>
          </cell>
          <cell r="R10">
            <v>7137.1</v>
          </cell>
          <cell r="S10">
            <v>7137.1</v>
          </cell>
          <cell r="T10">
            <v>7137.1</v>
          </cell>
          <cell r="U10">
            <v>7137.1</v>
          </cell>
          <cell r="V10">
            <v>6954.4000000000005</v>
          </cell>
          <cell r="W10">
            <v>6954.4000000000005</v>
          </cell>
          <cell r="X10">
            <v>6954.4000000000005</v>
          </cell>
          <cell r="Y10">
            <v>6954.4000000000005</v>
          </cell>
          <cell r="Z10">
            <v>6952</v>
          </cell>
        </row>
        <row r="11">
          <cell r="G11">
            <v>324</v>
          </cell>
          <cell r="H11">
            <v>324</v>
          </cell>
          <cell r="I11">
            <v>324</v>
          </cell>
          <cell r="J11">
            <v>324</v>
          </cell>
          <cell r="K11">
            <v>0</v>
          </cell>
          <cell r="L11">
            <v>163.36422053619447</v>
          </cell>
          <cell r="M11">
            <v>341.55900000393484</v>
          </cell>
          <cell r="N11">
            <v>435.55923635601846</v>
          </cell>
          <cell r="O11">
            <v>646.66099166397169</v>
          </cell>
          <cell r="P11">
            <v>859.67077028153108</v>
          </cell>
          <cell r="Q11">
            <v>957.15899998885732</v>
          </cell>
          <cell r="R11">
            <v>888.57640224324052</v>
          </cell>
          <cell r="S11">
            <v>700.65595505219653</v>
          </cell>
          <cell r="T11">
            <v>510.8281015523105</v>
          </cell>
          <cell r="U11">
            <v>438.75900002225541</v>
          </cell>
          <cell r="V11">
            <v>535.92398624335681</v>
          </cell>
          <cell r="W11">
            <v>754.66313653286522</v>
          </cell>
          <cell r="X11">
            <v>975.30905369403774</v>
          </cell>
          <cell r="Y11">
            <v>1075.9589999625236</v>
          </cell>
          <cell r="Z11">
            <v>1364.2115981840443</v>
          </cell>
        </row>
        <row r="12">
          <cell r="G12">
            <v>696</v>
          </cell>
          <cell r="H12">
            <v>696</v>
          </cell>
          <cell r="I12">
            <v>696</v>
          </cell>
          <cell r="J12">
            <v>696</v>
          </cell>
          <cell r="K12">
            <v>522</v>
          </cell>
          <cell r="L12">
            <v>522</v>
          </cell>
          <cell r="M12">
            <v>522</v>
          </cell>
          <cell r="N12">
            <v>522</v>
          </cell>
          <cell r="O12">
            <v>522</v>
          </cell>
          <cell r="P12">
            <v>522</v>
          </cell>
          <cell r="Q12">
            <v>522</v>
          </cell>
          <cell r="R12">
            <v>522</v>
          </cell>
          <cell r="S12">
            <v>522</v>
          </cell>
          <cell r="T12">
            <v>522</v>
          </cell>
          <cell r="U12">
            <v>522</v>
          </cell>
          <cell r="V12">
            <v>522</v>
          </cell>
          <cell r="W12">
            <v>522</v>
          </cell>
          <cell r="X12">
            <v>522</v>
          </cell>
          <cell r="Y12">
            <v>522</v>
          </cell>
          <cell r="Z12">
            <v>522</v>
          </cell>
        </row>
        <row r="13">
          <cell r="G13">
            <v>324</v>
          </cell>
          <cell r="H13">
            <v>324</v>
          </cell>
          <cell r="I13">
            <v>324</v>
          </cell>
          <cell r="J13">
            <v>324</v>
          </cell>
          <cell r="K13">
            <v>0</v>
          </cell>
          <cell r="L13">
            <v>163.36422053619447</v>
          </cell>
          <cell r="M13">
            <v>341.55900000393484</v>
          </cell>
          <cell r="N13">
            <v>435.55923635601846</v>
          </cell>
          <cell r="O13">
            <v>646.66099166397169</v>
          </cell>
          <cell r="P13">
            <v>859.67077028153108</v>
          </cell>
          <cell r="Q13">
            <v>957.15899998885732</v>
          </cell>
          <cell r="R13">
            <v>888.57640224324052</v>
          </cell>
          <cell r="S13">
            <v>700.65595505219653</v>
          </cell>
          <cell r="T13">
            <v>510.8281015523105</v>
          </cell>
          <cell r="U13">
            <v>438.75900002225541</v>
          </cell>
          <cell r="V13">
            <v>535.92398624335681</v>
          </cell>
          <cell r="W13">
            <v>754.66313653286522</v>
          </cell>
          <cell r="X13">
            <v>975.30905369403774</v>
          </cell>
          <cell r="Y13">
            <v>1075.9589999625236</v>
          </cell>
          <cell r="Z13">
            <v>1364.2115981840443</v>
          </cell>
        </row>
        <row r="14">
          <cell r="G14">
            <v>696</v>
          </cell>
          <cell r="H14">
            <v>696</v>
          </cell>
          <cell r="I14">
            <v>696</v>
          </cell>
          <cell r="J14">
            <v>696</v>
          </cell>
          <cell r="K14">
            <v>522</v>
          </cell>
          <cell r="L14">
            <v>522</v>
          </cell>
          <cell r="M14">
            <v>522</v>
          </cell>
          <cell r="N14">
            <v>522</v>
          </cell>
          <cell r="O14">
            <v>522</v>
          </cell>
          <cell r="P14">
            <v>522</v>
          </cell>
          <cell r="Q14">
            <v>522</v>
          </cell>
          <cell r="R14">
            <v>522</v>
          </cell>
          <cell r="S14">
            <v>522</v>
          </cell>
          <cell r="T14">
            <v>522</v>
          </cell>
          <cell r="U14">
            <v>522</v>
          </cell>
          <cell r="V14">
            <v>522</v>
          </cell>
          <cell r="W14">
            <v>522</v>
          </cell>
          <cell r="X14">
            <v>522</v>
          </cell>
          <cell r="Y14">
            <v>522</v>
          </cell>
          <cell r="Z14">
            <v>522</v>
          </cell>
        </row>
        <row r="15">
          <cell r="G15">
            <v>324</v>
          </cell>
          <cell r="H15">
            <v>324</v>
          </cell>
          <cell r="I15">
            <v>324</v>
          </cell>
          <cell r="J15">
            <v>324</v>
          </cell>
          <cell r="K15">
            <v>0</v>
          </cell>
          <cell r="L15">
            <v>163.36422053619447</v>
          </cell>
          <cell r="M15">
            <v>341.55900000393484</v>
          </cell>
          <cell r="N15">
            <v>435.55923635601846</v>
          </cell>
          <cell r="O15">
            <v>646.66099166397169</v>
          </cell>
          <cell r="P15">
            <v>859.67077028153108</v>
          </cell>
          <cell r="Q15">
            <v>957.15899998885732</v>
          </cell>
          <cell r="R15">
            <v>888.57640224324052</v>
          </cell>
          <cell r="S15">
            <v>700.65595505219653</v>
          </cell>
          <cell r="T15">
            <v>510.8281015523105</v>
          </cell>
          <cell r="U15">
            <v>438.75900002225541</v>
          </cell>
          <cell r="V15">
            <v>535.92398624335681</v>
          </cell>
          <cell r="W15">
            <v>754.66313653286522</v>
          </cell>
          <cell r="X15">
            <v>975.30905369403774</v>
          </cell>
          <cell r="Y15">
            <v>1075.9589999625236</v>
          </cell>
          <cell r="Z15">
            <v>1364.2115981840443</v>
          </cell>
        </row>
        <row r="16">
          <cell r="G16">
            <v>696</v>
          </cell>
          <cell r="H16">
            <v>696</v>
          </cell>
          <cell r="I16">
            <v>696</v>
          </cell>
          <cell r="J16">
            <v>696</v>
          </cell>
          <cell r="K16">
            <v>522</v>
          </cell>
          <cell r="L16">
            <v>522</v>
          </cell>
          <cell r="M16">
            <v>522</v>
          </cell>
          <cell r="N16">
            <v>522</v>
          </cell>
          <cell r="O16">
            <v>522</v>
          </cell>
          <cell r="P16">
            <v>522</v>
          </cell>
          <cell r="Q16">
            <v>522</v>
          </cell>
          <cell r="R16">
            <v>522</v>
          </cell>
          <cell r="S16">
            <v>522</v>
          </cell>
          <cell r="T16">
            <v>522</v>
          </cell>
          <cell r="U16">
            <v>522</v>
          </cell>
          <cell r="V16">
            <v>522</v>
          </cell>
          <cell r="W16">
            <v>522</v>
          </cell>
          <cell r="X16">
            <v>522</v>
          </cell>
          <cell r="Y16">
            <v>522</v>
          </cell>
          <cell r="Z16">
            <v>522</v>
          </cell>
        </row>
        <row r="17">
          <cell r="G17">
            <v>324</v>
          </cell>
          <cell r="H17">
            <v>324</v>
          </cell>
          <cell r="I17">
            <v>324</v>
          </cell>
          <cell r="J17">
            <v>324</v>
          </cell>
          <cell r="K17">
            <v>0</v>
          </cell>
          <cell r="L17">
            <v>163.36422053619447</v>
          </cell>
          <cell r="M17">
            <v>341.55900000393484</v>
          </cell>
          <cell r="N17">
            <v>435.55923635601846</v>
          </cell>
          <cell r="O17">
            <v>646.66099166397169</v>
          </cell>
          <cell r="P17">
            <v>859.67077028153108</v>
          </cell>
          <cell r="Q17">
            <v>957.15899998885732</v>
          </cell>
          <cell r="R17">
            <v>888.57640224324052</v>
          </cell>
          <cell r="S17">
            <v>700.65595505219653</v>
          </cell>
          <cell r="T17">
            <v>510.8281015523105</v>
          </cell>
          <cell r="U17">
            <v>438.75900002225541</v>
          </cell>
          <cell r="V17">
            <v>535.92398624335681</v>
          </cell>
          <cell r="W17">
            <v>754.66313653286522</v>
          </cell>
          <cell r="X17">
            <v>975.30905369403774</v>
          </cell>
          <cell r="Y17">
            <v>1075.9589999625236</v>
          </cell>
          <cell r="Z17">
            <v>1364.2115981840443</v>
          </cell>
        </row>
        <row r="18">
          <cell r="G18">
            <v>696</v>
          </cell>
          <cell r="H18">
            <v>696</v>
          </cell>
          <cell r="I18">
            <v>696</v>
          </cell>
          <cell r="J18">
            <v>696</v>
          </cell>
          <cell r="K18">
            <v>522</v>
          </cell>
          <cell r="L18">
            <v>522</v>
          </cell>
          <cell r="M18">
            <v>522</v>
          </cell>
          <cell r="N18">
            <v>522</v>
          </cell>
          <cell r="O18">
            <v>522</v>
          </cell>
          <cell r="P18">
            <v>522</v>
          </cell>
          <cell r="Q18">
            <v>522</v>
          </cell>
          <cell r="R18">
            <v>522</v>
          </cell>
          <cell r="S18">
            <v>522</v>
          </cell>
          <cell r="T18">
            <v>522</v>
          </cell>
          <cell r="U18">
            <v>522</v>
          </cell>
          <cell r="V18">
            <v>522</v>
          </cell>
          <cell r="W18">
            <v>522</v>
          </cell>
          <cell r="X18">
            <v>522</v>
          </cell>
          <cell r="Y18">
            <v>522</v>
          </cell>
          <cell r="Z18">
            <v>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7:D29"/>
  <sheetViews>
    <sheetView workbookViewId="0">
      <selection activeCell="D29" sqref="D29"/>
    </sheetView>
  </sheetViews>
  <sheetFormatPr defaultRowHeight="12.75" x14ac:dyDescent="0.2"/>
  <sheetData>
    <row r="27" spans="4:4" ht="15" x14ac:dyDescent="0.25">
      <c r="D27" s="607">
        <v>12323.2</v>
      </c>
    </row>
    <row r="29" spans="4:4" ht="15" x14ac:dyDescent="0.25">
      <c r="D29" s="607">
        <v>20366.900000000001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4"/>
  <dimension ref="A1:AF243"/>
  <sheetViews>
    <sheetView topLeftCell="A27" zoomScale="90" zoomScaleNormal="90" workbookViewId="0">
      <selection activeCell="G39" sqref="G39:AF41"/>
    </sheetView>
  </sheetViews>
  <sheetFormatPr defaultRowHeight="12.75" x14ac:dyDescent="0.2"/>
  <cols>
    <col min="1" max="1" width="25.7109375" customWidth="1"/>
    <col min="2" max="2" width="28" customWidth="1"/>
    <col min="3" max="3" width="18.140625" customWidth="1"/>
    <col min="4" max="4" width="20" customWidth="1"/>
    <col min="5" max="5" width="19" customWidth="1"/>
    <col min="6" max="6" width="28.85546875" customWidth="1"/>
    <col min="7" max="7" width="19.5703125" customWidth="1"/>
    <col min="8" max="8" width="19" customWidth="1"/>
    <col min="9" max="9" width="19.140625" customWidth="1"/>
    <col min="10" max="10" width="16.7109375" bestFit="1" customWidth="1"/>
    <col min="11" max="11" width="23.7109375" customWidth="1"/>
    <col min="12" max="12" width="22.42578125" style="112" customWidth="1"/>
    <col min="13" max="13" width="23.5703125" style="112" customWidth="1"/>
    <col min="14" max="15" width="17.7109375" style="112" bestFit="1" customWidth="1"/>
    <col min="16" max="20" width="17.7109375" bestFit="1" customWidth="1"/>
    <col min="21" max="21" width="25.7109375" customWidth="1"/>
    <col min="22" max="22" width="21.28515625" customWidth="1"/>
    <col min="23" max="23" width="24.140625" customWidth="1"/>
    <col min="24" max="24" width="21.85546875" customWidth="1"/>
    <col min="25" max="25" width="23.7109375" customWidth="1"/>
    <col min="26" max="26" width="22.7109375" customWidth="1"/>
    <col min="27" max="27" width="22.42578125" customWidth="1"/>
    <col min="28" max="28" width="25.28515625" customWidth="1"/>
    <col min="29" max="29" width="22.28515625" customWidth="1"/>
    <col min="30" max="30" width="12.42578125" customWidth="1"/>
    <col min="31" max="31" width="13.5703125" customWidth="1"/>
    <col min="32" max="32" width="15.7109375" customWidth="1"/>
  </cols>
  <sheetData>
    <row r="1" spans="1:32" ht="18" x14ac:dyDescent="0.25">
      <c r="A1" s="175" t="s">
        <v>115</v>
      </c>
    </row>
    <row r="2" spans="1:32" x14ac:dyDescent="0.2">
      <c r="G2">
        <v>2006</v>
      </c>
      <c r="H2">
        <v>2007</v>
      </c>
      <c r="I2">
        <v>2008</v>
      </c>
      <c r="J2">
        <v>2009</v>
      </c>
      <c r="K2">
        <v>2010</v>
      </c>
      <c r="L2" s="112">
        <v>2011</v>
      </c>
      <c r="M2" s="112">
        <v>2012</v>
      </c>
      <c r="N2" s="112">
        <v>2013</v>
      </c>
      <c r="O2" s="11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</row>
    <row r="4" spans="1:32" ht="15" x14ac:dyDescent="0.25">
      <c r="C4" s="258" t="s">
        <v>73</v>
      </c>
      <c r="F4" t="s">
        <v>74</v>
      </c>
      <c r="G4" s="240">
        <v>11.7</v>
      </c>
      <c r="H4" s="240">
        <v>10.3</v>
      </c>
      <c r="I4" s="240">
        <v>10.9</v>
      </c>
      <c r="J4" s="240">
        <v>11.6</v>
      </c>
      <c r="K4" s="240">
        <v>8</v>
      </c>
      <c r="L4" s="479">
        <v>8.1</v>
      </c>
      <c r="M4" s="479">
        <v>7.6</v>
      </c>
      <c r="N4" s="479">
        <v>6.83</v>
      </c>
      <c r="O4" s="479">
        <v>6.86</v>
      </c>
      <c r="P4" s="240">
        <v>6.51</v>
      </c>
      <c r="Q4" s="240">
        <v>5.09</v>
      </c>
      <c r="R4" s="240">
        <v>4.78</v>
      </c>
      <c r="S4" s="240">
        <v>4.57</v>
      </c>
      <c r="T4" s="240">
        <v>4.47</v>
      </c>
      <c r="U4" s="240">
        <v>4.37</v>
      </c>
      <c r="V4" s="240">
        <v>4.33</v>
      </c>
      <c r="W4" s="240">
        <v>4.1900000000000004</v>
      </c>
      <c r="X4" s="240">
        <v>4.09</v>
      </c>
      <c r="Y4" s="240">
        <v>4.05</v>
      </c>
      <c r="Z4" s="240">
        <v>3.92</v>
      </c>
      <c r="AA4" s="240">
        <v>3.92</v>
      </c>
      <c r="AB4" s="240">
        <v>4</v>
      </c>
      <c r="AC4" s="240">
        <v>4.0199999999999996</v>
      </c>
      <c r="AD4" s="240">
        <v>4.09</v>
      </c>
      <c r="AE4" s="240">
        <v>4.05</v>
      </c>
      <c r="AF4" s="240">
        <v>4.01</v>
      </c>
    </row>
    <row r="5" spans="1:32" s="112" customFormat="1" x14ac:dyDescent="0.2">
      <c r="E5" s="112" t="s">
        <v>75</v>
      </c>
      <c r="F5" s="112" t="s">
        <v>76</v>
      </c>
      <c r="G5" s="479">
        <v>7.3</v>
      </c>
      <c r="H5" s="479">
        <v>12.9</v>
      </c>
      <c r="I5" s="479">
        <v>19.2</v>
      </c>
      <c r="J5" s="479">
        <v>7.6</v>
      </c>
      <c r="K5" s="479">
        <v>15.2</v>
      </c>
      <c r="L5" s="479">
        <v>17.8</v>
      </c>
      <c r="M5" s="479">
        <v>12.37</v>
      </c>
      <c r="N5" s="479">
        <v>10.72</v>
      </c>
      <c r="O5" s="479">
        <v>12</v>
      </c>
      <c r="P5" s="479">
        <v>14</v>
      </c>
      <c r="Q5" s="479">
        <v>14</v>
      </c>
      <c r="R5" s="479">
        <v>15.5</v>
      </c>
      <c r="S5" s="479">
        <v>13</v>
      </c>
      <c r="T5" s="479">
        <v>11</v>
      </c>
      <c r="U5" s="479">
        <v>9</v>
      </c>
      <c r="V5" s="479">
        <v>8</v>
      </c>
      <c r="W5" s="479">
        <v>8</v>
      </c>
      <c r="X5" s="479">
        <v>6</v>
      </c>
      <c r="Y5" s="479">
        <v>6.79</v>
      </c>
      <c r="Z5" s="479">
        <v>8</v>
      </c>
      <c r="AA5" s="479">
        <v>9</v>
      </c>
      <c r="AB5" s="479">
        <v>6.42</v>
      </c>
      <c r="AC5" s="479">
        <v>6</v>
      </c>
      <c r="AD5" s="479">
        <v>5.94</v>
      </c>
      <c r="AE5" s="479">
        <v>6</v>
      </c>
      <c r="AF5" s="479">
        <v>6.06</v>
      </c>
    </row>
    <row r="6" spans="1:32" s="347" customFormat="1" x14ac:dyDescent="0.2">
      <c r="F6" s="347" t="s">
        <v>77</v>
      </c>
      <c r="G6" s="480">
        <v>9</v>
      </c>
      <c r="H6" s="480">
        <v>10.9</v>
      </c>
      <c r="I6" s="480">
        <v>12.6</v>
      </c>
      <c r="J6" s="480">
        <v>11.4</v>
      </c>
      <c r="K6" s="480">
        <v>9</v>
      </c>
      <c r="L6" s="480">
        <v>7.2</v>
      </c>
      <c r="M6" s="480">
        <v>8.92</v>
      </c>
      <c r="N6" s="480">
        <v>8.32</v>
      </c>
      <c r="O6" s="479">
        <v>11</v>
      </c>
      <c r="P6" s="480">
        <v>15</v>
      </c>
      <c r="Q6" s="480">
        <v>15</v>
      </c>
      <c r="R6" s="480">
        <v>16</v>
      </c>
      <c r="S6" s="480">
        <v>13</v>
      </c>
      <c r="T6" s="480">
        <v>9</v>
      </c>
      <c r="U6" s="480">
        <v>7</v>
      </c>
      <c r="V6" s="480">
        <v>6</v>
      </c>
      <c r="W6" s="480">
        <v>5</v>
      </c>
      <c r="X6" s="480">
        <v>7</v>
      </c>
      <c r="Y6" s="480">
        <v>8</v>
      </c>
      <c r="Z6" s="480">
        <v>7</v>
      </c>
      <c r="AA6" s="480">
        <v>5.92</v>
      </c>
      <c r="AB6" s="480">
        <v>5</v>
      </c>
      <c r="AC6" s="480">
        <v>5</v>
      </c>
      <c r="AD6" s="480">
        <v>5</v>
      </c>
      <c r="AE6" s="480">
        <v>5</v>
      </c>
      <c r="AF6" s="480">
        <v>5</v>
      </c>
    </row>
    <row r="7" spans="1:32" x14ac:dyDescent="0.2">
      <c r="F7" t="s">
        <v>74</v>
      </c>
      <c r="G7" s="240">
        <v>11.7</v>
      </c>
      <c r="H7" s="240">
        <v>10.3</v>
      </c>
      <c r="I7" s="240">
        <v>10.9</v>
      </c>
      <c r="J7" s="240">
        <v>11.6</v>
      </c>
      <c r="K7" s="240">
        <v>8</v>
      </c>
      <c r="L7" s="479">
        <v>8.1</v>
      </c>
      <c r="M7" s="479">
        <v>7.84</v>
      </c>
      <c r="N7" s="479">
        <v>7.38</v>
      </c>
      <c r="O7" s="479">
        <v>6.86</v>
      </c>
      <c r="P7" s="240">
        <v>6.51</v>
      </c>
      <c r="Q7" s="240">
        <v>6.24</v>
      </c>
      <c r="R7" s="240">
        <v>6.03</v>
      </c>
      <c r="S7" s="240">
        <v>5.82</v>
      </c>
      <c r="T7" s="240">
        <v>5.6</v>
      </c>
      <c r="U7" s="240">
        <v>5.48</v>
      </c>
      <c r="V7" s="240">
        <v>5.34</v>
      </c>
      <c r="W7" s="240">
        <v>5.23</v>
      </c>
      <c r="X7" s="240">
        <v>5.13</v>
      </c>
      <c r="Y7" s="240">
        <v>5.13</v>
      </c>
      <c r="Z7" s="240">
        <v>5.0599999999999996</v>
      </c>
      <c r="AA7" s="240">
        <v>4.96</v>
      </c>
      <c r="AB7" s="240">
        <v>4.92</v>
      </c>
      <c r="AC7" s="240">
        <v>4.99</v>
      </c>
      <c r="AD7" s="240">
        <v>4.96</v>
      </c>
      <c r="AE7" s="240">
        <v>4.92</v>
      </c>
      <c r="AF7" s="240">
        <v>4.88</v>
      </c>
    </row>
    <row r="8" spans="1:32" s="112" customFormat="1" x14ac:dyDescent="0.2">
      <c r="E8" s="112" t="s">
        <v>78</v>
      </c>
      <c r="F8" s="112" t="s">
        <v>76</v>
      </c>
      <c r="G8" s="479">
        <v>7.3</v>
      </c>
      <c r="H8" s="479">
        <v>12.9</v>
      </c>
      <c r="I8" s="479">
        <v>19.2</v>
      </c>
      <c r="J8" s="479">
        <v>7.6</v>
      </c>
      <c r="K8" s="479">
        <v>15.2</v>
      </c>
      <c r="L8" s="479">
        <v>17.8</v>
      </c>
      <c r="M8" s="479">
        <v>12.85</v>
      </c>
      <c r="N8" s="479">
        <v>10.72</v>
      </c>
      <c r="O8" s="479">
        <v>12</v>
      </c>
      <c r="P8" s="479">
        <v>14</v>
      </c>
      <c r="Q8" s="479">
        <v>17</v>
      </c>
      <c r="R8" s="479">
        <v>18</v>
      </c>
      <c r="S8" s="479">
        <v>15</v>
      </c>
      <c r="T8" s="479">
        <v>13</v>
      </c>
      <c r="U8" s="479">
        <v>11</v>
      </c>
      <c r="V8" s="479">
        <v>10</v>
      </c>
      <c r="W8" s="479">
        <v>10</v>
      </c>
      <c r="X8" s="479">
        <v>8</v>
      </c>
      <c r="Y8" s="479">
        <v>9</v>
      </c>
      <c r="Z8" s="479">
        <v>10</v>
      </c>
      <c r="AA8" s="479">
        <v>11</v>
      </c>
      <c r="AB8" s="479">
        <v>8</v>
      </c>
      <c r="AC8" s="479">
        <v>7</v>
      </c>
      <c r="AD8" s="479">
        <v>7</v>
      </c>
      <c r="AE8" s="479">
        <v>7</v>
      </c>
      <c r="AF8" s="479">
        <v>7</v>
      </c>
    </row>
    <row r="9" spans="1:32" s="347" customFormat="1" x14ac:dyDescent="0.2">
      <c r="F9" s="347" t="s">
        <v>77</v>
      </c>
      <c r="G9" s="480">
        <v>9</v>
      </c>
      <c r="H9" s="480">
        <v>10.9</v>
      </c>
      <c r="I9" s="480">
        <v>12.6</v>
      </c>
      <c r="J9" s="480">
        <v>11.4</v>
      </c>
      <c r="K9" s="480">
        <v>9</v>
      </c>
      <c r="L9" s="480">
        <v>7.2</v>
      </c>
      <c r="M9" s="480">
        <v>8.92</v>
      </c>
      <c r="N9" s="480">
        <v>8.32</v>
      </c>
      <c r="O9" s="479">
        <v>11</v>
      </c>
      <c r="P9" s="480">
        <v>15</v>
      </c>
      <c r="Q9" s="480">
        <v>16.5</v>
      </c>
      <c r="R9" s="480">
        <v>17</v>
      </c>
      <c r="S9" s="480">
        <v>14</v>
      </c>
      <c r="T9" s="480">
        <v>11</v>
      </c>
      <c r="U9" s="480">
        <v>9</v>
      </c>
      <c r="V9" s="480">
        <v>7</v>
      </c>
      <c r="W9" s="480">
        <v>6</v>
      </c>
      <c r="X9" s="480">
        <v>9</v>
      </c>
      <c r="Y9" s="480">
        <v>10</v>
      </c>
      <c r="Z9" s="480">
        <v>9</v>
      </c>
      <c r="AA9" s="480">
        <v>8.32</v>
      </c>
      <c r="AB9" s="480">
        <v>7</v>
      </c>
      <c r="AC9" s="480">
        <v>6</v>
      </c>
      <c r="AD9" s="480">
        <v>6</v>
      </c>
      <c r="AE9" s="480">
        <v>6</v>
      </c>
      <c r="AF9" s="480">
        <v>6</v>
      </c>
    </row>
    <row r="10" spans="1:32" x14ac:dyDescent="0.2">
      <c r="F10" t="s">
        <v>74</v>
      </c>
      <c r="G10" s="240">
        <v>11.7</v>
      </c>
      <c r="H10" s="240">
        <v>10.3</v>
      </c>
      <c r="I10" s="240">
        <v>10.9</v>
      </c>
      <c r="J10" s="240">
        <v>11.6</v>
      </c>
      <c r="K10" s="240">
        <v>8</v>
      </c>
      <c r="L10" s="479">
        <v>8.1</v>
      </c>
      <c r="M10" s="479">
        <v>8.18</v>
      </c>
      <c r="N10" s="479">
        <v>8.77</v>
      </c>
      <c r="O10" s="479">
        <v>6.86</v>
      </c>
      <c r="P10" s="240">
        <v>6.51</v>
      </c>
      <c r="Q10" s="240">
        <v>8.11</v>
      </c>
      <c r="R10" s="240">
        <v>7.17</v>
      </c>
      <c r="S10" s="240">
        <v>6.8</v>
      </c>
      <c r="T10" s="240">
        <v>6.62</v>
      </c>
      <c r="U10" s="240">
        <v>6.38</v>
      </c>
      <c r="V10" s="240">
        <v>6.27</v>
      </c>
      <c r="W10" s="240">
        <v>6.24</v>
      </c>
      <c r="X10" s="240">
        <v>6.17</v>
      </c>
      <c r="Y10" s="240">
        <v>6.17</v>
      </c>
      <c r="Z10" s="240">
        <v>6.17</v>
      </c>
      <c r="AA10" s="240">
        <v>6.13</v>
      </c>
      <c r="AB10" s="240">
        <v>6.06</v>
      </c>
      <c r="AC10" s="240">
        <v>6.03</v>
      </c>
      <c r="AD10" s="240">
        <v>6.03</v>
      </c>
      <c r="AE10" s="240">
        <v>6.03</v>
      </c>
      <c r="AF10" s="240">
        <v>6.03</v>
      </c>
    </row>
    <row r="11" spans="1:32" s="112" customFormat="1" x14ac:dyDescent="0.2">
      <c r="E11" s="112" t="s">
        <v>79</v>
      </c>
      <c r="F11" s="112" t="s">
        <v>76</v>
      </c>
      <c r="G11" s="479">
        <v>7.3</v>
      </c>
      <c r="H11" s="479">
        <v>12.9</v>
      </c>
      <c r="I11" s="479">
        <v>19.2</v>
      </c>
      <c r="J11" s="479">
        <v>7.6</v>
      </c>
      <c r="K11" s="479">
        <v>15.2</v>
      </c>
      <c r="L11" s="479">
        <v>17.8</v>
      </c>
      <c r="M11" s="479">
        <v>13.48</v>
      </c>
      <c r="N11" s="479">
        <v>10.72</v>
      </c>
      <c r="O11" s="479">
        <v>12</v>
      </c>
      <c r="P11" s="479">
        <v>14</v>
      </c>
      <c r="Q11" s="479">
        <v>19</v>
      </c>
      <c r="R11" s="479">
        <v>21</v>
      </c>
      <c r="S11" s="479">
        <v>18</v>
      </c>
      <c r="T11" s="479">
        <v>16</v>
      </c>
      <c r="U11" s="479">
        <v>13</v>
      </c>
      <c r="V11" s="479">
        <v>12</v>
      </c>
      <c r="W11" s="479">
        <v>11.89</v>
      </c>
      <c r="X11" s="479">
        <v>10</v>
      </c>
      <c r="Y11" s="479">
        <v>11.57</v>
      </c>
      <c r="Z11" s="479">
        <v>13</v>
      </c>
      <c r="AA11" s="479">
        <v>14</v>
      </c>
      <c r="AB11" s="479">
        <v>11.46</v>
      </c>
      <c r="AC11" s="479">
        <v>9</v>
      </c>
      <c r="AD11" s="479">
        <v>9</v>
      </c>
      <c r="AE11" s="479">
        <v>9</v>
      </c>
      <c r="AF11" s="479">
        <v>9</v>
      </c>
    </row>
    <row r="12" spans="1:32" s="347" customFormat="1" x14ac:dyDescent="0.2">
      <c r="F12" s="347" t="s">
        <v>77</v>
      </c>
      <c r="G12" s="480">
        <v>9</v>
      </c>
      <c r="H12" s="480">
        <v>10.9</v>
      </c>
      <c r="I12" s="480">
        <v>12.6</v>
      </c>
      <c r="J12" s="480">
        <v>11.4</v>
      </c>
      <c r="K12" s="480">
        <v>9</v>
      </c>
      <c r="L12" s="480">
        <v>7.2</v>
      </c>
      <c r="M12" s="480">
        <v>8.92</v>
      </c>
      <c r="N12" s="480">
        <v>8.32</v>
      </c>
      <c r="O12" s="479">
        <v>11</v>
      </c>
      <c r="P12" s="480">
        <v>15</v>
      </c>
      <c r="Q12" s="480">
        <v>18</v>
      </c>
      <c r="R12" s="480">
        <v>18</v>
      </c>
      <c r="S12" s="480">
        <v>16</v>
      </c>
      <c r="T12" s="480">
        <v>14</v>
      </c>
      <c r="U12" s="480">
        <v>12</v>
      </c>
      <c r="V12" s="480">
        <v>10</v>
      </c>
      <c r="W12" s="480">
        <v>8</v>
      </c>
      <c r="X12" s="480">
        <v>11</v>
      </c>
      <c r="Y12" s="480">
        <v>12.5</v>
      </c>
      <c r="Z12" s="480">
        <v>11</v>
      </c>
      <c r="AA12" s="480">
        <v>9.52</v>
      </c>
      <c r="AB12" s="480">
        <v>8</v>
      </c>
      <c r="AC12" s="480">
        <v>8</v>
      </c>
      <c r="AD12" s="480">
        <v>8</v>
      </c>
      <c r="AE12" s="480">
        <v>8</v>
      </c>
      <c r="AF12" s="480">
        <v>8</v>
      </c>
    </row>
    <row r="14" spans="1:32" ht="15" x14ac:dyDescent="0.25">
      <c r="C14" s="258" t="s">
        <v>152</v>
      </c>
    </row>
    <row r="15" spans="1:32" ht="13.5" thickBot="1" x14ac:dyDescent="0.25">
      <c r="C15" t="s">
        <v>98</v>
      </c>
      <c r="G15">
        <v>2006</v>
      </c>
      <c r="H15">
        <v>2007</v>
      </c>
      <c r="I15">
        <v>2008</v>
      </c>
      <c r="J15">
        <v>2009</v>
      </c>
      <c r="K15">
        <v>2010</v>
      </c>
      <c r="L15" s="112">
        <v>2011</v>
      </c>
      <c r="M15" s="112">
        <v>2012</v>
      </c>
      <c r="N15" s="112">
        <v>2013</v>
      </c>
      <c r="O15" s="112">
        <v>2014</v>
      </c>
      <c r="P15">
        <v>2015</v>
      </c>
      <c r="Q15">
        <v>2016</v>
      </c>
      <c r="R15">
        <v>2017</v>
      </c>
      <c r="S15">
        <v>2018</v>
      </c>
      <c r="T15">
        <v>2019</v>
      </c>
      <c r="U15">
        <v>2020</v>
      </c>
      <c r="V15">
        <v>2021</v>
      </c>
      <c r="W15">
        <v>2022</v>
      </c>
      <c r="X15">
        <v>2023</v>
      </c>
      <c r="Y15">
        <v>2024</v>
      </c>
      <c r="Z15">
        <v>2025</v>
      </c>
      <c r="AA15">
        <v>2026</v>
      </c>
      <c r="AB15">
        <v>2027</v>
      </c>
      <c r="AC15">
        <v>2028</v>
      </c>
      <c r="AD15">
        <v>2029</v>
      </c>
      <c r="AE15">
        <v>2030</v>
      </c>
      <c r="AF15">
        <v>2031</v>
      </c>
    </row>
    <row r="16" spans="1:32" x14ac:dyDescent="0.2">
      <c r="E16" t="s">
        <v>216</v>
      </c>
      <c r="G16" s="259">
        <f>Сценарии!G5</f>
        <v>7.3</v>
      </c>
      <c r="H16" s="260">
        <f>Сценарии!H5</f>
        <v>12.9</v>
      </c>
      <c r="I16" s="260">
        <f>Сценарии!I5</f>
        <v>19.2</v>
      </c>
      <c r="J16" s="260">
        <f>Сценарии!J5</f>
        <v>7.6</v>
      </c>
      <c r="K16" s="260">
        <f>Сценарии!K5</f>
        <v>15.2</v>
      </c>
      <c r="L16" s="354">
        <f>Сценарии!L5</f>
        <v>17.8</v>
      </c>
      <c r="M16" s="354">
        <f>Сценарии!M5</f>
        <v>12.37</v>
      </c>
      <c r="N16" s="354">
        <f>Сценарии!N5</f>
        <v>10.72</v>
      </c>
      <c r="O16" s="354">
        <f>Сценарии!O5</f>
        <v>12</v>
      </c>
      <c r="P16" s="260">
        <f>Сценарии!P5</f>
        <v>14</v>
      </c>
      <c r="Q16" s="260">
        <f>Сценарии!Q5</f>
        <v>14</v>
      </c>
      <c r="R16" s="260">
        <f>Сценарии!R5</f>
        <v>15.5</v>
      </c>
      <c r="S16" s="260">
        <f>Сценарии!S5</f>
        <v>13</v>
      </c>
      <c r="T16" s="260">
        <f>Сценарии!T5</f>
        <v>11</v>
      </c>
      <c r="U16" s="260">
        <f>Сценарии!U5</f>
        <v>9</v>
      </c>
      <c r="V16" s="260">
        <f>Сценарии!V5</f>
        <v>8</v>
      </c>
      <c r="W16" s="260">
        <f>Сценарии!W5</f>
        <v>8</v>
      </c>
      <c r="X16" s="260">
        <f>Сценарии!X5</f>
        <v>6</v>
      </c>
      <c r="Y16" s="260">
        <f>Сценарии!Y5</f>
        <v>6.79</v>
      </c>
      <c r="Z16" s="260">
        <f>Сценарии!Z5</f>
        <v>8</v>
      </c>
      <c r="AA16" s="260">
        <f>Сценарии!AA5</f>
        <v>9</v>
      </c>
      <c r="AB16" s="260">
        <f>Сценарии!AB5</f>
        <v>6.42</v>
      </c>
      <c r="AC16" s="260">
        <f>Сценарии!AC5</f>
        <v>6</v>
      </c>
      <c r="AD16" s="260">
        <f>Сценарии!AD5</f>
        <v>5.94</v>
      </c>
      <c r="AE16" s="261">
        <f>Сценарии!AE5</f>
        <v>6</v>
      </c>
      <c r="AF16" s="261">
        <f>Сценарии!AF5</f>
        <v>6.06</v>
      </c>
    </row>
    <row r="17" spans="1:32" x14ac:dyDescent="0.2">
      <c r="E17" t="s">
        <v>217</v>
      </c>
      <c r="G17" s="262">
        <f>Сценарии!G8</f>
        <v>7.3</v>
      </c>
      <c r="H17" s="263">
        <f>Сценарии!H8</f>
        <v>12.9</v>
      </c>
      <c r="I17" s="263">
        <f>Сценарии!I8</f>
        <v>19.2</v>
      </c>
      <c r="J17" s="263">
        <f>Сценарии!J8</f>
        <v>7.6</v>
      </c>
      <c r="K17" s="263">
        <f>Сценарии!K8</f>
        <v>15.2</v>
      </c>
      <c r="L17" s="355">
        <f>Сценарии!L8</f>
        <v>17.8</v>
      </c>
      <c r="M17" s="355">
        <v>12.37</v>
      </c>
      <c r="N17" s="355">
        <f>Сценарии!N8</f>
        <v>10.72</v>
      </c>
      <c r="O17" s="355">
        <f>Сценарии!O8</f>
        <v>12</v>
      </c>
      <c r="P17" s="263">
        <f>Сценарии!P8</f>
        <v>14</v>
      </c>
      <c r="Q17" s="263">
        <f>Сценарии!Q8</f>
        <v>17</v>
      </c>
      <c r="R17" s="263">
        <f>Сценарии!R8</f>
        <v>18</v>
      </c>
      <c r="S17" s="263">
        <f>Сценарии!S8</f>
        <v>15</v>
      </c>
      <c r="T17" s="263">
        <f>Сценарии!T8</f>
        <v>13</v>
      </c>
      <c r="U17" s="263">
        <f>Сценарии!U8</f>
        <v>11</v>
      </c>
      <c r="V17" s="263">
        <f>Сценарии!V8</f>
        <v>10</v>
      </c>
      <c r="W17" s="263">
        <f>Сценарии!W8</f>
        <v>10</v>
      </c>
      <c r="X17" s="263">
        <f>Сценарии!X8</f>
        <v>8</v>
      </c>
      <c r="Y17" s="263">
        <f>Сценарии!Y8</f>
        <v>9</v>
      </c>
      <c r="Z17" s="263">
        <f>Сценарии!Z8</f>
        <v>10</v>
      </c>
      <c r="AA17" s="263">
        <f>Сценарии!AA8</f>
        <v>11</v>
      </c>
      <c r="AB17" s="263">
        <f>Сценарии!AB8</f>
        <v>8</v>
      </c>
      <c r="AC17" s="263">
        <f>Сценарии!AC8</f>
        <v>7</v>
      </c>
      <c r="AD17" s="263">
        <f>Сценарии!AD8</f>
        <v>7</v>
      </c>
      <c r="AE17" s="264">
        <f>Сценарии!AE8</f>
        <v>7</v>
      </c>
      <c r="AF17" s="264">
        <f>Сценарии!AF8</f>
        <v>7</v>
      </c>
    </row>
    <row r="18" spans="1:32" ht="13.5" thickBot="1" x14ac:dyDescent="0.25">
      <c r="E18" t="s">
        <v>218</v>
      </c>
      <c r="G18" s="265">
        <f>Сценарии!G11</f>
        <v>7.3</v>
      </c>
      <c r="H18" s="266">
        <f>Сценарии!H11</f>
        <v>12.9</v>
      </c>
      <c r="I18" s="266">
        <f>Сценарии!I11</f>
        <v>19.2</v>
      </c>
      <c r="J18" s="266">
        <f>Сценарии!J11</f>
        <v>7.6</v>
      </c>
      <c r="K18" s="266">
        <f>Сценарии!K11</f>
        <v>15.2</v>
      </c>
      <c r="L18" s="356">
        <f>Сценарии!L11</f>
        <v>17.8</v>
      </c>
      <c r="M18" s="356">
        <v>12.37</v>
      </c>
      <c r="N18" s="356">
        <f>Сценарии!N11</f>
        <v>10.72</v>
      </c>
      <c r="O18" s="356">
        <f>Сценарии!O11</f>
        <v>12</v>
      </c>
      <c r="P18" s="266">
        <f>Сценарии!P11</f>
        <v>14</v>
      </c>
      <c r="Q18" s="266">
        <f>Сценарии!Q11</f>
        <v>19</v>
      </c>
      <c r="R18" s="266">
        <f>Сценарии!R11</f>
        <v>21</v>
      </c>
      <c r="S18" s="266">
        <f>Сценарии!S11</f>
        <v>18</v>
      </c>
      <c r="T18" s="266">
        <f>Сценарии!T11</f>
        <v>16</v>
      </c>
      <c r="U18" s="266">
        <f>Сценарии!U11</f>
        <v>13</v>
      </c>
      <c r="V18" s="266">
        <f>Сценарии!V11</f>
        <v>12</v>
      </c>
      <c r="W18" s="266">
        <f>Сценарии!W11</f>
        <v>11.89</v>
      </c>
      <c r="X18" s="266">
        <f>Сценарии!X11</f>
        <v>10</v>
      </c>
      <c r="Y18" s="266">
        <f>Сценарии!Y11</f>
        <v>11.57</v>
      </c>
      <c r="Z18" s="266">
        <f>Сценарии!Z11</f>
        <v>13</v>
      </c>
      <c r="AA18" s="266">
        <f>Сценарии!AA11</f>
        <v>14</v>
      </c>
      <c r="AB18" s="266">
        <f>Сценарии!AB11</f>
        <v>11.46</v>
      </c>
      <c r="AC18" s="266">
        <f>Сценарии!AC11</f>
        <v>9</v>
      </c>
      <c r="AD18" s="266">
        <f>Сценарии!AD11</f>
        <v>9</v>
      </c>
      <c r="AE18" s="267">
        <f>Сценарии!AE11</f>
        <v>9</v>
      </c>
      <c r="AF18" s="267">
        <f>Сценарии!AF11</f>
        <v>9</v>
      </c>
    </row>
    <row r="21" spans="1:32" ht="15" x14ac:dyDescent="0.25">
      <c r="C21" s="258" t="s">
        <v>153</v>
      </c>
    </row>
    <row r="22" spans="1:32" ht="13.5" thickBot="1" x14ac:dyDescent="0.25">
      <c r="C22" t="s">
        <v>99</v>
      </c>
      <c r="G22">
        <v>2006</v>
      </c>
      <c r="H22">
        <v>2007</v>
      </c>
      <c r="I22">
        <v>2008</v>
      </c>
      <c r="J22">
        <v>2009</v>
      </c>
      <c r="K22">
        <v>2010</v>
      </c>
      <c r="L22" s="112">
        <v>2011</v>
      </c>
      <c r="M22" s="112">
        <v>2012</v>
      </c>
      <c r="N22" s="112">
        <v>2013</v>
      </c>
      <c r="O22" s="11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</row>
    <row r="23" spans="1:32" x14ac:dyDescent="0.2">
      <c r="E23" t="s">
        <v>216</v>
      </c>
      <c r="G23" s="259">
        <f>Сценарии!G6</f>
        <v>9</v>
      </c>
      <c r="H23" s="259">
        <f>Сценарии!H6</f>
        <v>10.9</v>
      </c>
      <c r="I23" s="259">
        <f>Сценарии!I6</f>
        <v>12.6</v>
      </c>
      <c r="J23" s="259">
        <f>Сценарии!J6</f>
        <v>11.4</v>
      </c>
      <c r="K23" s="259">
        <f>Сценарии!K6</f>
        <v>9</v>
      </c>
      <c r="L23" s="357">
        <f>Сценарии!L6</f>
        <v>7.2</v>
      </c>
      <c r="M23" s="357">
        <f>Сценарии!M6</f>
        <v>8.92</v>
      </c>
      <c r="N23" s="357">
        <f>Сценарии!N6</f>
        <v>8.32</v>
      </c>
      <c r="O23" s="357">
        <f>Сценарии!O6</f>
        <v>11</v>
      </c>
      <c r="P23" s="259">
        <f>Сценарии!P6</f>
        <v>15</v>
      </c>
      <c r="Q23" s="259">
        <f>Сценарии!Q6</f>
        <v>15</v>
      </c>
      <c r="R23" s="259">
        <f>Сценарии!R6</f>
        <v>16</v>
      </c>
      <c r="S23" s="259">
        <f>Сценарии!S6</f>
        <v>13</v>
      </c>
      <c r="T23" s="259">
        <f>Сценарии!T6</f>
        <v>9</v>
      </c>
      <c r="U23" s="259">
        <f>Сценарии!U6</f>
        <v>7</v>
      </c>
      <c r="V23" s="259">
        <f>Сценарии!V6</f>
        <v>6</v>
      </c>
      <c r="W23" s="259">
        <f>Сценарии!W6</f>
        <v>5</v>
      </c>
      <c r="X23" s="259">
        <f>Сценарии!X6</f>
        <v>7</v>
      </c>
      <c r="Y23" s="259">
        <f>Сценарии!Y6</f>
        <v>8</v>
      </c>
      <c r="Z23" s="259">
        <f>Сценарии!Z6</f>
        <v>7</v>
      </c>
      <c r="AA23" s="259">
        <f>Сценарии!AA6</f>
        <v>5.92</v>
      </c>
      <c r="AB23" s="259">
        <f>Сценарии!AB6</f>
        <v>5</v>
      </c>
      <c r="AC23" s="259">
        <f>Сценарии!AC6</f>
        <v>5</v>
      </c>
      <c r="AD23" s="259">
        <f>Сценарии!AD6</f>
        <v>5</v>
      </c>
      <c r="AE23" s="259">
        <f>Сценарии!AE6</f>
        <v>5</v>
      </c>
      <c r="AF23" s="259">
        <f>Сценарии!AF6</f>
        <v>5</v>
      </c>
    </row>
    <row r="24" spans="1:32" x14ac:dyDescent="0.2">
      <c r="E24" t="s">
        <v>217</v>
      </c>
      <c r="G24" s="262">
        <f>Сценарии!G9</f>
        <v>9</v>
      </c>
      <c r="H24" s="262">
        <f>Сценарии!H9</f>
        <v>10.9</v>
      </c>
      <c r="I24" s="262">
        <f>Сценарии!I9</f>
        <v>12.6</v>
      </c>
      <c r="J24" s="262">
        <f>Сценарии!J9</f>
        <v>11.4</v>
      </c>
      <c r="K24" s="262">
        <f>Сценарии!K9</f>
        <v>9</v>
      </c>
      <c r="L24" s="358">
        <f>Сценарии!L9</f>
        <v>7.2</v>
      </c>
      <c r="M24" s="358">
        <f>Сценарии!M9</f>
        <v>8.92</v>
      </c>
      <c r="N24" s="358">
        <f>Сценарии!N9</f>
        <v>8.32</v>
      </c>
      <c r="O24" s="358">
        <f>Сценарии!O9</f>
        <v>11</v>
      </c>
      <c r="P24" s="262">
        <f>Сценарии!P9</f>
        <v>15</v>
      </c>
      <c r="Q24" s="262">
        <f>Сценарии!Q9</f>
        <v>16.5</v>
      </c>
      <c r="R24" s="262">
        <f>Сценарии!R9</f>
        <v>17</v>
      </c>
      <c r="S24" s="262">
        <f>Сценарии!S9</f>
        <v>14</v>
      </c>
      <c r="T24" s="262">
        <f>Сценарии!T9</f>
        <v>11</v>
      </c>
      <c r="U24" s="262">
        <f>Сценарии!U9</f>
        <v>9</v>
      </c>
      <c r="V24" s="262">
        <f>Сценарии!V9</f>
        <v>7</v>
      </c>
      <c r="W24" s="262">
        <f>Сценарии!W9</f>
        <v>6</v>
      </c>
      <c r="X24" s="262">
        <f>Сценарии!X9</f>
        <v>9</v>
      </c>
      <c r="Y24" s="262">
        <f>Сценарии!Y9</f>
        <v>10</v>
      </c>
      <c r="Z24" s="262">
        <f>Сценарии!Z9</f>
        <v>9</v>
      </c>
      <c r="AA24" s="262">
        <f>Сценарии!AA9</f>
        <v>8.32</v>
      </c>
      <c r="AB24" s="262">
        <f>Сценарии!AB9</f>
        <v>7</v>
      </c>
      <c r="AC24" s="262">
        <f>Сценарии!AC9</f>
        <v>6</v>
      </c>
      <c r="AD24" s="262">
        <f>Сценарии!AD9</f>
        <v>6</v>
      </c>
      <c r="AE24" s="262">
        <f>Сценарии!AE9</f>
        <v>6</v>
      </c>
      <c r="AF24" s="262">
        <f>Сценарии!AF9</f>
        <v>6</v>
      </c>
    </row>
    <row r="25" spans="1:32" ht="13.5" thickBot="1" x14ac:dyDescent="0.25">
      <c r="E25" t="s">
        <v>218</v>
      </c>
      <c r="G25" s="265">
        <f>Сценарии!G12</f>
        <v>9</v>
      </c>
      <c r="H25" s="265">
        <f>Сценарии!H12</f>
        <v>10.9</v>
      </c>
      <c r="I25" s="265">
        <f>Сценарии!I12</f>
        <v>12.6</v>
      </c>
      <c r="J25" s="265">
        <f>Сценарии!J12</f>
        <v>11.4</v>
      </c>
      <c r="K25" s="265">
        <f>Сценарии!K12</f>
        <v>9</v>
      </c>
      <c r="L25" s="359">
        <f>Сценарии!L12</f>
        <v>7.2</v>
      </c>
      <c r="M25" s="359">
        <f>Сценарии!M12</f>
        <v>8.92</v>
      </c>
      <c r="N25" s="359">
        <f>Сценарии!N12</f>
        <v>8.32</v>
      </c>
      <c r="O25" s="359">
        <f>Сценарии!O12</f>
        <v>11</v>
      </c>
      <c r="P25" s="265">
        <f>Сценарии!P12</f>
        <v>15</v>
      </c>
      <c r="Q25" s="265">
        <f>Сценарии!Q12</f>
        <v>18</v>
      </c>
      <c r="R25" s="265">
        <f>Сценарии!R12</f>
        <v>18</v>
      </c>
      <c r="S25" s="265">
        <f>Сценарии!S12</f>
        <v>16</v>
      </c>
      <c r="T25" s="265">
        <f>Сценарии!T12</f>
        <v>14</v>
      </c>
      <c r="U25" s="265">
        <f>Сценарии!U12</f>
        <v>12</v>
      </c>
      <c r="V25" s="265">
        <f>Сценарии!V12</f>
        <v>10</v>
      </c>
      <c r="W25" s="265">
        <f>Сценарии!W12</f>
        <v>8</v>
      </c>
      <c r="X25" s="265">
        <f>Сценарии!X12</f>
        <v>11</v>
      </c>
      <c r="Y25" s="265">
        <f>Сценарии!Y12</f>
        <v>12.5</v>
      </c>
      <c r="Z25" s="265">
        <f>Сценарии!Z12</f>
        <v>11</v>
      </c>
      <c r="AA25" s="265">
        <f>Сценарии!AA12</f>
        <v>9.52</v>
      </c>
      <c r="AB25" s="265">
        <f>Сценарии!AB12</f>
        <v>8</v>
      </c>
      <c r="AC25" s="265">
        <f>Сценарии!AC12</f>
        <v>8</v>
      </c>
      <c r="AD25" s="265">
        <f>Сценарии!AD12</f>
        <v>8</v>
      </c>
      <c r="AE25" s="265">
        <f>Сценарии!AE12</f>
        <v>8</v>
      </c>
      <c r="AF25" s="265">
        <f>Сценарии!AF12</f>
        <v>8</v>
      </c>
    </row>
    <row r="28" spans="1:32" ht="18" x14ac:dyDescent="0.25">
      <c r="A28" s="175" t="s">
        <v>82</v>
      </c>
    </row>
    <row r="29" spans="1:32" x14ac:dyDescent="0.2">
      <c r="G29">
        <v>2006</v>
      </c>
      <c r="H29">
        <v>2007</v>
      </c>
      <c r="I29">
        <v>2008</v>
      </c>
      <c r="J29">
        <v>2009</v>
      </c>
      <c r="K29">
        <v>2010</v>
      </c>
      <c r="L29" s="112">
        <v>2011</v>
      </c>
      <c r="M29" s="112">
        <v>2012</v>
      </c>
      <c r="N29" s="112">
        <v>2013</v>
      </c>
      <c r="O29" s="112">
        <v>2014</v>
      </c>
      <c r="P29">
        <v>2015</v>
      </c>
      <c r="Q29">
        <v>2016</v>
      </c>
      <c r="R29">
        <v>2017</v>
      </c>
      <c r="S29">
        <v>2018</v>
      </c>
      <c r="T29">
        <v>2019</v>
      </c>
      <c r="U29">
        <v>2020</v>
      </c>
      <c r="V29">
        <v>2021</v>
      </c>
      <c r="W29">
        <v>2022</v>
      </c>
      <c r="X29">
        <v>2023</v>
      </c>
      <c r="Y29">
        <v>2024</v>
      </c>
      <c r="Z29">
        <v>2025</v>
      </c>
      <c r="AA29">
        <v>2026</v>
      </c>
      <c r="AB29">
        <v>2027</v>
      </c>
      <c r="AC29">
        <v>2028</v>
      </c>
      <c r="AD29">
        <v>2029</v>
      </c>
      <c r="AE29">
        <v>2030</v>
      </c>
      <c r="AF29">
        <v>2031</v>
      </c>
    </row>
    <row r="30" spans="1:32" ht="13.5" thickBot="1" x14ac:dyDescent="0.25">
      <c r="G30">
        <v>1</v>
      </c>
      <c r="H30">
        <v>2</v>
      </c>
      <c r="I30">
        <v>3</v>
      </c>
      <c r="J30">
        <v>4</v>
      </c>
      <c r="K30">
        <v>5</v>
      </c>
      <c r="L30" s="112">
        <v>6</v>
      </c>
      <c r="M30" s="112">
        <v>7</v>
      </c>
      <c r="N30" s="112">
        <v>8</v>
      </c>
      <c r="O30" s="112">
        <v>9</v>
      </c>
      <c r="P30">
        <v>10</v>
      </c>
      <c r="Q30">
        <v>11</v>
      </c>
      <c r="R30">
        <v>12</v>
      </c>
      <c r="S30">
        <v>13</v>
      </c>
      <c r="T30">
        <v>14</v>
      </c>
      <c r="U30">
        <v>15</v>
      </c>
      <c r="V30">
        <v>16</v>
      </c>
      <c r="W30">
        <v>17</v>
      </c>
      <c r="X30">
        <v>18</v>
      </c>
      <c r="Y30">
        <v>19</v>
      </c>
      <c r="Z30">
        <v>20</v>
      </c>
      <c r="AA30">
        <v>21</v>
      </c>
      <c r="AB30">
        <v>22</v>
      </c>
      <c r="AC30">
        <v>23</v>
      </c>
      <c r="AD30">
        <v>24</v>
      </c>
      <c r="AE30">
        <v>25</v>
      </c>
      <c r="AF30">
        <v>26</v>
      </c>
    </row>
    <row r="31" spans="1:32" ht="13.5" thickBot="1" x14ac:dyDescent="0.25">
      <c r="E31" t="s">
        <v>216</v>
      </c>
      <c r="G31" s="251">
        <f>индексы_цен!F33</f>
        <v>1.08405</v>
      </c>
      <c r="H31" s="252">
        <f>индексы_цен!G33</f>
        <v>1.2097998000000001</v>
      </c>
      <c r="I31" s="252">
        <f>индексы_цен!H33</f>
        <v>1.3901809501800002</v>
      </c>
      <c r="J31" s="252">
        <f>индексы_цен!I33</f>
        <v>1.5301721718631263</v>
      </c>
      <c r="K31" s="252">
        <f>индексы_цен!J33</f>
        <v>1.7010924034602373</v>
      </c>
      <c r="L31" s="360">
        <f>индексы_цен!K33</f>
        <v>1.8866815846777492</v>
      </c>
      <c r="M31" s="360">
        <f>индексы_цен!L33</f>
        <v>2.0777552621659883</v>
      </c>
      <c r="N31" s="360">
        <f>индексы_цен!M33</f>
        <v>2.2680776441803925</v>
      </c>
      <c r="O31" s="486">
        <f>N31*((гипотезы!$E$15*Сценарии!O6+(1-гипотезы!$E$15)*Сценарии!O5)*0.01+1)</f>
        <v>2.525504456794867</v>
      </c>
      <c r="P31" s="253">
        <f>O31*((гипотезы!$E$15*Сценарии!P6+(1-гипотезы!$E$15)*Сценарии!P5)*0.01+1)</f>
        <v>2.8954908597153151</v>
      </c>
      <c r="Q31" s="253">
        <f>P31*((гипотезы!$E$15*Сценарии!Q6+(1-гипотезы!$E$15)*Сценарии!Q5)*0.01+1)</f>
        <v>3.3196802706636088</v>
      </c>
      <c r="R31" s="253">
        <f>Q31*((гипотезы!$E$15*Сценарии!R6+(1-гипотезы!$E$15)*Сценарии!R5)*0.01+1)</f>
        <v>3.8450196734961248</v>
      </c>
      <c r="S31" s="253">
        <f>R31*((гипотезы!$E$15*Сценарии!S6+(1-гипотезы!$E$15)*Сценарии!S5)*0.01+1)</f>
        <v>4.3448722310506209</v>
      </c>
      <c r="T31" s="253">
        <f>S31*((гипотезы!$E$15*Сценарии!T6+(1-гипотезы!$E$15)*Сценарии!T5)*0.01+1)</f>
        <v>4.7663248374625313</v>
      </c>
      <c r="U31" s="253">
        <f>T31*((гипотезы!$E$15*Сценарии!U6+(1-гипотезы!$E$15)*Сценарии!U5)*0.01+1)</f>
        <v>5.1333318499471456</v>
      </c>
      <c r="V31" s="253">
        <f>U31*((гипотезы!$E$15*Сценарии!V6+(1-гипотезы!$E$15)*Сценарии!V5)*0.01+1)</f>
        <v>5.4772650838936041</v>
      </c>
      <c r="W31" s="253">
        <f>V31*((гипотезы!$E$15*Сценарии!W6+(1-гипотезы!$E$15)*Сценарии!W5)*0.01+1)</f>
        <v>5.8086396214691671</v>
      </c>
      <c r="X31" s="253">
        <f>W31*((гипотезы!$E$15*Сценарии!X6+(1-гипотезы!$E$15)*Сценарии!X5)*0.01+1)</f>
        <v>6.1949141562968668</v>
      </c>
      <c r="Y31" s="253">
        <f>X31*((гипотезы!$E$15*Сценарии!Y6+(1-гипотезы!$E$15)*Сценарии!Y5)*0.01+1)</f>
        <v>6.6642718273486992</v>
      </c>
      <c r="Z31" s="253">
        <f>Y31*((гипотезы!$E$15*Сценарии!Z6+(1-гипотезы!$E$15)*Сценарии!Z5)*0.01+1)</f>
        <v>7.1540958066588276</v>
      </c>
      <c r="AA31" s="253">
        <f>Z31*((гипотезы!$E$15*Сценарии!AA6+(1-гипотезы!$E$15)*Сценарии!AA5)*0.01+1)</f>
        <v>7.654739431208812</v>
      </c>
      <c r="AB31" s="253">
        <f>AA31*((гипотезы!$E$15*Сценарии!AB6+(1-гипотезы!$E$15)*Сценарии!AB5)*0.01+1)</f>
        <v>8.0755204577423605</v>
      </c>
      <c r="AC31" s="253">
        <f>AB31*((гипотезы!$E$15*Сценарии!AC6+(1-гипотезы!$E$15)*Сценарии!AC5)*0.01+1)</f>
        <v>8.507560802231577</v>
      </c>
      <c r="AD31" s="253">
        <f>AC31*((гипотезы!$E$15*Сценарии!AD6+(1-гипотезы!$E$15)*Сценарии!AD5)*0.01+1)</f>
        <v>8.9609287173824974</v>
      </c>
      <c r="AE31" s="350">
        <f>AD31*((гипотезы!$E$15*Сценарии!AE6+(1-гипотезы!$E$15)*Сценарии!AE5)*0.01+1)</f>
        <v>9.4403384037624622</v>
      </c>
      <c r="AF31" s="350">
        <f>AE31*((гипотезы!$E$15*Сценарии!AF6+(1-гипотезы!$E$15)*Сценарии!AF5)*0.01+1)</f>
        <v>9.9473789794285441</v>
      </c>
    </row>
    <row r="32" spans="1:32" ht="13.5" thickBot="1" x14ac:dyDescent="0.25">
      <c r="C32" s="248" t="s">
        <v>89</v>
      </c>
      <c r="E32" t="s">
        <v>217</v>
      </c>
      <c r="G32" s="254">
        <f>индексы_цен!F33</f>
        <v>1.08405</v>
      </c>
      <c r="H32" s="255">
        <f>индексы_цен!G33</f>
        <v>1.2097998000000001</v>
      </c>
      <c r="I32" s="255">
        <f>индексы_цен!H33</f>
        <v>1.3901809501800002</v>
      </c>
      <c r="J32" s="255">
        <f>индексы_цен!I33</f>
        <v>1.5301721718631263</v>
      </c>
      <c r="K32" s="255">
        <f>индексы_цен!J33</f>
        <v>1.7010924034602373</v>
      </c>
      <c r="L32" s="361">
        <f>индексы_цен!K33</f>
        <v>1.8866815846777492</v>
      </c>
      <c r="M32" s="361">
        <f>индексы_цен!L33</f>
        <v>2.0777552621659883</v>
      </c>
      <c r="N32" s="361">
        <f>индексы_цен!M33</f>
        <v>2.2680776441803925</v>
      </c>
      <c r="O32" s="486">
        <f>N32*((гипотезы!$E$15*Сценарии!O9+(1-гипотезы!$E$15)*Сценарии!O8)*0.01+1)</f>
        <v>2.525504456794867</v>
      </c>
      <c r="P32" s="253">
        <f>O32*((гипотезы!$E$15*Сценарии!P9+(1-гипотезы!$E$15)*Сценарии!P8)*0.01+1)</f>
        <v>2.8954908597153151</v>
      </c>
      <c r="Q32" s="253">
        <f>P32*((гипотезы!$E$15*Сценарии!Q9+(1-гипотезы!$E$15)*Сценарии!Q8)*0.01+1)</f>
        <v>3.3783139605728438</v>
      </c>
      <c r="R32" s="253">
        <f>Q32*((гипотезы!$E$15*Сценарии!R9+(1-гипотезы!$E$15)*Сценарии!R8)*0.01+1)</f>
        <v>3.9644514327322322</v>
      </c>
      <c r="S32" s="253">
        <f>R32*((гипотезы!$E$15*Сценарии!S9+(1-гипотезы!$E$15)*Сценарии!S8)*0.01+1)</f>
        <v>4.5333502133293075</v>
      </c>
      <c r="T32" s="253">
        <f>S32*((гипотезы!$E$15*Сценарии!T9+(1-гипотезы!$E$15)*Сценарии!T8)*0.01+1)</f>
        <v>5.0637521882888361</v>
      </c>
      <c r="U32" s="253">
        <f>T32*((гипотезы!$E$15*Сценарии!U9+(1-гипотезы!$E$15)*Сценарии!U8)*0.01+1)</f>
        <v>5.5549361505528534</v>
      </c>
      <c r="V32" s="253">
        <f>U32*((гипотезы!$E$15*Сценарии!V9+(1-гипотезы!$E$15)*Сценарии!V8)*0.01+1)</f>
        <v>6.0021085106723584</v>
      </c>
      <c r="W32" s="253">
        <f>V32*((гипотезы!$E$15*Сценарии!W9+(1-гипотезы!$E$15)*Сценарии!W8)*0.01+1)</f>
        <v>6.4462645404621135</v>
      </c>
      <c r="X32" s="253">
        <f>W32*((гипотезы!$E$15*Сценарии!X9+(1-гипотезы!$E$15)*Сценарии!X8)*0.01+1)</f>
        <v>7.0038664232120862</v>
      </c>
      <c r="Y32" s="253">
        <f>X32*((гипотезы!$E$15*Сценарии!Y9+(1-гипотезы!$E$15)*Сценарии!Y8)*0.01+1)</f>
        <v>7.6797395330520528</v>
      </c>
      <c r="Z32" s="253">
        <f>Y32*((гипотезы!$E$15*Сценарии!Z9+(1-гипотезы!$E$15)*Сценарии!Z8)*0.01+1)</f>
        <v>8.3977951793924195</v>
      </c>
      <c r="AA32" s="253">
        <f>Z32*((гипотезы!$E$15*Сценарии!AA9+(1-гипотезы!$E$15)*Сценарии!AA8)*0.01+1)</f>
        <v>9.1752630571005689</v>
      </c>
      <c r="AB32" s="253">
        <f>AA32*((гипотезы!$E$15*Сценарии!AB9+(1-гипотезы!$E$15)*Сценарии!AB8)*0.01+1)</f>
        <v>9.8496448917974604</v>
      </c>
      <c r="AC32" s="253">
        <f>AB32*((гипотезы!$E$15*Сценарии!AC9+(1-гипотезы!$E$15)*Сценарии!AC8)*0.01+1)</f>
        <v>10.475097342426597</v>
      </c>
      <c r="AD32" s="253">
        <f>AC32*((гипотезы!$E$15*Сценарии!AD9+(1-гипотезы!$E$15)*Сценарии!AD8)*0.01+1)</f>
        <v>11.140266023670685</v>
      </c>
      <c r="AE32" s="350">
        <f>AD32*((гипотезы!$E$15*Сценарии!AE9+(1-гипотезы!$E$15)*Сценарии!AE8)*0.01+1)</f>
        <v>11.847672916173773</v>
      </c>
      <c r="AF32" s="350">
        <f>AE32*((гипотезы!$E$15*Сценарии!AF9+(1-гипотезы!$E$15)*Сценарии!AF8)*0.01+1)</f>
        <v>12.600000146350807</v>
      </c>
    </row>
    <row r="33" spans="1:32" ht="13.5" thickBot="1" x14ac:dyDescent="0.25">
      <c r="E33" t="s">
        <v>218</v>
      </c>
      <c r="G33" s="256">
        <f>индексы_цен!F33</f>
        <v>1.08405</v>
      </c>
      <c r="H33" s="257">
        <f>индексы_цен!G33</f>
        <v>1.2097998000000001</v>
      </c>
      <c r="I33" s="257">
        <f>индексы_цен!H33</f>
        <v>1.3901809501800002</v>
      </c>
      <c r="J33" s="257">
        <f>индексы_цен!I33</f>
        <v>1.5301721718631263</v>
      </c>
      <c r="K33" s="257">
        <f>индексы_цен!J33</f>
        <v>1.7010924034602373</v>
      </c>
      <c r="L33" s="362">
        <f>индексы_цен!K33</f>
        <v>1.8866815846777492</v>
      </c>
      <c r="M33" s="362">
        <f>индексы_цен!L33</f>
        <v>2.0777552621659883</v>
      </c>
      <c r="N33" s="362">
        <f>индексы_цен!M33</f>
        <v>2.2680776441803925</v>
      </c>
      <c r="O33" s="487">
        <f>N33*((гипотезы!$E$15*Сценарии!O12+(1-гипотезы!$E$15)*Сценарии!O11)*0.01+1)</f>
        <v>2.525504456794867</v>
      </c>
      <c r="P33" s="351">
        <f>O33*((гипотезы!$E$15*Сценарии!P12+(1-гипотезы!$E$15)*Сценарии!P11)*0.01+1)</f>
        <v>2.8954908597153151</v>
      </c>
      <c r="Q33" s="351">
        <f>P33*((гипотезы!$E$15*Сценарии!Q12+(1-гипотезы!$E$15)*Сценарии!Q11)*0.01+1)</f>
        <v>3.4268134324730752</v>
      </c>
      <c r="R33" s="351">
        <f>Q33*((гипотезы!$E$15*Сценарии!R12+(1-гипотезы!$E$15)*Сценарии!R11)*0.01+1)</f>
        <v>4.0796213913591961</v>
      </c>
      <c r="S33" s="351">
        <f>R33*((гипотезы!$E$15*Сценарии!S12+(1-гипотезы!$E$15)*Сценарии!S11)*0.01+1)</f>
        <v>4.7609181637161821</v>
      </c>
      <c r="T33" s="351">
        <f>S33*((гипотезы!$E$15*Сценарии!T12+(1-гипотезы!$E$15)*Сценарии!T11)*0.01+1)</f>
        <v>5.4607731337824612</v>
      </c>
      <c r="U33" s="351">
        <f>T33*((гипотезы!$E$15*Сценарии!U12+(1-гипотезы!$E$15)*Сценарии!U11)*0.01+1)</f>
        <v>6.1351786158045947</v>
      </c>
      <c r="V33" s="351">
        <f>U33*((гипотезы!$E$15*Сценарии!V12+(1-гипотезы!$E$15)*Сценарии!V11)*0.01+1)</f>
        <v>6.7916427276956863</v>
      </c>
      <c r="W33" s="351">
        <f>V33*((гипотезы!$E$15*Сценарии!W12+(1-гипотезы!$E$15)*Сценарии!W11)*0.01+1)</f>
        <v>7.427442361648918</v>
      </c>
      <c r="X33" s="351">
        <f>W33*((гипотезы!$E$15*Сценарии!X12+(1-гипотезы!$E$15)*Сценарии!X11)*0.01+1)</f>
        <v>8.2184649731645276</v>
      </c>
      <c r="Y33" s="351">
        <f>X33*((гипотезы!$E$15*Сценарии!Y12+(1-гипотезы!$E$15)*Сценарии!Y11)*0.01+1)</f>
        <v>9.2190219913224425</v>
      </c>
      <c r="Z33" s="351">
        <f>Y33*((гипотезы!$E$15*Сценарии!Z12+(1-гипотезы!$E$15)*Сценарии!Z11)*0.01+1)</f>
        <v>10.297647564307168</v>
      </c>
      <c r="AA33" s="351">
        <f>Z33*((гипотезы!$E$15*Сценарии!AA12+(1-гипотезы!$E$15)*Сценарии!AA11)*0.01+1)</f>
        <v>11.439450726237547</v>
      </c>
      <c r="AB33" s="351">
        <f>AA33*((гипотезы!$E$15*Сценарии!AB12+(1-гипотезы!$E$15)*Сценарии!AB11)*0.01+1)</f>
        <v>12.493138532631287</v>
      </c>
      <c r="AC33" s="351">
        <f>AB33*((гипотезы!$E$15*Сценарии!AC12+(1-гипотезы!$E$15)*Сценарии!AC11)*0.01+1)</f>
        <v>13.536315600105999</v>
      </c>
      <c r="AD33" s="351">
        <f>AC33*((гипотезы!$E$15*Сценарии!AD12+(1-гипотезы!$E$15)*Сценарии!AD11)*0.01+1)</f>
        <v>14.666597952714849</v>
      </c>
      <c r="AE33" s="352">
        <f>AD33*((гипотезы!$E$15*Сценарии!AE12+(1-гипотезы!$E$15)*Сценарии!AE11)*0.01+1)</f>
        <v>15.891258881766538</v>
      </c>
      <c r="AF33" s="352">
        <f>AE33*((гипотезы!$E$15*Сценарии!AF12+(1-гипотезы!$E$15)*Сценарии!AF11)*0.01+1)</f>
        <v>17.218178998394041</v>
      </c>
    </row>
    <row r="37" spans="1:32" ht="18" x14ac:dyDescent="0.25">
      <c r="A37" s="175" t="s">
        <v>97</v>
      </c>
      <c r="F37" s="353">
        <v>2005</v>
      </c>
      <c r="G37">
        <v>2006</v>
      </c>
      <c r="H37">
        <v>2007</v>
      </c>
      <c r="I37">
        <v>2008</v>
      </c>
      <c r="J37">
        <v>2009</v>
      </c>
      <c r="K37">
        <v>2010</v>
      </c>
      <c r="L37" s="112">
        <v>2011</v>
      </c>
      <c r="M37" s="112">
        <v>2012</v>
      </c>
      <c r="N37" s="112">
        <v>2013</v>
      </c>
      <c r="O37" s="112">
        <v>2014</v>
      </c>
      <c r="P37">
        <v>2015</v>
      </c>
      <c r="Q37">
        <v>2016</v>
      </c>
      <c r="R37">
        <v>2017</v>
      </c>
      <c r="S37">
        <v>2018</v>
      </c>
      <c r="T37">
        <v>2019</v>
      </c>
      <c r="U37">
        <v>2020</v>
      </c>
      <c r="V37">
        <v>2021</v>
      </c>
      <c r="W37">
        <v>2022</v>
      </c>
      <c r="X37">
        <v>2023</v>
      </c>
      <c r="Y37">
        <v>2024</v>
      </c>
      <c r="Z37">
        <v>2025</v>
      </c>
      <c r="AA37">
        <v>2026</v>
      </c>
      <c r="AB37">
        <v>2027</v>
      </c>
      <c r="AC37">
        <v>2028</v>
      </c>
      <c r="AD37">
        <v>2029</v>
      </c>
      <c r="AE37">
        <v>2030</v>
      </c>
      <c r="AF37">
        <v>2030</v>
      </c>
    </row>
    <row r="38" spans="1:32" ht="13.5" thickBot="1" x14ac:dyDescent="0.25">
      <c r="F38" s="353"/>
      <c r="G38">
        <v>1</v>
      </c>
      <c r="H38">
        <v>2</v>
      </c>
      <c r="I38">
        <v>3</v>
      </c>
      <c r="J38">
        <v>4</v>
      </c>
      <c r="K38">
        <v>5</v>
      </c>
      <c r="L38" s="112">
        <v>6</v>
      </c>
      <c r="M38" s="112">
        <v>7</v>
      </c>
      <c r="N38" s="112">
        <v>8</v>
      </c>
      <c r="O38" s="112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  <c r="AF38">
        <v>25</v>
      </c>
    </row>
    <row r="39" spans="1:32" x14ac:dyDescent="0.2">
      <c r="E39" t="s">
        <v>216</v>
      </c>
      <c r="F39" s="363">
        <v>1</v>
      </c>
      <c r="G39" s="251">
        <f t="shared" ref="G39:AF39" si="0">F39*(1+0.01*INDEX(ScenInflPPP,1,G$38))</f>
        <v>1.073</v>
      </c>
      <c r="H39" s="252">
        <f t="shared" si="0"/>
        <v>1.211417</v>
      </c>
      <c r="I39" s="252">
        <f t="shared" si="0"/>
        <v>1.4440090639999998</v>
      </c>
      <c r="J39" s="252">
        <f t="shared" si="0"/>
        <v>1.553753752864</v>
      </c>
      <c r="K39" s="252">
        <f t="shared" si="0"/>
        <v>1.7899243232993278</v>
      </c>
      <c r="L39" s="252">
        <f t="shared" si="0"/>
        <v>2.108530852846608</v>
      </c>
      <c r="M39" s="252">
        <f t="shared" si="0"/>
        <v>2.3693561193437334</v>
      </c>
      <c r="N39" s="252">
        <f t="shared" si="0"/>
        <v>2.6233510953373815</v>
      </c>
      <c r="O39" s="360">
        <f t="shared" si="0"/>
        <v>2.9381532267778674</v>
      </c>
      <c r="P39" s="252">
        <f t="shared" si="0"/>
        <v>3.3494946785267694</v>
      </c>
      <c r="Q39" s="252">
        <f t="shared" si="0"/>
        <v>3.8184239335205175</v>
      </c>
      <c r="R39" s="252">
        <f t="shared" si="0"/>
        <v>4.4102796432161977</v>
      </c>
      <c r="S39" s="252">
        <f t="shared" si="0"/>
        <v>4.9836159968343026</v>
      </c>
      <c r="T39" s="252">
        <f t="shared" si="0"/>
        <v>5.5318137564860761</v>
      </c>
      <c r="U39" s="252">
        <f t="shared" si="0"/>
        <v>6.0296769945698232</v>
      </c>
      <c r="V39" s="252">
        <f t="shared" si="0"/>
        <v>6.5120511541354098</v>
      </c>
      <c r="W39" s="252">
        <f t="shared" si="0"/>
        <v>7.0330152464662428</v>
      </c>
      <c r="X39" s="252">
        <f t="shared" si="0"/>
        <v>7.4549961612542175</v>
      </c>
      <c r="Y39" s="252">
        <f t="shared" si="0"/>
        <v>7.9611904006033791</v>
      </c>
      <c r="Z39" s="252">
        <f t="shared" si="0"/>
        <v>8.5980856326516495</v>
      </c>
      <c r="AA39" s="252">
        <f t="shared" si="0"/>
        <v>9.3719133395902983</v>
      </c>
      <c r="AB39" s="252">
        <f t="shared" si="0"/>
        <v>9.9735901759919958</v>
      </c>
      <c r="AC39" s="252">
        <f t="shared" si="0"/>
        <v>10.572005586551516</v>
      </c>
      <c r="AD39" s="252">
        <f t="shared" si="0"/>
        <v>11.199982718392677</v>
      </c>
      <c r="AE39" s="268">
        <f t="shared" si="0"/>
        <v>11.871981681496239</v>
      </c>
      <c r="AF39" s="268">
        <f t="shared" si="0"/>
        <v>12.584300582386014</v>
      </c>
    </row>
    <row r="40" spans="1:32" x14ac:dyDescent="0.2">
      <c r="C40" s="248" t="s">
        <v>179</v>
      </c>
      <c r="E40" t="s">
        <v>217</v>
      </c>
      <c r="F40" s="363">
        <v>1</v>
      </c>
      <c r="G40" s="254">
        <f t="shared" ref="G40:AF40" si="1">F40*(1+0.01*INDEX(ScenInflPPP,2,G$38))</f>
        <v>1.073</v>
      </c>
      <c r="H40" s="255">
        <f t="shared" si="1"/>
        <v>1.211417</v>
      </c>
      <c r="I40" s="255">
        <f t="shared" si="1"/>
        <v>1.4440090639999998</v>
      </c>
      <c r="J40" s="255">
        <f t="shared" si="1"/>
        <v>1.553753752864</v>
      </c>
      <c r="K40" s="255">
        <f t="shared" si="1"/>
        <v>1.7899243232993278</v>
      </c>
      <c r="L40" s="255">
        <f t="shared" si="1"/>
        <v>2.108530852846608</v>
      </c>
      <c r="M40" s="255">
        <f t="shared" si="1"/>
        <v>2.3693561193437334</v>
      </c>
      <c r="N40" s="255">
        <f t="shared" si="1"/>
        <v>2.6233510953373815</v>
      </c>
      <c r="O40" s="361">
        <f t="shared" si="1"/>
        <v>2.9381532267778674</v>
      </c>
      <c r="P40" s="255">
        <f t="shared" si="1"/>
        <v>3.3494946785267694</v>
      </c>
      <c r="Q40" s="255">
        <f t="shared" si="1"/>
        <v>3.91890877387632</v>
      </c>
      <c r="R40" s="255">
        <f t="shared" si="1"/>
        <v>4.6243123531740578</v>
      </c>
      <c r="S40" s="255">
        <f t="shared" si="1"/>
        <v>5.3179592061501664</v>
      </c>
      <c r="T40" s="255">
        <f t="shared" si="1"/>
        <v>6.009293902949687</v>
      </c>
      <c r="U40" s="255">
        <f t="shared" si="1"/>
        <v>6.6703162322741534</v>
      </c>
      <c r="V40" s="255">
        <f t="shared" si="1"/>
        <v>7.3373478555015694</v>
      </c>
      <c r="W40" s="255">
        <f t="shared" si="1"/>
        <v>8.0710826410517278</v>
      </c>
      <c r="X40" s="255">
        <f t="shared" si="1"/>
        <v>8.7167692523358671</v>
      </c>
      <c r="Y40" s="255">
        <f t="shared" si="1"/>
        <v>9.501278485046095</v>
      </c>
      <c r="Z40" s="255">
        <f t="shared" si="1"/>
        <v>10.451406333550706</v>
      </c>
      <c r="AA40" s="255">
        <f t="shared" si="1"/>
        <v>11.601061030241285</v>
      </c>
      <c r="AB40" s="255">
        <f t="shared" si="1"/>
        <v>12.529145912660589</v>
      </c>
      <c r="AC40" s="255">
        <f t="shared" si="1"/>
        <v>13.40618612654683</v>
      </c>
      <c r="AD40" s="255">
        <f t="shared" si="1"/>
        <v>14.344619155405109</v>
      </c>
      <c r="AE40" s="269">
        <f t="shared" si="1"/>
        <v>15.348742496283467</v>
      </c>
      <c r="AF40" s="269">
        <f t="shared" si="1"/>
        <v>16.423154471023309</v>
      </c>
    </row>
    <row r="41" spans="1:32" ht="13.5" thickBot="1" x14ac:dyDescent="0.25">
      <c r="E41" t="s">
        <v>218</v>
      </c>
      <c r="F41" s="363">
        <v>1</v>
      </c>
      <c r="G41" s="256">
        <f t="shared" ref="G41:AF41" si="2">F41*(1+0.01*INDEX(ScenInflPPP,3,G$38))</f>
        <v>1.073</v>
      </c>
      <c r="H41" s="257">
        <f t="shared" si="2"/>
        <v>1.211417</v>
      </c>
      <c r="I41" s="257">
        <f t="shared" si="2"/>
        <v>1.4440090639999998</v>
      </c>
      <c r="J41" s="257">
        <f t="shared" si="2"/>
        <v>1.553753752864</v>
      </c>
      <c r="K41" s="257">
        <f t="shared" si="2"/>
        <v>1.7899243232993278</v>
      </c>
      <c r="L41" s="257">
        <f t="shared" si="2"/>
        <v>2.108530852846608</v>
      </c>
      <c r="M41" s="257">
        <f t="shared" si="2"/>
        <v>2.3693561193437334</v>
      </c>
      <c r="N41" s="257">
        <f t="shared" si="2"/>
        <v>2.6233510953373815</v>
      </c>
      <c r="O41" s="362">
        <f t="shared" si="2"/>
        <v>2.9381532267778674</v>
      </c>
      <c r="P41" s="257">
        <f t="shared" si="2"/>
        <v>3.3494946785267694</v>
      </c>
      <c r="Q41" s="257">
        <f t="shared" si="2"/>
        <v>3.9858986674468553</v>
      </c>
      <c r="R41" s="257">
        <f t="shared" si="2"/>
        <v>4.8229373876106951</v>
      </c>
      <c r="S41" s="257">
        <f t="shared" si="2"/>
        <v>5.6910661173806201</v>
      </c>
      <c r="T41" s="257">
        <f t="shared" si="2"/>
        <v>6.6016366961615187</v>
      </c>
      <c r="U41" s="257">
        <f t="shared" si="2"/>
        <v>7.459849466662515</v>
      </c>
      <c r="V41" s="257">
        <f t="shared" si="2"/>
        <v>8.3550314026620178</v>
      </c>
      <c r="W41" s="257">
        <f t="shared" si="2"/>
        <v>9.348444636438531</v>
      </c>
      <c r="X41" s="257">
        <f t="shared" si="2"/>
        <v>10.283289100082385</v>
      </c>
      <c r="Y41" s="257">
        <f t="shared" si="2"/>
        <v>11.473065648961915</v>
      </c>
      <c r="Z41" s="257">
        <f t="shared" si="2"/>
        <v>12.964564183326964</v>
      </c>
      <c r="AA41" s="257">
        <f t="shared" si="2"/>
        <v>14.77960316899274</v>
      </c>
      <c r="AB41" s="257">
        <f t="shared" si="2"/>
        <v>16.47334569215931</v>
      </c>
      <c r="AC41" s="257">
        <f t="shared" si="2"/>
        <v>17.955946804453649</v>
      </c>
      <c r="AD41" s="257">
        <f t="shared" si="2"/>
        <v>19.571982016854481</v>
      </c>
      <c r="AE41" s="270">
        <f t="shared" si="2"/>
        <v>21.333460398371386</v>
      </c>
      <c r="AF41" s="270">
        <f t="shared" si="2"/>
        <v>23.253471834224811</v>
      </c>
    </row>
    <row r="42" spans="1:32" x14ac:dyDescent="0.2">
      <c r="F42" s="263"/>
    </row>
    <row r="44" spans="1:32" ht="13.5" thickBot="1" x14ac:dyDescent="0.25">
      <c r="G44">
        <v>1</v>
      </c>
      <c r="H44">
        <v>2</v>
      </c>
      <c r="I44">
        <v>3</v>
      </c>
      <c r="J44">
        <v>4</v>
      </c>
      <c r="K44">
        <v>5</v>
      </c>
      <c r="L44" s="112">
        <v>6</v>
      </c>
      <c r="M44" s="112">
        <v>7</v>
      </c>
      <c r="N44" s="112">
        <v>8</v>
      </c>
      <c r="O44" s="112">
        <v>9</v>
      </c>
      <c r="P44">
        <v>10</v>
      </c>
      <c r="Q44">
        <v>11</v>
      </c>
      <c r="R44">
        <v>12</v>
      </c>
      <c r="S44">
        <v>13</v>
      </c>
      <c r="T44">
        <v>14</v>
      </c>
      <c r="U44">
        <v>15</v>
      </c>
      <c r="V44">
        <v>16</v>
      </c>
      <c r="W44">
        <v>17</v>
      </c>
      <c r="X44">
        <v>18</v>
      </c>
      <c r="Y44">
        <v>19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</row>
    <row r="45" spans="1:32" x14ac:dyDescent="0.2">
      <c r="E45" t="s">
        <v>216</v>
      </c>
      <c r="F45" s="363">
        <v>1</v>
      </c>
      <c r="G45" s="251">
        <f t="shared" ref="G45:AF45" si="3">F45*(1+0.01*INDEX(ScenInflPotrS,1,G$44))</f>
        <v>1.0900000000000001</v>
      </c>
      <c r="H45" s="252">
        <f t="shared" si="3"/>
        <v>1.2088100000000002</v>
      </c>
      <c r="I45" s="252">
        <f t="shared" si="3"/>
        <v>1.36112006</v>
      </c>
      <c r="J45" s="252">
        <f t="shared" si="3"/>
        <v>1.51628774684</v>
      </c>
      <c r="K45" s="252">
        <f t="shared" si="3"/>
        <v>1.6527536440556001</v>
      </c>
      <c r="L45" s="252">
        <f t="shared" si="3"/>
        <v>1.7717519064276035</v>
      </c>
      <c r="M45" s="252">
        <f t="shared" si="3"/>
        <v>1.9297921764809456</v>
      </c>
      <c r="N45" s="252">
        <f t="shared" si="3"/>
        <v>2.0903508855641602</v>
      </c>
      <c r="O45" s="360">
        <f t="shared" si="3"/>
        <v>2.320289482976218</v>
      </c>
      <c r="P45" s="252">
        <f t="shared" si="3"/>
        <v>2.6683329054226506</v>
      </c>
      <c r="Q45" s="252">
        <f t="shared" si="3"/>
        <v>3.0685828412360481</v>
      </c>
      <c r="R45" s="252">
        <f t="shared" si="3"/>
        <v>3.5595560958338157</v>
      </c>
      <c r="S45" s="252">
        <f t="shared" si="3"/>
        <v>4.022298388292211</v>
      </c>
      <c r="T45" s="252">
        <f t="shared" si="3"/>
        <v>4.3843052432385106</v>
      </c>
      <c r="U45" s="252">
        <f t="shared" si="3"/>
        <v>4.6912066102652066</v>
      </c>
      <c r="V45" s="252">
        <f t="shared" si="3"/>
        <v>4.9726790068811191</v>
      </c>
      <c r="W45" s="252">
        <f t="shared" si="3"/>
        <v>5.2213129572251749</v>
      </c>
      <c r="X45" s="252">
        <f t="shared" si="3"/>
        <v>5.5868048642309374</v>
      </c>
      <c r="Y45" s="252">
        <f t="shared" si="3"/>
        <v>6.0337492533694128</v>
      </c>
      <c r="Z45" s="252">
        <f t="shared" si="3"/>
        <v>6.4561117011052724</v>
      </c>
      <c r="AA45" s="252">
        <f t="shared" si="3"/>
        <v>6.8383135138107036</v>
      </c>
      <c r="AB45" s="252">
        <f t="shared" si="3"/>
        <v>7.1802291895012393</v>
      </c>
      <c r="AC45" s="252">
        <f t="shared" si="3"/>
        <v>7.5392406489763015</v>
      </c>
      <c r="AD45" s="252">
        <f t="shared" si="3"/>
        <v>7.9162026814251165</v>
      </c>
      <c r="AE45" s="268">
        <f t="shared" si="3"/>
        <v>8.3120128154963719</v>
      </c>
      <c r="AF45" s="268">
        <f t="shared" si="3"/>
        <v>8.7276134562711913</v>
      </c>
    </row>
    <row r="46" spans="1:32" x14ac:dyDescent="0.2">
      <c r="C46" s="248" t="s">
        <v>100</v>
      </c>
      <c r="E46" t="s">
        <v>217</v>
      </c>
      <c r="F46" s="363">
        <v>1</v>
      </c>
      <c r="G46" s="254">
        <f t="shared" ref="G46:AF46" si="4">F46*(1+0.01*INDEX(ScenInflPotrS,2,G$44))</f>
        <v>1.0900000000000001</v>
      </c>
      <c r="H46" s="255">
        <f t="shared" si="4"/>
        <v>1.2088100000000002</v>
      </c>
      <c r="I46" s="255">
        <f t="shared" si="4"/>
        <v>1.36112006</v>
      </c>
      <c r="J46" s="255">
        <f t="shared" si="4"/>
        <v>1.51628774684</v>
      </c>
      <c r="K46" s="255">
        <f t="shared" si="4"/>
        <v>1.6527536440556001</v>
      </c>
      <c r="L46" s="255">
        <f t="shared" si="4"/>
        <v>1.7717519064276035</v>
      </c>
      <c r="M46" s="255">
        <f t="shared" si="4"/>
        <v>1.9297921764809456</v>
      </c>
      <c r="N46" s="255">
        <f t="shared" si="4"/>
        <v>2.0903508855641602</v>
      </c>
      <c r="O46" s="361">
        <f t="shared" si="4"/>
        <v>2.320289482976218</v>
      </c>
      <c r="P46" s="255">
        <f t="shared" si="4"/>
        <v>2.6683329054226506</v>
      </c>
      <c r="Q46" s="255">
        <f t="shared" si="4"/>
        <v>3.1086078348173878</v>
      </c>
      <c r="R46" s="255">
        <f t="shared" si="4"/>
        <v>3.6370711667363436</v>
      </c>
      <c r="S46" s="255">
        <f t="shared" si="4"/>
        <v>4.1462611300794325</v>
      </c>
      <c r="T46" s="255">
        <f t="shared" si="4"/>
        <v>4.6023498543881702</v>
      </c>
      <c r="U46" s="255">
        <f t="shared" si="4"/>
        <v>5.016561341283106</v>
      </c>
      <c r="V46" s="255">
        <f t="shared" si="4"/>
        <v>5.3677206351729234</v>
      </c>
      <c r="W46" s="255">
        <f t="shared" si="4"/>
        <v>5.6897838732832993</v>
      </c>
      <c r="X46" s="255">
        <f t="shared" si="4"/>
        <v>6.2018644218787964</v>
      </c>
      <c r="Y46" s="255">
        <f t="shared" si="4"/>
        <v>6.8220508640666768</v>
      </c>
      <c r="Z46" s="255">
        <f t="shared" si="4"/>
        <v>7.4360354418326784</v>
      </c>
      <c r="AA46" s="255">
        <f t="shared" si="4"/>
        <v>8.0547135905931562</v>
      </c>
      <c r="AB46" s="255">
        <f t="shared" si="4"/>
        <v>8.6185435419346774</v>
      </c>
      <c r="AC46" s="255">
        <f t="shared" si="4"/>
        <v>9.1356561544507588</v>
      </c>
      <c r="AD46" s="255">
        <f t="shared" si="4"/>
        <v>9.6837955237178051</v>
      </c>
      <c r="AE46" s="269">
        <f t="shared" si="4"/>
        <v>10.264823255140874</v>
      </c>
      <c r="AF46" s="269">
        <f t="shared" si="4"/>
        <v>10.880712650449327</v>
      </c>
    </row>
    <row r="47" spans="1:32" ht="13.5" thickBot="1" x14ac:dyDescent="0.25">
      <c r="E47" t="s">
        <v>218</v>
      </c>
      <c r="F47" s="363">
        <v>1</v>
      </c>
      <c r="G47" s="256">
        <f t="shared" ref="G47:AF47" si="5">F47*(1+0.01*INDEX(ScenInflPotrS,3,G$44))</f>
        <v>1.0900000000000001</v>
      </c>
      <c r="H47" s="257">
        <f t="shared" si="5"/>
        <v>1.2088100000000002</v>
      </c>
      <c r="I47" s="257">
        <f t="shared" si="5"/>
        <v>1.36112006</v>
      </c>
      <c r="J47" s="257">
        <f t="shared" si="5"/>
        <v>1.51628774684</v>
      </c>
      <c r="K47" s="257">
        <f t="shared" si="5"/>
        <v>1.6527536440556001</v>
      </c>
      <c r="L47" s="257">
        <f t="shared" si="5"/>
        <v>1.7717519064276035</v>
      </c>
      <c r="M47" s="257">
        <f t="shared" si="5"/>
        <v>1.9297921764809456</v>
      </c>
      <c r="N47" s="257">
        <f t="shared" si="5"/>
        <v>2.0903508855641602</v>
      </c>
      <c r="O47" s="362">
        <f t="shared" si="5"/>
        <v>2.320289482976218</v>
      </c>
      <c r="P47" s="257">
        <f t="shared" si="5"/>
        <v>2.6683329054226506</v>
      </c>
      <c r="Q47" s="257">
        <f t="shared" si="5"/>
        <v>3.1486328283987275</v>
      </c>
      <c r="R47" s="257">
        <f t="shared" si="5"/>
        <v>3.7153867375104981</v>
      </c>
      <c r="S47" s="257">
        <f t="shared" si="5"/>
        <v>4.3098486155121778</v>
      </c>
      <c r="T47" s="257">
        <f t="shared" si="5"/>
        <v>4.9132274216838834</v>
      </c>
      <c r="U47" s="257">
        <f t="shared" si="5"/>
        <v>5.5028147122859501</v>
      </c>
      <c r="V47" s="257">
        <f t="shared" si="5"/>
        <v>6.0530961835145458</v>
      </c>
      <c r="W47" s="257">
        <f t="shared" si="5"/>
        <v>6.5373438781957098</v>
      </c>
      <c r="X47" s="257">
        <f t="shared" si="5"/>
        <v>7.2564517047972386</v>
      </c>
      <c r="Y47" s="257">
        <f t="shared" si="5"/>
        <v>8.163508167896893</v>
      </c>
      <c r="Z47" s="257">
        <f t="shared" si="5"/>
        <v>9.0614940663655528</v>
      </c>
      <c r="AA47" s="257">
        <f t="shared" si="5"/>
        <v>9.9241483014835534</v>
      </c>
      <c r="AB47" s="257">
        <f t="shared" si="5"/>
        <v>10.718080165602238</v>
      </c>
      <c r="AC47" s="257">
        <f t="shared" si="5"/>
        <v>11.575526578850418</v>
      </c>
      <c r="AD47" s="257">
        <f t="shared" si="5"/>
        <v>12.501568705158453</v>
      </c>
      <c r="AE47" s="270">
        <f t="shared" si="5"/>
        <v>13.50169420157113</v>
      </c>
      <c r="AF47" s="270">
        <f t="shared" si="5"/>
        <v>14.581829737696822</v>
      </c>
    </row>
    <row r="50" spans="1:31" ht="18" x14ac:dyDescent="0.25">
      <c r="A50" s="175" t="s">
        <v>121</v>
      </c>
    </row>
    <row r="51" spans="1:31" ht="18" x14ac:dyDescent="0.25">
      <c r="A51" s="175"/>
      <c r="B51" s="296" t="s">
        <v>214</v>
      </c>
    </row>
    <row r="52" spans="1:31" ht="51.75" x14ac:dyDescent="0.25">
      <c r="A52" s="579" t="s">
        <v>255</v>
      </c>
      <c r="B52" s="578" t="s">
        <v>213</v>
      </c>
    </row>
    <row r="53" spans="1:31" ht="18" x14ac:dyDescent="0.25">
      <c r="A53" s="175"/>
      <c r="B53" s="473" t="s">
        <v>215</v>
      </c>
    </row>
    <row r="54" spans="1:31" ht="18" x14ac:dyDescent="0.25">
      <c r="A54" s="175"/>
      <c r="L54" s="112">
        <v>1</v>
      </c>
      <c r="M54" s="112">
        <v>2</v>
      </c>
      <c r="N54" s="112">
        <v>3</v>
      </c>
      <c r="O54" s="112">
        <v>4</v>
      </c>
      <c r="P54" s="112">
        <v>5</v>
      </c>
      <c r="Q54" s="112">
        <v>6</v>
      </c>
      <c r="R54" s="112">
        <v>7</v>
      </c>
      <c r="S54" s="112">
        <v>8</v>
      </c>
      <c r="T54" s="112">
        <v>9</v>
      </c>
      <c r="U54" s="112">
        <v>10</v>
      </c>
      <c r="V54" s="112">
        <v>11</v>
      </c>
      <c r="W54" s="112">
        <v>12</v>
      </c>
      <c r="X54" s="112">
        <v>13</v>
      </c>
      <c r="Y54" s="112">
        <v>14</v>
      </c>
      <c r="Z54" s="112">
        <v>15</v>
      </c>
      <c r="AA54" s="112">
        <v>16</v>
      </c>
      <c r="AB54" s="112">
        <v>17</v>
      </c>
      <c r="AC54" s="112">
        <v>18</v>
      </c>
      <c r="AD54" s="112">
        <v>19</v>
      </c>
    </row>
    <row r="55" spans="1:31" s="112" customFormat="1" ht="13.5" thickBot="1" x14ac:dyDescent="0.25">
      <c r="C55" s="112">
        <v>2005</v>
      </c>
      <c r="D55" s="112">
        <v>2006</v>
      </c>
      <c r="E55" s="112">
        <v>2007</v>
      </c>
      <c r="F55" s="112">
        <v>2008</v>
      </c>
      <c r="G55" s="112">
        <v>2009</v>
      </c>
      <c r="H55" s="112">
        <v>2010</v>
      </c>
      <c r="I55" s="112">
        <v>2011</v>
      </c>
      <c r="J55" s="112">
        <v>2012</v>
      </c>
      <c r="K55" s="112">
        <v>2013</v>
      </c>
      <c r="L55" s="278">
        <v>2014</v>
      </c>
      <c r="M55" s="112">
        <v>2015</v>
      </c>
      <c r="N55" s="112">
        <v>2016</v>
      </c>
      <c r="O55" s="112">
        <v>2017</v>
      </c>
      <c r="P55" s="112">
        <v>2018</v>
      </c>
      <c r="Q55" s="112">
        <v>2019</v>
      </c>
      <c r="R55" s="112">
        <v>2020</v>
      </c>
      <c r="S55" s="112">
        <v>2021</v>
      </c>
      <c r="T55" s="112">
        <v>2022</v>
      </c>
      <c r="U55" s="112">
        <v>2023</v>
      </c>
      <c r="V55" s="112">
        <v>2024</v>
      </c>
      <c r="W55" s="112">
        <v>2025</v>
      </c>
      <c r="X55" s="112">
        <v>2026</v>
      </c>
      <c r="Y55" s="112">
        <v>2027</v>
      </c>
      <c r="Z55" s="112">
        <v>2028</v>
      </c>
      <c r="AA55" s="112">
        <v>2029</v>
      </c>
      <c r="AB55" s="112">
        <v>2030</v>
      </c>
      <c r="AC55" s="112">
        <v>2031</v>
      </c>
      <c r="AE55" t="s">
        <v>221</v>
      </c>
    </row>
    <row r="56" spans="1:31" ht="18.75" thickBot="1" x14ac:dyDescent="0.3">
      <c r="A56" s="175"/>
      <c r="B56" s="112" t="s">
        <v>86</v>
      </c>
      <c r="C56">
        <v>1</v>
      </c>
      <c r="D56" s="206">
        <v>17</v>
      </c>
      <c r="E56">
        <v>-30</v>
      </c>
      <c r="F56">
        <v>16</v>
      </c>
      <c r="G56">
        <v>-3</v>
      </c>
      <c r="H56">
        <v>-4</v>
      </c>
      <c r="I56">
        <v>1</v>
      </c>
      <c r="J56">
        <v>0.47</v>
      </c>
      <c r="K56">
        <v>6</v>
      </c>
      <c r="L56" s="476">
        <v>-6.9</v>
      </c>
      <c r="M56" s="477">
        <v>-16.5</v>
      </c>
      <c r="N56" s="475">
        <v>-12</v>
      </c>
      <c r="O56" s="488">
        <v>-10</v>
      </c>
      <c r="P56" s="475">
        <v>0</v>
      </c>
      <c r="Q56" s="475">
        <f>$AD56</f>
        <v>0</v>
      </c>
      <c r="R56" s="475">
        <f t="shared" ref="R56:AC57" si="6">$AD56</f>
        <v>0</v>
      </c>
      <c r="S56" s="475">
        <f t="shared" si="6"/>
        <v>0</v>
      </c>
      <c r="T56" s="475">
        <f t="shared" si="6"/>
        <v>0</v>
      </c>
      <c r="U56" s="475">
        <f t="shared" si="6"/>
        <v>0</v>
      </c>
      <c r="V56" s="475">
        <f t="shared" si="6"/>
        <v>0</v>
      </c>
      <c r="W56" s="475">
        <f t="shared" si="6"/>
        <v>0</v>
      </c>
      <c r="X56" s="475">
        <f t="shared" si="6"/>
        <v>0</v>
      </c>
      <c r="Y56" s="475">
        <f t="shared" si="6"/>
        <v>0</v>
      </c>
      <c r="Z56" s="475">
        <f t="shared" si="6"/>
        <v>0</v>
      </c>
      <c r="AA56" s="475">
        <f t="shared" si="6"/>
        <v>0</v>
      </c>
      <c r="AB56" s="475">
        <f t="shared" si="6"/>
        <v>0</v>
      </c>
      <c r="AC56" s="475">
        <f t="shared" si="6"/>
        <v>0</v>
      </c>
      <c r="AD56" s="530">
        <v>0</v>
      </c>
      <c r="AE56" t="s">
        <v>224</v>
      </c>
    </row>
    <row r="57" spans="1:31" ht="18.75" thickBot="1" x14ac:dyDescent="0.3">
      <c r="A57" s="175"/>
      <c r="B57" s="112" t="s">
        <v>87</v>
      </c>
      <c r="C57">
        <v>1</v>
      </c>
      <c r="D57" s="206">
        <v>17</v>
      </c>
      <c r="E57">
        <v>-30</v>
      </c>
      <c r="F57">
        <v>16</v>
      </c>
      <c r="G57">
        <v>-3</v>
      </c>
      <c r="H57">
        <v>-4</v>
      </c>
      <c r="I57">
        <v>1</v>
      </c>
      <c r="J57">
        <v>0.47</v>
      </c>
      <c r="K57">
        <v>6</v>
      </c>
      <c r="L57" s="476">
        <v>-6.9</v>
      </c>
      <c r="M57" s="477">
        <v>-16.5</v>
      </c>
      <c r="N57" s="477">
        <v>-14</v>
      </c>
      <c r="O57" s="477">
        <v>-12</v>
      </c>
      <c r="P57" s="477">
        <f t="shared" ref="P57" si="7">$AD57</f>
        <v>0</v>
      </c>
      <c r="Q57" s="477">
        <f>$AD57</f>
        <v>0</v>
      </c>
      <c r="R57" s="477">
        <f t="shared" si="6"/>
        <v>0</v>
      </c>
      <c r="S57" s="477">
        <f t="shared" si="6"/>
        <v>0</v>
      </c>
      <c r="T57" s="477">
        <f t="shared" si="6"/>
        <v>0</v>
      </c>
      <c r="U57" s="477">
        <f t="shared" si="6"/>
        <v>0</v>
      </c>
      <c r="V57" s="477">
        <f t="shared" si="6"/>
        <v>0</v>
      </c>
      <c r="W57" s="477">
        <f t="shared" si="6"/>
        <v>0</v>
      </c>
      <c r="X57" s="477">
        <f t="shared" si="6"/>
        <v>0</v>
      </c>
      <c r="Y57" s="477">
        <f t="shared" si="6"/>
        <v>0</v>
      </c>
      <c r="Z57" s="477">
        <f t="shared" si="6"/>
        <v>0</v>
      </c>
      <c r="AA57" s="477">
        <f t="shared" si="6"/>
        <v>0</v>
      </c>
      <c r="AB57" s="477">
        <f t="shared" si="6"/>
        <v>0</v>
      </c>
      <c r="AC57" s="477">
        <f t="shared" si="6"/>
        <v>0</v>
      </c>
      <c r="AD57" s="530">
        <v>0</v>
      </c>
      <c r="AE57" t="s">
        <v>225</v>
      </c>
    </row>
    <row r="58" spans="1:31" ht="18.75" thickBot="1" x14ac:dyDescent="0.3">
      <c r="A58" s="175"/>
      <c r="B58" s="112" t="s">
        <v>88</v>
      </c>
      <c r="C58">
        <v>1</v>
      </c>
      <c r="D58" s="206">
        <v>17</v>
      </c>
      <c r="E58">
        <v>-30</v>
      </c>
      <c r="F58">
        <v>16</v>
      </c>
      <c r="G58">
        <v>-3</v>
      </c>
      <c r="H58">
        <v>-4</v>
      </c>
      <c r="I58">
        <v>1</v>
      </c>
      <c r="J58">
        <v>0.47</v>
      </c>
      <c r="K58">
        <v>6</v>
      </c>
      <c r="L58" s="476">
        <v>-6.9</v>
      </c>
      <c r="M58" s="477">
        <v>-16.5</v>
      </c>
      <c r="N58" s="478">
        <v>-16</v>
      </c>
      <c r="O58" s="489">
        <v>-14</v>
      </c>
      <c r="P58" s="478">
        <v>-5</v>
      </c>
      <c r="Q58" s="475">
        <f>$AD58</f>
        <v>0</v>
      </c>
      <c r="R58" s="475">
        <f t="shared" ref="R58:AC58" si="8">$AD58</f>
        <v>0</v>
      </c>
      <c r="S58" s="475">
        <f t="shared" si="8"/>
        <v>0</v>
      </c>
      <c r="T58" s="475">
        <f t="shared" si="8"/>
        <v>0</v>
      </c>
      <c r="U58" s="475">
        <f t="shared" si="8"/>
        <v>0</v>
      </c>
      <c r="V58" s="475">
        <f t="shared" si="8"/>
        <v>0</v>
      </c>
      <c r="W58" s="475">
        <f t="shared" si="8"/>
        <v>0</v>
      </c>
      <c r="X58" s="475">
        <f t="shared" si="8"/>
        <v>0</v>
      </c>
      <c r="Y58" s="475">
        <f t="shared" si="8"/>
        <v>0</v>
      </c>
      <c r="Z58" s="475">
        <f t="shared" si="8"/>
        <v>0</v>
      </c>
      <c r="AA58" s="475">
        <f t="shared" si="8"/>
        <v>0</v>
      </c>
      <c r="AB58" s="475">
        <f t="shared" si="8"/>
        <v>0</v>
      </c>
      <c r="AC58" s="475">
        <f t="shared" si="8"/>
        <v>0</v>
      </c>
      <c r="AD58" s="530">
        <v>0</v>
      </c>
      <c r="AE58" t="s">
        <v>226</v>
      </c>
    </row>
    <row r="59" spans="1:31" ht="18" x14ac:dyDescent="0.25">
      <c r="A59" s="175"/>
    </row>
    <row r="60" spans="1:31" s="112" customFormat="1" x14ac:dyDescent="0.2">
      <c r="D60" s="484"/>
      <c r="E60" s="484"/>
      <c r="F60" s="484"/>
      <c r="G60" s="484"/>
      <c r="H60" s="484"/>
      <c r="I60" s="484"/>
      <c r="J60" s="484"/>
      <c r="K60" s="484"/>
    </row>
    <row r="61" spans="1:31" s="112" customFormat="1" x14ac:dyDescent="0.2">
      <c r="B61" s="296" t="s">
        <v>94</v>
      </c>
    </row>
    <row r="62" spans="1:31" s="112" customFormat="1" ht="39" x14ac:dyDescent="0.25">
      <c r="A62" s="579" t="s">
        <v>255</v>
      </c>
      <c r="B62" s="578" t="s">
        <v>104</v>
      </c>
    </row>
    <row r="63" spans="1:31" s="112" customFormat="1" x14ac:dyDescent="0.2"/>
    <row r="64" spans="1:31" s="112" customFormat="1" x14ac:dyDescent="0.2">
      <c r="C64" s="112">
        <v>2005</v>
      </c>
      <c r="D64" s="112">
        <v>2006</v>
      </c>
      <c r="E64" s="112">
        <v>2007</v>
      </c>
      <c r="F64" s="112">
        <v>2008</v>
      </c>
      <c r="G64" s="112">
        <v>2009</v>
      </c>
      <c r="H64" s="112">
        <v>2010</v>
      </c>
      <c r="I64" s="112">
        <v>2011</v>
      </c>
      <c r="J64" s="112">
        <v>2012</v>
      </c>
      <c r="K64" s="112">
        <v>2013</v>
      </c>
      <c r="L64" s="278">
        <v>2014</v>
      </c>
      <c r="M64" s="112">
        <v>2015</v>
      </c>
      <c r="N64" s="112">
        <v>2016</v>
      </c>
      <c r="O64" s="112">
        <v>2017</v>
      </c>
      <c r="P64" s="112">
        <v>2018</v>
      </c>
      <c r="Q64" s="112">
        <v>2019</v>
      </c>
      <c r="R64" s="112">
        <v>2020</v>
      </c>
      <c r="S64" s="112">
        <v>2021</v>
      </c>
      <c r="T64" s="112">
        <v>2022</v>
      </c>
      <c r="U64" s="112">
        <v>2023</v>
      </c>
      <c r="V64" s="112">
        <v>2024</v>
      </c>
      <c r="W64" s="112">
        <v>2025</v>
      </c>
      <c r="X64" s="112">
        <v>2026</v>
      </c>
      <c r="Y64" s="112">
        <v>2027</v>
      </c>
      <c r="Z64" s="112">
        <v>2028</v>
      </c>
      <c r="AA64" s="112">
        <v>2029</v>
      </c>
      <c r="AB64" s="112">
        <v>2030</v>
      </c>
      <c r="AC64" s="112">
        <v>2031</v>
      </c>
    </row>
    <row r="65" spans="1:29" s="112" customFormat="1" x14ac:dyDescent="0.2">
      <c r="B65" s="112" t="s">
        <v>86</v>
      </c>
      <c r="C65" s="364">
        <f>КраевойБюджет!C8</f>
        <v>33585776.235210001</v>
      </c>
      <c r="D65" s="280">
        <f>КраевойБюджет!D8</f>
        <v>39167286.839988932</v>
      </c>
      <c r="E65" s="280">
        <f>КраевойБюджет!E8</f>
        <v>27379509.368244231</v>
      </c>
      <c r="F65" s="280">
        <f>КраевойБюджет!F8</f>
        <v>31676706.611537285</v>
      </c>
      <c r="G65" s="280">
        <f>КраевойБюджет!G8</f>
        <v>30884021.422203209</v>
      </c>
      <c r="H65" s="280">
        <f>КраевойБюджет!H8</f>
        <v>29690383.964994628</v>
      </c>
      <c r="I65" s="280">
        <f>КраевойБюджет!I8</f>
        <v>29894901.036304787</v>
      </c>
      <c r="J65" s="280">
        <f>КраевойБюджет!J8</f>
        <v>29755611.059312005</v>
      </c>
      <c r="K65" s="280">
        <f>КраевойБюджет!K8</f>
        <v>31394746.305438485</v>
      </c>
      <c r="L65" s="383">
        <f t="shared" ref="L65:M65" si="9">$K65*(1+0.01*INDEX(ScenTempRostDohBud,1,L$54))</f>
        <v>29228508.810363229</v>
      </c>
      <c r="M65" s="200">
        <f t="shared" si="9"/>
        <v>26214613.165041134</v>
      </c>
      <c r="N65" s="200">
        <f t="shared" ref="N65:AC65" si="10">M65*(1+0.01*INDEX(ScenTempRostDohBud,1,N$54))</f>
        <v>23068859.585236199</v>
      </c>
      <c r="O65" s="200">
        <f t="shared" si="10"/>
        <v>20761973.626712579</v>
      </c>
      <c r="P65" s="200">
        <f t="shared" si="10"/>
        <v>20761973.626712579</v>
      </c>
      <c r="Q65" s="200">
        <f t="shared" si="10"/>
        <v>20761973.626712579</v>
      </c>
      <c r="R65" s="200">
        <f t="shared" si="10"/>
        <v>20761973.626712579</v>
      </c>
      <c r="S65" s="200">
        <f t="shared" si="10"/>
        <v>20761973.626712579</v>
      </c>
      <c r="T65" s="200">
        <f t="shared" si="10"/>
        <v>20761973.626712579</v>
      </c>
      <c r="U65" s="200">
        <f t="shared" si="10"/>
        <v>20761973.626712579</v>
      </c>
      <c r="V65" s="200">
        <f t="shared" si="10"/>
        <v>20761973.626712579</v>
      </c>
      <c r="W65" s="200">
        <f t="shared" si="10"/>
        <v>20761973.626712579</v>
      </c>
      <c r="X65" s="200">
        <f t="shared" si="10"/>
        <v>20761973.626712579</v>
      </c>
      <c r="Y65" s="200">
        <f t="shared" si="10"/>
        <v>20761973.626712579</v>
      </c>
      <c r="Z65" s="200">
        <f t="shared" si="10"/>
        <v>20761973.626712579</v>
      </c>
      <c r="AA65" s="200">
        <f t="shared" si="10"/>
        <v>20761973.626712579</v>
      </c>
      <c r="AB65" s="200">
        <f t="shared" si="10"/>
        <v>20761973.626712579</v>
      </c>
      <c r="AC65" s="200">
        <f t="shared" si="10"/>
        <v>20761973.626712579</v>
      </c>
    </row>
    <row r="66" spans="1:29" s="112" customFormat="1" x14ac:dyDescent="0.2">
      <c r="B66" s="112" t="s">
        <v>87</v>
      </c>
      <c r="C66" s="364">
        <f>КраевойБюджет!C8</f>
        <v>33585776.235210001</v>
      </c>
      <c r="D66" s="280">
        <f>КраевойБюджет!D8</f>
        <v>39167286.839988932</v>
      </c>
      <c r="E66" s="280">
        <f>КраевойБюджет!E8</f>
        <v>27379509.368244231</v>
      </c>
      <c r="F66" s="280">
        <f>КраевойБюджет!F8</f>
        <v>31676706.611537285</v>
      </c>
      <c r="G66" s="280">
        <f>КраевойБюджет!G8</f>
        <v>30884021.422203209</v>
      </c>
      <c r="H66" s="280">
        <f>КраевойБюджет!H8</f>
        <v>29690383.964994628</v>
      </c>
      <c r="I66" s="280">
        <f>КраевойБюджет!I8</f>
        <v>29894901.036304787</v>
      </c>
      <c r="J66" s="280">
        <f>КраевойБюджет!J8</f>
        <v>29755611.059312005</v>
      </c>
      <c r="K66" s="280">
        <f>КраевойБюджет!K8</f>
        <v>31394746.305438485</v>
      </c>
      <c r="L66" s="383">
        <f t="shared" ref="L66:M66" si="11">$K66*(1+0.01*INDEX(ScenTempRostDohBud,2,L$54))</f>
        <v>29228508.810363229</v>
      </c>
      <c r="M66" s="200">
        <f t="shared" si="11"/>
        <v>26214613.165041134</v>
      </c>
      <c r="N66" s="200">
        <f t="shared" ref="N66:AC66" si="12">M66*(1+0.01*INDEX(ScenTempRostDohBud,2,N$54))</f>
        <v>22544567.321935374</v>
      </c>
      <c r="O66" s="200">
        <f t="shared" si="12"/>
        <v>19839219.243303131</v>
      </c>
      <c r="P66" s="200">
        <f t="shared" si="12"/>
        <v>19839219.243303131</v>
      </c>
      <c r="Q66" s="200">
        <f t="shared" si="12"/>
        <v>19839219.243303131</v>
      </c>
      <c r="R66" s="200">
        <f t="shared" si="12"/>
        <v>19839219.243303131</v>
      </c>
      <c r="S66" s="200">
        <f t="shared" si="12"/>
        <v>19839219.243303131</v>
      </c>
      <c r="T66" s="200">
        <f t="shared" si="12"/>
        <v>19839219.243303131</v>
      </c>
      <c r="U66" s="200">
        <f t="shared" si="12"/>
        <v>19839219.243303131</v>
      </c>
      <c r="V66" s="200">
        <f t="shared" si="12"/>
        <v>19839219.243303131</v>
      </c>
      <c r="W66" s="200">
        <f t="shared" si="12"/>
        <v>19839219.243303131</v>
      </c>
      <c r="X66" s="200">
        <f t="shared" si="12"/>
        <v>19839219.243303131</v>
      </c>
      <c r="Y66" s="200">
        <f t="shared" si="12"/>
        <v>19839219.243303131</v>
      </c>
      <c r="Z66" s="200">
        <f t="shared" si="12"/>
        <v>19839219.243303131</v>
      </c>
      <c r="AA66" s="200">
        <f t="shared" si="12"/>
        <v>19839219.243303131</v>
      </c>
      <c r="AB66" s="200">
        <f t="shared" si="12"/>
        <v>19839219.243303131</v>
      </c>
      <c r="AC66" s="200">
        <f t="shared" si="12"/>
        <v>19839219.243303131</v>
      </c>
    </row>
    <row r="67" spans="1:29" s="112" customFormat="1" x14ac:dyDescent="0.2">
      <c r="A67" s="297"/>
      <c r="B67" s="112" t="s">
        <v>88</v>
      </c>
      <c r="C67" s="364">
        <f>КраевойБюджет!C8</f>
        <v>33585776.235210001</v>
      </c>
      <c r="D67" s="280">
        <f>КраевойБюджет!D8</f>
        <v>39167286.839988932</v>
      </c>
      <c r="E67" s="280">
        <f>КраевойБюджет!E8</f>
        <v>27379509.368244231</v>
      </c>
      <c r="F67" s="280">
        <f>КраевойБюджет!F8</f>
        <v>31676706.611537285</v>
      </c>
      <c r="G67" s="280">
        <f>КраевойБюджет!G8</f>
        <v>30884021.422203209</v>
      </c>
      <c r="H67" s="280">
        <f>КраевойБюджет!H8</f>
        <v>29690383.964994628</v>
      </c>
      <c r="I67" s="280">
        <f>КраевойБюджет!I8</f>
        <v>29894901.036304787</v>
      </c>
      <c r="J67" s="280">
        <f>КраевойБюджет!J8</f>
        <v>29755611.059312005</v>
      </c>
      <c r="K67" s="280">
        <f>КраевойБюджет!K8</f>
        <v>31394746.305438485</v>
      </c>
      <c r="L67" s="383">
        <f t="shared" ref="L67:M67" si="13">$K67*(1+0.01*INDEX(ScenTempRostDohBud,3,L$54))</f>
        <v>29228508.810363229</v>
      </c>
      <c r="M67" s="200">
        <f t="shared" si="13"/>
        <v>26214613.165041134</v>
      </c>
      <c r="N67" s="200">
        <f t="shared" ref="N67:AC67" si="14">M67*(1+0.01*INDEX(ScenTempRostDohBud,3,N$54))</f>
        <v>22020275.058634553</v>
      </c>
      <c r="O67" s="200">
        <f t="shared" si="14"/>
        <v>18937436.550425716</v>
      </c>
      <c r="P67" s="200">
        <f t="shared" si="14"/>
        <v>17990564.722904429</v>
      </c>
      <c r="Q67" s="200">
        <f t="shared" si="14"/>
        <v>17990564.722904429</v>
      </c>
      <c r="R67" s="200">
        <f t="shared" si="14"/>
        <v>17990564.722904429</v>
      </c>
      <c r="S67" s="200">
        <f t="shared" si="14"/>
        <v>17990564.722904429</v>
      </c>
      <c r="T67" s="200">
        <f t="shared" si="14"/>
        <v>17990564.722904429</v>
      </c>
      <c r="U67" s="200">
        <f t="shared" si="14"/>
        <v>17990564.722904429</v>
      </c>
      <c r="V67" s="200">
        <f t="shared" si="14"/>
        <v>17990564.722904429</v>
      </c>
      <c r="W67" s="200">
        <f t="shared" si="14"/>
        <v>17990564.722904429</v>
      </c>
      <c r="X67" s="200">
        <f t="shared" si="14"/>
        <v>17990564.722904429</v>
      </c>
      <c r="Y67" s="200">
        <f t="shared" si="14"/>
        <v>17990564.722904429</v>
      </c>
      <c r="Z67" s="200">
        <f t="shared" si="14"/>
        <v>17990564.722904429</v>
      </c>
      <c r="AA67" s="200">
        <f t="shared" si="14"/>
        <v>17990564.722904429</v>
      </c>
      <c r="AB67" s="200">
        <f t="shared" si="14"/>
        <v>17990564.722904429</v>
      </c>
      <c r="AC67" s="200">
        <f t="shared" si="14"/>
        <v>17990564.722904429</v>
      </c>
    </row>
    <row r="68" spans="1:29" s="112" customFormat="1" x14ac:dyDescent="0.2"/>
    <row r="70" spans="1:29" s="112" customFormat="1" x14ac:dyDescent="0.2">
      <c r="A70" s="297"/>
      <c r="B70" s="301" t="s">
        <v>95</v>
      </c>
    </row>
    <row r="71" spans="1:29" s="112" customFormat="1" ht="39" x14ac:dyDescent="0.25">
      <c r="A71" s="579" t="s">
        <v>255</v>
      </c>
      <c r="B71" s="578" t="s">
        <v>122</v>
      </c>
    </row>
    <row r="72" spans="1:29" s="112" customFormat="1" x14ac:dyDescent="0.2">
      <c r="A72" s="297"/>
      <c r="D72" s="112">
        <v>1</v>
      </c>
      <c r="E72" s="112">
        <v>2</v>
      </c>
      <c r="F72" s="112">
        <v>3</v>
      </c>
      <c r="G72" s="112">
        <v>4</v>
      </c>
      <c r="H72" s="112">
        <v>5</v>
      </c>
      <c r="I72" s="112">
        <v>6</v>
      </c>
      <c r="J72" s="112">
        <v>7</v>
      </c>
      <c r="K72" s="112">
        <v>8</v>
      </c>
      <c r="L72" s="112">
        <v>9</v>
      </c>
      <c r="M72" s="112">
        <v>10</v>
      </c>
      <c r="N72" s="112">
        <v>11</v>
      </c>
      <c r="O72" s="112">
        <v>12</v>
      </c>
      <c r="P72" s="112">
        <v>13</v>
      </c>
      <c r="Q72" s="112">
        <v>14</v>
      </c>
      <c r="R72" s="112">
        <v>15</v>
      </c>
      <c r="S72" s="112">
        <v>16</v>
      </c>
      <c r="T72" s="112">
        <v>17</v>
      </c>
      <c r="U72" s="112">
        <v>18</v>
      </c>
      <c r="V72" s="112">
        <v>19</v>
      </c>
      <c r="W72" s="112">
        <v>20</v>
      </c>
      <c r="X72" s="112">
        <v>21</v>
      </c>
      <c r="Y72" s="112">
        <v>22</v>
      </c>
      <c r="Z72" s="112">
        <v>23</v>
      </c>
      <c r="AA72" s="112">
        <v>24</v>
      </c>
      <c r="AB72" s="112">
        <v>25</v>
      </c>
      <c r="AC72" s="112">
        <v>26</v>
      </c>
    </row>
    <row r="73" spans="1:29" s="112" customFormat="1" ht="13.5" thickBot="1" x14ac:dyDescent="0.25">
      <c r="A73" s="297"/>
      <c r="C73" s="112">
        <v>2005</v>
      </c>
      <c r="D73" s="112">
        <v>2006</v>
      </c>
      <c r="E73" s="112">
        <v>2007</v>
      </c>
      <c r="F73" s="112">
        <v>2008</v>
      </c>
      <c r="G73" s="112">
        <v>2009</v>
      </c>
      <c r="H73" s="112">
        <v>2010</v>
      </c>
      <c r="I73" s="112">
        <v>2011</v>
      </c>
      <c r="J73" s="112">
        <v>2012</v>
      </c>
      <c r="K73" s="112">
        <v>2013</v>
      </c>
      <c r="L73" s="112">
        <v>2014</v>
      </c>
      <c r="M73" s="112">
        <v>2015</v>
      </c>
      <c r="N73" s="112">
        <v>2016</v>
      </c>
      <c r="O73" s="112">
        <v>2017</v>
      </c>
      <c r="P73" s="200">
        <v>2018</v>
      </c>
      <c r="Q73" s="112">
        <v>2019</v>
      </c>
      <c r="R73" s="112">
        <v>2020</v>
      </c>
      <c r="S73" s="112">
        <v>2021</v>
      </c>
      <c r="T73" s="112">
        <v>2022</v>
      </c>
      <c r="U73" s="112">
        <v>2023</v>
      </c>
      <c r="V73" s="112">
        <v>2024</v>
      </c>
      <c r="W73" s="112">
        <v>2025</v>
      </c>
      <c r="X73" s="112">
        <v>2026</v>
      </c>
      <c r="Y73" s="112">
        <v>2027</v>
      </c>
      <c r="Z73" s="112">
        <v>2028</v>
      </c>
      <c r="AA73" s="112">
        <v>2029</v>
      </c>
      <c r="AB73" s="112">
        <v>2030</v>
      </c>
      <c r="AC73" s="112">
        <v>2031</v>
      </c>
    </row>
    <row r="74" spans="1:29" s="112" customFormat="1" ht="13.5" thickBot="1" x14ac:dyDescent="0.25">
      <c r="A74" s="297"/>
      <c r="B74" s="112" t="s">
        <v>86</v>
      </c>
      <c r="C74" s="365">
        <f>C65</f>
        <v>33585776.235210001</v>
      </c>
      <c r="D74" s="302">
        <f>D65*INDEX(KumIndBud,[1]!NscenInfl,D$72)</f>
        <v>42459297.298890002</v>
      </c>
      <c r="E74" s="302">
        <f>E65*INDEX(KumIndBud,[1]!NscenInfl,E$72)</f>
        <v>33123724.957800001</v>
      </c>
      <c r="F74" s="302">
        <f>F65*INDEX(KumIndBud,[1]!NscenInfl,F$72)</f>
        <v>44036354.095799997</v>
      </c>
      <c r="G74" s="302">
        <f>G65*INDEX(KumIndBud,[1]!NscenInfl,G$72)</f>
        <v>47257870.135480002</v>
      </c>
      <c r="H74" s="302">
        <f>H65*INDEX(KumIndBud,[1]!NscenInfl,H$72)</f>
        <v>50506086.618670002</v>
      </c>
      <c r="I74" s="302">
        <f>I65*INDEX(KumIndBud,[1]!NscenInfl,I$72)</f>
        <v>56402159.260959998</v>
      </c>
      <c r="J74" s="302">
        <f>J65*INDEX(KumIndBud,[1]!NscenInfl,J$72)</f>
        <v>61824877.457449995</v>
      </c>
      <c r="K74" s="302">
        <f>K65*INDEX(KumIndBud,[1]!NscenInfl,K$72)</f>
        <v>71205722.240079999</v>
      </c>
      <c r="L74" s="533">
        <f>L65*INDEX(KumIndBud,[1]!NscenInfl,L$72)</f>
        <v>73816729.26604037</v>
      </c>
      <c r="M74" s="302">
        <f>M65*INDEX(KumIndBud,[1]!NscenInfl,M$72)</f>
        <v>75904172.810349375</v>
      </c>
      <c r="N74" s="302">
        <f>N65*INDEX(KumIndBud,[1]!NscenInfl,N$72)</f>
        <v>77933850.391298115</v>
      </c>
      <c r="O74" s="302">
        <f>O65*INDEX(KumIndBud,[1]!NscenInfl,O$72)</f>
        <v>82309836.0907695</v>
      </c>
      <c r="P74" s="302">
        <f>P65*INDEX(KumIndBud,[1]!NscenInfl,P$72)</f>
        <v>94121297.569794923</v>
      </c>
      <c r="Q74" s="302">
        <f>Q65*INDEX(KumIndBud,[1]!NscenInfl,Q$72)</f>
        <v>105133489.38546093</v>
      </c>
      <c r="R74" s="302">
        <f>R65*INDEX(KumIndBud,[1]!NscenInfl,R$72)</f>
        <v>115331437.85585064</v>
      </c>
      <c r="S74" s="302">
        <f>S65*INDEX(KumIndBud,[1]!NscenInfl,S$72)</f>
        <v>124615618.60324663</v>
      </c>
      <c r="T74" s="302">
        <f>T65*INDEX(KumIndBud,[1]!NscenInfl,T$72)</f>
        <v>133837174.37988688</v>
      </c>
      <c r="U74" s="302">
        <f>U65*INDEX(KumIndBud,[1]!NscenInfl,U$72)</f>
        <v>145414089.96374708</v>
      </c>
      <c r="V74" s="302">
        <f>V65*INDEX(KumIndBud,[1]!NscenInfl,V$72)</f>
        <v>159446549.64524871</v>
      </c>
      <c r="W74" s="302">
        <f>W65*INDEX(KumIndBud,[1]!NscenInfl,W$72)</f>
        <v>174354802.03707945</v>
      </c>
      <c r="X74" s="302">
        <f>X65*INDEX(KumIndBud,[1]!NscenInfl,X$72)</f>
        <v>190496569.60967225</v>
      </c>
      <c r="Y74" s="302">
        <f>Y65*INDEX(KumIndBud,[1]!NscenInfl,Y$72)</f>
        <v>204498067.47598314</v>
      </c>
      <c r="Z74" s="302">
        <f>Z65*INDEX(KumIndBud,[1]!NscenInfl,Z$72)</f>
        <v>217483694.76070803</v>
      </c>
      <c r="AA74" s="302">
        <f>AA65*INDEX(KumIndBud,[1]!NscenInfl,AA$72)</f>
        <v>231293909.37801298</v>
      </c>
      <c r="AB74" s="302">
        <f>AB65*INDEX(KumIndBud,[1]!NscenInfl,AB$72)</f>
        <v>245981072.62351677</v>
      </c>
      <c r="AC74" s="302">
        <f>AC65*INDEX(KumIndBud,[1]!NscenInfl,AC$72)</f>
        <v>261600870.73511007</v>
      </c>
    </row>
    <row r="75" spans="1:29" s="112" customFormat="1" ht="13.5" thickBot="1" x14ac:dyDescent="0.25">
      <c r="A75" s="297"/>
      <c r="B75" s="112" t="s">
        <v>87</v>
      </c>
      <c r="C75" s="365">
        <f t="shared" ref="C75:C76" si="15">C66</f>
        <v>33585776.235210001</v>
      </c>
      <c r="D75" s="302">
        <f>D66*INDEX(KumIndBud,[1]!NscenInfl,D$72)</f>
        <v>42459297.298890002</v>
      </c>
      <c r="E75" s="302">
        <f>E66*INDEX(KumIndBud,[1]!NscenInfl,E$72)</f>
        <v>33123724.957800001</v>
      </c>
      <c r="F75" s="302">
        <f>F66*INDEX(KumIndBud,[1]!NscenInfl,F$72)</f>
        <v>44036354.095799997</v>
      </c>
      <c r="G75" s="302">
        <f>G66*INDEX(KumIndBud,[1]!NscenInfl,G$72)</f>
        <v>47257870.135480002</v>
      </c>
      <c r="H75" s="302">
        <f>H66*INDEX(KumIndBud,[1]!NscenInfl,H$72)</f>
        <v>50506086.618670002</v>
      </c>
      <c r="I75" s="302">
        <f>I66*INDEX(KumIndBud,[1]!NscenInfl,I$72)</f>
        <v>56402159.260959998</v>
      </c>
      <c r="J75" s="302">
        <f>J66*INDEX(KumIndBud,[1]!NscenInfl,J$72)</f>
        <v>61824877.457449995</v>
      </c>
      <c r="K75" s="302">
        <f>K66*INDEX(KumIndBud,[1]!NscenInfl,K$72)</f>
        <v>71205722.240079999</v>
      </c>
      <c r="L75" s="533">
        <f>L66*INDEX(KumIndBud,[1]!NscenInfl,L$72)</f>
        <v>73816729.26604037</v>
      </c>
      <c r="M75" s="302">
        <f>M66*INDEX(KumIndBud,[1]!NscenInfl,M$72)</f>
        <v>75904172.810349375</v>
      </c>
      <c r="N75" s="302">
        <f>N66*INDEX(KumIndBud,[1]!NscenInfl,N$72)</f>
        <v>76162626.518768609</v>
      </c>
      <c r="O75" s="302">
        <f>O66*INDEX(KumIndBud,[1]!NscenInfl,O$72)</f>
        <v>78651621.153401971</v>
      </c>
      <c r="P75" s="302">
        <f>P66*INDEX(KumIndBud,[1]!NscenInfl,P$72)</f>
        <v>89938128.788915157</v>
      </c>
      <c r="Q75" s="302">
        <f>Q66*INDEX(KumIndBud,[1]!NscenInfl,Q$72)</f>
        <v>100460889.85721822</v>
      </c>
      <c r="R75" s="302">
        <f>R66*INDEX(KumIndBud,[1]!NscenInfl,R$72)</f>
        <v>110205596.17336839</v>
      </c>
      <c r="S75" s="302">
        <f>S66*INDEX(KumIndBud,[1]!NscenInfl,S$72)</f>
        <v>119077146.66532455</v>
      </c>
      <c r="T75" s="302">
        <f>T66*INDEX(KumIndBud,[1]!NscenInfl,T$72)</f>
        <v>127888855.51855858</v>
      </c>
      <c r="U75" s="302">
        <f>U66*INDEX(KumIndBud,[1]!NscenInfl,U$72)</f>
        <v>138951241.5209139</v>
      </c>
      <c r="V75" s="302">
        <f>V66*INDEX(KumIndBud,[1]!NscenInfl,V$72)</f>
        <v>152360036.32768208</v>
      </c>
      <c r="W75" s="302">
        <f>W66*INDEX(KumIndBud,[1]!NscenInfl,W$72)</f>
        <v>166605699.72432035</v>
      </c>
      <c r="X75" s="302">
        <f>X66*INDEX(KumIndBud,[1]!NscenInfl,X$72)</f>
        <v>182030055.40479791</v>
      </c>
      <c r="Y75" s="302">
        <f>Y66*INDEX(KumIndBud,[1]!NscenInfl,Y$72)</f>
        <v>195409264.47705057</v>
      </c>
      <c r="Z75" s="302">
        <f>Z66*INDEX(KumIndBud,[1]!NscenInfl,Z$72)</f>
        <v>207817752.77134323</v>
      </c>
      <c r="AA75" s="302">
        <f>AA66*INDEX(KumIndBud,[1]!NscenInfl,AA$72)</f>
        <v>221014180.07232353</v>
      </c>
      <c r="AB75" s="302">
        <f>AB66*INDEX(KumIndBud,[1]!NscenInfl,AB$72)</f>
        <v>235048580.50691605</v>
      </c>
      <c r="AC75" s="302">
        <f>AC66*INDEX(KumIndBud,[1]!NscenInfl,AC$72)</f>
        <v>249974165.36910519</v>
      </c>
    </row>
    <row r="76" spans="1:29" s="112" customFormat="1" x14ac:dyDescent="0.2">
      <c r="A76" s="297"/>
      <c r="B76" s="112" t="s">
        <v>88</v>
      </c>
      <c r="C76" s="365">
        <f t="shared" si="15"/>
        <v>33585776.235210001</v>
      </c>
      <c r="D76" s="302">
        <f>D67*INDEX(KumIndBud,[1]!NscenInfl,D$72)</f>
        <v>42459297.298890002</v>
      </c>
      <c r="E76" s="302">
        <f>E67*INDEX(KumIndBud,[1]!NscenInfl,E$72)</f>
        <v>33123724.957800001</v>
      </c>
      <c r="F76" s="302">
        <f>F67*INDEX(KumIndBud,[1]!NscenInfl,F$72)</f>
        <v>44036354.095799997</v>
      </c>
      <c r="G76" s="302">
        <f>G67*INDEX(KumIndBud,[1]!NscenInfl,G$72)</f>
        <v>47257870.135480002</v>
      </c>
      <c r="H76" s="302">
        <f>H67*INDEX(KumIndBud,[1]!NscenInfl,H$72)</f>
        <v>50506086.618670002</v>
      </c>
      <c r="I76" s="302">
        <f>I67*INDEX(KumIndBud,[1]!NscenInfl,I$72)</f>
        <v>56402159.260959998</v>
      </c>
      <c r="J76" s="302">
        <f>J67*INDEX(KumIndBud,[1]!NscenInfl,J$72)</f>
        <v>61824877.457449995</v>
      </c>
      <c r="K76" s="302">
        <f>K67*INDEX(KumIndBud,[1]!NscenInfl,K$72)</f>
        <v>71205722.240079999</v>
      </c>
      <c r="L76" s="533">
        <f>L67*INDEX(KumIndBud,[1]!NscenInfl,L$72)</f>
        <v>73816729.26604037</v>
      </c>
      <c r="M76" s="302">
        <f>M67*INDEX(KumIndBud,[1]!NscenInfl,M$72)</f>
        <v>75904172.810349375</v>
      </c>
      <c r="N76" s="302">
        <f>N67*INDEX(KumIndBud,[1]!NscenInfl,N$72)</f>
        <v>74391402.646239102</v>
      </c>
      <c r="O76" s="302">
        <f>O67*INDEX(KumIndBud,[1]!NscenInfl,O$72)</f>
        <v>75076547.464610964</v>
      </c>
      <c r="P76" s="302">
        <f>P67*INDEX(KumIndBud,[1]!NscenInfl,P$72)</f>
        <v>81557530.424493507</v>
      </c>
      <c r="Q76" s="302">
        <f>Q67*INDEX(KumIndBud,[1]!NscenInfl,Q$72)</f>
        <v>91099761.484159246</v>
      </c>
      <c r="R76" s="302">
        <f>R67*INDEX(KumIndBud,[1]!NscenInfl,R$72)</f>
        <v>99936438.348122686</v>
      </c>
      <c r="S76" s="302">
        <f>S67*INDEX(KumIndBud,[1]!NscenInfl,S$72)</f>
        <v>107981321.63514657</v>
      </c>
      <c r="T76" s="302">
        <f>T67*INDEX(KumIndBud,[1]!NscenInfl,T$72)</f>
        <v>115971939.43614742</v>
      </c>
      <c r="U76" s="302">
        <f>U67*INDEX(KumIndBud,[1]!NscenInfl,U$72)</f>
        <v>126003512.19737418</v>
      </c>
      <c r="V76" s="302">
        <f>V67*INDEX(KumIndBud,[1]!NscenInfl,V$72)</f>
        <v>138162851.12442079</v>
      </c>
      <c r="W76" s="302">
        <f>W67*INDEX(KumIndBud,[1]!NscenInfl,W$72)</f>
        <v>151081077.70455414</v>
      </c>
      <c r="X76" s="302">
        <f>X67*INDEX(KumIndBud,[1]!NscenInfl,X$72)</f>
        <v>165068163.87844175</v>
      </c>
      <c r="Y76" s="302">
        <f>Y67*INDEX(KumIndBud,[1]!NscenInfl,Y$72)</f>
        <v>177200673.92350721</v>
      </c>
      <c r="Z76" s="302">
        <f>Z67*INDEX(KumIndBud,[1]!NscenInfl,Z$72)</f>
        <v>188452916.71764988</v>
      </c>
      <c r="AA76" s="302">
        <f>AA67*INDEX(KumIndBud,[1]!NscenInfl,AA$72)</f>
        <v>200419676.92922062</v>
      </c>
      <c r="AB76" s="302">
        <f>AB67*INDEX(KumIndBud,[1]!NscenInfl,AB$72)</f>
        <v>213146326.41422611</v>
      </c>
      <c r="AC76" s="302">
        <f>AC67*INDEX(KumIndBud,[1]!NscenInfl,AC$72)</f>
        <v>226681118.14152947</v>
      </c>
    </row>
    <row r="78" spans="1:29" x14ac:dyDescent="0.2">
      <c r="L78" s="495"/>
      <c r="M78" s="494"/>
    </row>
    <row r="79" spans="1:29" s="188" customFormat="1" x14ac:dyDescent="0.2">
      <c r="L79" s="200"/>
      <c r="M79" s="200"/>
      <c r="N79" s="200"/>
      <c r="O79" s="200"/>
    </row>
    <row r="80" spans="1:29" s="112" customFormat="1" x14ac:dyDescent="0.2">
      <c r="A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</row>
    <row r="81" spans="1:31" s="112" customFormat="1" x14ac:dyDescent="0.2">
      <c r="A81" s="297"/>
      <c r="B81" s="303" t="s">
        <v>96</v>
      </c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</row>
    <row r="82" spans="1:31" s="112" customFormat="1" x14ac:dyDescent="0.2">
      <c r="A82" s="297"/>
      <c r="B82" s="293" t="s">
        <v>92</v>
      </c>
      <c r="C82" s="280"/>
      <c r="D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</row>
    <row r="83" spans="1:31" s="112" customFormat="1" ht="13.5" thickBot="1" x14ac:dyDescent="0.25">
      <c r="A83" s="297"/>
      <c r="C83" s="112">
        <v>2005</v>
      </c>
      <c r="D83" s="112">
        <v>2006</v>
      </c>
      <c r="E83" s="112">
        <v>2007</v>
      </c>
      <c r="F83" s="112">
        <v>2008</v>
      </c>
      <c r="G83" s="112">
        <v>2009</v>
      </c>
      <c r="H83" s="112">
        <v>2010</v>
      </c>
      <c r="I83" s="112">
        <v>2011</v>
      </c>
      <c r="J83" s="112">
        <v>2012</v>
      </c>
      <c r="K83" s="112">
        <v>2013</v>
      </c>
      <c r="L83" s="278">
        <v>2014</v>
      </c>
      <c r="M83" s="112">
        <v>2015</v>
      </c>
      <c r="N83" s="112">
        <v>2016</v>
      </c>
      <c r="O83" s="112">
        <v>2017</v>
      </c>
      <c r="P83" s="112">
        <v>2018</v>
      </c>
      <c r="Q83" s="112">
        <v>2019</v>
      </c>
      <c r="R83" s="112">
        <v>2020</v>
      </c>
      <c r="S83" s="112">
        <v>2021</v>
      </c>
      <c r="T83" s="112">
        <v>2022</v>
      </c>
      <c r="U83" s="112">
        <v>2023</v>
      </c>
      <c r="V83" s="112">
        <v>2024</v>
      </c>
      <c r="W83" s="112">
        <v>2025</v>
      </c>
      <c r="X83" s="112">
        <v>2026</v>
      </c>
      <c r="Y83" s="112">
        <v>2027</v>
      </c>
      <c r="Z83" s="112">
        <v>2028</v>
      </c>
      <c r="AA83" s="112">
        <v>2029</v>
      </c>
      <c r="AB83" s="112">
        <v>2030</v>
      </c>
      <c r="AC83" s="112">
        <v>2031</v>
      </c>
      <c r="AE83" s="293" t="s">
        <v>223</v>
      </c>
    </row>
    <row r="84" spans="1:31" s="112" customFormat="1" x14ac:dyDescent="0.2">
      <c r="A84" s="297"/>
      <c r="B84" s="112" t="s">
        <v>90</v>
      </c>
      <c r="C84" s="302">
        <v>0.39642323465497098</v>
      </c>
      <c r="D84" s="304">
        <v>0.39353545619034125</v>
      </c>
      <c r="E84" s="304">
        <v>0.58492762474099591</v>
      </c>
      <c r="F84" s="304">
        <v>0.52396606218657549</v>
      </c>
      <c r="G84" s="304">
        <v>0.51490259672750793</v>
      </c>
      <c r="H84" s="304">
        <v>0.55390887481328877</v>
      </c>
      <c r="I84" s="304">
        <v>0.51524261968965213</v>
      </c>
      <c r="J84" s="304">
        <v>0.59463523701444831</v>
      </c>
      <c r="K84" s="304">
        <v>0.59220356146509934</v>
      </c>
      <c r="L84" s="534">
        <f>MAX(MIN(K84*(1+0.01*$AD84),'[3]ГИПЕР-Пульт'!$K$6),'[3]ГИПЕР-Пульт'!$K$7)</f>
        <v>0.59220356146509934</v>
      </c>
      <c r="M84" s="534">
        <f>MAX(MIN(L84*(1+0.01*$AD84),'[3]ГИПЕР-Пульт'!$K$6),'[3]ГИПЕР-Пульт'!$K$7)</f>
        <v>0.59220356146509934</v>
      </c>
      <c r="N84" s="534">
        <f>MAX(MIN(M84*(1+0.01*$AD84),'[3]ГИПЕР-Пульт'!$K$6),'[3]ГИПЕР-Пульт'!$K$7)</f>
        <v>0.59220356146509934</v>
      </c>
      <c r="O84" s="534">
        <f>MAX(MIN(N84*(1+0.01*$AD84),'[3]ГИПЕР-Пульт'!$K$6),'[3]ГИПЕР-Пульт'!$K$7)</f>
        <v>0.59220356146509934</v>
      </c>
      <c r="P84" s="534">
        <f>MAX(MIN(O84*(1+0.01*$AD84),'[3]ГИПЕР-Пульт'!$K$6),'[3]ГИПЕР-Пульт'!$K$7)</f>
        <v>0.59220356146509934</v>
      </c>
      <c r="Q84" s="534">
        <f>MAX(MIN(P84*(1+0.01*$AD84),'[3]ГИПЕР-Пульт'!$K$6),'[3]ГИПЕР-Пульт'!$K$7)</f>
        <v>0.59220356146509934</v>
      </c>
      <c r="R84" s="534">
        <f>MAX(MIN(Q84*(1+0.01*$AD84),'[3]ГИПЕР-Пульт'!$K$6),'[3]ГИПЕР-Пульт'!$K$7)</f>
        <v>0.59220356146509934</v>
      </c>
      <c r="S84" s="534">
        <f>MAX(MIN(R84*(1+0.01*$AD84),'[3]ГИПЕР-Пульт'!$K$6),'[3]ГИПЕР-Пульт'!$K$7)</f>
        <v>0.59220356146509934</v>
      </c>
      <c r="T84" s="534">
        <f>MAX(MIN(S84*(1+0.01*$AD84),'[3]ГИПЕР-Пульт'!$K$6),'[3]ГИПЕР-Пульт'!$K$7)</f>
        <v>0.59220356146509934</v>
      </c>
      <c r="U84" s="534">
        <f>MAX(MIN(T84*(1+0.01*$AD84),'[3]ГИПЕР-Пульт'!$K$6),'[3]ГИПЕР-Пульт'!$K$7)</f>
        <v>0.59220356146509934</v>
      </c>
      <c r="V84" s="534">
        <f>MAX(MIN(U84*(1+0.01*$AD84),'[3]ГИПЕР-Пульт'!$K$6),'[3]ГИПЕР-Пульт'!$K$7)</f>
        <v>0.59220356146509934</v>
      </c>
      <c r="W84" s="534">
        <f>MAX(MIN(V84*(1+0.01*$AD84),'[3]ГИПЕР-Пульт'!$K$6),'[3]ГИПЕР-Пульт'!$K$7)</f>
        <v>0.59220356146509934</v>
      </c>
      <c r="X84" s="534">
        <f>MAX(MIN(W84*(1+0.01*$AD84),'[3]ГИПЕР-Пульт'!$K$6),'[3]ГИПЕР-Пульт'!$K$7)</f>
        <v>0.59220356146509934</v>
      </c>
      <c r="Y84" s="534">
        <f>MAX(MIN(X84*(1+0.01*$AD84),'[3]ГИПЕР-Пульт'!$K$6),'[3]ГИПЕР-Пульт'!$K$7)</f>
        <v>0.59220356146509934</v>
      </c>
      <c r="Z84" s="534">
        <f>MAX(MIN(Y84*(1+0.01*$AD84),'[3]ГИПЕР-Пульт'!$K$6),'[3]ГИПЕР-Пульт'!$K$7)</f>
        <v>0.59220356146509934</v>
      </c>
      <c r="AA84" s="534">
        <f>MAX(MIN(Z84*(1+0.01*$AD84),'[3]ГИПЕР-Пульт'!$K$6),'[3]ГИПЕР-Пульт'!$K$7)</f>
        <v>0.59220356146509934</v>
      </c>
      <c r="AB84" s="534">
        <f>MAX(MIN(AA84*(1+0.01*$AD84),'[3]ГИПЕР-Пульт'!$K$6),'[3]ГИПЕР-Пульт'!$K$7)</f>
        <v>0.59220356146509934</v>
      </c>
      <c r="AC84" s="534">
        <f>MAX(MIN(AB84*(1+0.01*$AD84),'[3]ГИПЕР-Пульт'!$K$6),'[3]ГИПЕР-Пульт'!$K$7)</f>
        <v>0.59220356146509934</v>
      </c>
      <c r="AD84" s="479">
        <f>'[3]ГИПЕР-Пульт'!M9</f>
        <v>0</v>
      </c>
      <c r="AE84" s="112" t="s">
        <v>224</v>
      </c>
    </row>
    <row r="85" spans="1:31" s="112" customFormat="1" x14ac:dyDescent="0.2">
      <c r="A85" s="297"/>
      <c r="B85" s="112" t="s">
        <v>91</v>
      </c>
      <c r="C85" s="305">
        <v>0.39642323465497098</v>
      </c>
      <c r="D85" s="298">
        <v>0.39353545619034125</v>
      </c>
      <c r="E85" s="298">
        <v>0.58492762474099591</v>
      </c>
      <c r="F85" s="298">
        <v>0.52396606218657549</v>
      </c>
      <c r="G85" s="298">
        <v>0.51490259672750793</v>
      </c>
      <c r="H85" s="298">
        <v>0.55390887481328877</v>
      </c>
      <c r="I85" s="298">
        <v>0.51524261968965213</v>
      </c>
      <c r="J85" s="298">
        <v>0.59463523701444831</v>
      </c>
      <c r="K85" s="298">
        <v>0.59220356146509934</v>
      </c>
      <c r="L85" s="535">
        <f t="shared" ref="L85:AC85" si="16">K85*(1+0.01*$AD85)</f>
        <v>0.59516457927242472</v>
      </c>
      <c r="M85" s="298">
        <f t="shared" si="16"/>
        <v>0.59814040216878683</v>
      </c>
      <c r="N85" s="298">
        <f t="shared" si="16"/>
        <v>0.60113110417963067</v>
      </c>
      <c r="O85" s="298">
        <f t="shared" si="16"/>
        <v>0.60413675970052871</v>
      </c>
      <c r="P85" s="298">
        <f t="shared" si="16"/>
        <v>0.60715744349903134</v>
      </c>
      <c r="Q85" s="298">
        <f t="shared" si="16"/>
        <v>0.61019323071652642</v>
      </c>
      <c r="R85" s="298">
        <f t="shared" si="16"/>
        <v>0.613244196870109</v>
      </c>
      <c r="S85" s="298">
        <f t="shared" si="16"/>
        <v>0.6163104178544595</v>
      </c>
      <c r="T85" s="298">
        <f t="shared" si="16"/>
        <v>0.61939196994373169</v>
      </c>
      <c r="U85" s="298">
        <f t="shared" si="16"/>
        <v>0.62248892979345027</v>
      </c>
      <c r="V85" s="298">
        <f t="shared" si="16"/>
        <v>0.62560137444241748</v>
      </c>
      <c r="W85" s="298">
        <f t="shared" si="16"/>
        <v>0.62872938131462952</v>
      </c>
      <c r="X85" s="531">
        <f t="shared" si="16"/>
        <v>0.63187302822120262</v>
      </c>
      <c r="Y85" s="298">
        <f t="shared" si="16"/>
        <v>0.63503239336230854</v>
      </c>
      <c r="Z85" s="298">
        <f t="shared" si="16"/>
        <v>0.63820755532911999</v>
      </c>
      <c r="AA85" s="298">
        <f t="shared" si="16"/>
        <v>0.64139859310576552</v>
      </c>
      <c r="AB85" s="532">
        <f t="shared" si="16"/>
        <v>0.64460558607129426</v>
      </c>
      <c r="AC85" s="532">
        <f t="shared" si="16"/>
        <v>0.6478286140016507</v>
      </c>
      <c r="AD85" s="479">
        <f>'[3]ГИПЕР-Пульт'!M10</f>
        <v>0.5</v>
      </c>
      <c r="AE85" s="112" t="s">
        <v>225</v>
      </c>
    </row>
    <row r="86" spans="1:31" s="112" customFormat="1" ht="13.5" thickBot="1" x14ac:dyDescent="0.25">
      <c r="A86" s="297"/>
      <c r="B86" s="112" t="s">
        <v>93</v>
      </c>
      <c r="C86" s="306">
        <v>0.39642323465497098</v>
      </c>
      <c r="D86" s="307">
        <v>0.39353545619034125</v>
      </c>
      <c r="E86" s="307">
        <v>0.58492762474099591</v>
      </c>
      <c r="F86" s="307">
        <v>0.52396606218657549</v>
      </c>
      <c r="G86" s="307">
        <v>0.51490259672750793</v>
      </c>
      <c r="H86" s="307">
        <v>0.55390887481328877</v>
      </c>
      <c r="I86" s="307">
        <v>0.51524261968965213</v>
      </c>
      <c r="J86" s="307">
        <v>0.59463523701444831</v>
      </c>
      <c r="K86" s="307">
        <v>0.59220356146509934</v>
      </c>
      <c r="L86" s="536">
        <f t="shared" ref="L86:AC86" si="17">K86*(1+0.01*$AD86)</f>
        <v>0.60404763269440132</v>
      </c>
      <c r="M86" s="307">
        <f t="shared" si="17"/>
        <v>0.6161285853482894</v>
      </c>
      <c r="N86" s="307">
        <f t="shared" si="17"/>
        <v>0.62845115705525523</v>
      </c>
      <c r="O86" s="307">
        <f t="shared" si="17"/>
        <v>0.64102018019636031</v>
      </c>
      <c r="P86" s="307">
        <f t="shared" si="17"/>
        <v>0.65384058380028753</v>
      </c>
      <c r="Q86" s="307">
        <f t="shared" si="17"/>
        <v>0.66691739547629325</v>
      </c>
      <c r="R86" s="307">
        <f t="shared" si="17"/>
        <v>0.68025574338581918</v>
      </c>
      <c r="S86" s="307">
        <f t="shared" si="17"/>
        <v>0.69386085825353561</v>
      </c>
      <c r="T86" s="307">
        <f t="shared" si="17"/>
        <v>0.70773807541860634</v>
      </c>
      <c r="U86" s="307">
        <f t="shared" si="17"/>
        <v>0.72189283692697848</v>
      </c>
      <c r="V86" s="307">
        <f t="shared" si="17"/>
        <v>0.73633069366551807</v>
      </c>
      <c r="W86" s="307">
        <f t="shared" si="17"/>
        <v>0.75105730753882849</v>
      </c>
      <c r="X86" s="307">
        <f t="shared" si="17"/>
        <v>0.76607845368960503</v>
      </c>
      <c r="Y86" s="307">
        <f t="shared" si="17"/>
        <v>0.78140002276339715</v>
      </c>
      <c r="Z86" s="307">
        <f t="shared" si="17"/>
        <v>0.79702802321866506</v>
      </c>
      <c r="AA86" s="307">
        <f t="shared" si="17"/>
        <v>0.81296858368303837</v>
      </c>
      <c r="AB86" s="515">
        <f t="shared" si="17"/>
        <v>0.82922795535669913</v>
      </c>
      <c r="AC86" s="515">
        <f t="shared" si="17"/>
        <v>0.8458125144638331</v>
      </c>
      <c r="AD86" s="479">
        <f>'[3]ГИПЕР-Пульт'!M11</f>
        <v>2</v>
      </c>
      <c r="AE86" s="112" t="s">
        <v>226</v>
      </c>
    </row>
    <row r="89" spans="1:31" s="112" customFormat="1" x14ac:dyDescent="0.2">
      <c r="A89" s="297"/>
      <c r="D89" s="112">
        <v>1</v>
      </c>
      <c r="E89" s="112">
        <v>2</v>
      </c>
      <c r="F89" s="112">
        <v>3</v>
      </c>
      <c r="G89" s="112">
        <v>4</v>
      </c>
      <c r="H89" s="112">
        <v>5</v>
      </c>
      <c r="I89" s="112">
        <v>6</v>
      </c>
      <c r="J89" s="112">
        <v>7</v>
      </c>
      <c r="K89" s="112">
        <v>8</v>
      </c>
      <c r="L89" s="112">
        <v>9</v>
      </c>
      <c r="M89" s="112">
        <v>10</v>
      </c>
      <c r="N89" s="112">
        <v>11</v>
      </c>
      <c r="O89" s="112">
        <v>12</v>
      </c>
      <c r="P89" s="112">
        <v>13</v>
      </c>
      <c r="Q89" s="112">
        <v>14</v>
      </c>
      <c r="R89" s="112">
        <v>15</v>
      </c>
      <c r="S89" s="112">
        <v>16</v>
      </c>
      <c r="T89" s="112">
        <v>17</v>
      </c>
      <c r="U89" s="112">
        <v>18</v>
      </c>
      <c r="V89" s="112">
        <v>19</v>
      </c>
      <c r="W89" s="112">
        <v>20</v>
      </c>
      <c r="X89" s="112">
        <v>21</v>
      </c>
      <c r="Y89" s="112">
        <v>22</v>
      </c>
      <c r="Z89" s="112">
        <v>23</v>
      </c>
      <c r="AA89" s="112">
        <v>24</v>
      </c>
      <c r="AB89" s="112">
        <v>25</v>
      </c>
      <c r="AC89" s="112">
        <v>26</v>
      </c>
    </row>
    <row r="90" spans="1:31" s="112" customFormat="1" x14ac:dyDescent="0.2">
      <c r="A90" s="297"/>
      <c r="B90" s="303" t="s">
        <v>111</v>
      </c>
      <c r="C90" s="384">
        <v>2005</v>
      </c>
      <c r="D90" s="112">
        <v>2006</v>
      </c>
      <c r="E90" s="112">
        <v>2007</v>
      </c>
      <c r="F90" s="112">
        <v>2008</v>
      </c>
      <c r="G90" s="112">
        <v>2009</v>
      </c>
      <c r="H90" s="112">
        <v>2010</v>
      </c>
      <c r="I90" s="112">
        <v>2011</v>
      </c>
      <c r="J90" s="112">
        <v>2012</v>
      </c>
      <c r="K90" s="112">
        <v>2013</v>
      </c>
      <c r="L90" s="112">
        <v>2014</v>
      </c>
      <c r="M90" s="112">
        <v>2015</v>
      </c>
      <c r="N90" s="112">
        <v>2016</v>
      </c>
      <c r="O90" s="112">
        <v>2017</v>
      </c>
      <c r="P90" s="200">
        <v>2018</v>
      </c>
      <c r="Q90" s="112">
        <v>2019</v>
      </c>
      <c r="R90" s="112">
        <v>2020</v>
      </c>
      <c r="S90" s="112">
        <v>2021</v>
      </c>
      <c r="T90" s="112">
        <v>2022</v>
      </c>
      <c r="U90" s="112">
        <v>2023</v>
      </c>
      <c r="V90" s="112">
        <v>2024</v>
      </c>
      <c r="W90" s="112">
        <v>2025</v>
      </c>
      <c r="X90" s="112">
        <v>2026</v>
      </c>
      <c r="Y90" s="112">
        <v>2027</v>
      </c>
      <c r="Z90" s="112">
        <v>2028</v>
      </c>
      <c r="AA90" s="112">
        <v>2029</v>
      </c>
      <c r="AB90" s="112">
        <v>2030</v>
      </c>
      <c r="AC90" s="112">
        <v>2031</v>
      </c>
    </row>
    <row r="91" spans="1:31" s="112" customFormat="1" ht="13.5" thickBot="1" x14ac:dyDescent="0.25">
      <c r="C91" s="387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200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</row>
    <row r="92" spans="1:31" s="112" customFormat="1" ht="39" thickBot="1" x14ac:dyDescent="0.25">
      <c r="A92" s="293"/>
      <c r="B92" s="474" t="s">
        <v>293</v>
      </c>
      <c r="C92" s="517">
        <f>КраевойБюджет!C9</f>
        <v>13314182.053560002</v>
      </c>
      <c r="D92" s="518">
        <f>КраевойБюджет!D9</f>
        <v>16709238.932039998</v>
      </c>
      <c r="E92" s="516">
        <f>КраевойБюджет!E9</f>
        <v>19374981.762139998</v>
      </c>
      <c r="F92" s="516">
        <f>КраевойБюджет!F9</f>
        <v>23529017.37799</v>
      </c>
      <c r="G92" s="516">
        <f>КраевойБюджет!G9</f>
        <v>24880386.637880005</v>
      </c>
      <c r="H92" s="516">
        <f>КраевойБюджет!H9</f>
        <v>27975769.610169999</v>
      </c>
      <c r="I92" s="516">
        <f>КраевойБюджет!I9</f>
        <v>29060796.29377</v>
      </c>
      <c r="J92" s="516">
        <f>КраевойБюджет!J9</f>
        <v>37764372.420560002</v>
      </c>
      <c r="K92" s="516">
        <f>КраевойБюджет!K9</f>
        <v>42168282.307270013</v>
      </c>
      <c r="L92" s="516">
        <f>INDEX(PrognozKBTek,L89+1)*INDEX(ScenDoliNS,[1]!NscenDoliNS,L89)*1000</f>
        <v>43886462.336021848</v>
      </c>
      <c r="M92" s="516">
        <f>INDEX(PrognozKBTek,M89+1)*INDEX(ScenDoliNS,[1]!NscenDoliNS,M89)*1000</f>
        <v>48162498.18973998</v>
      </c>
      <c r="N92" s="516">
        <f>INDEX(PrognozKBTek,N89+1)*INDEX(ScenDoliNS,[1]!NscenDoliNS,N89)*1000</f>
        <v>52315641.393009104</v>
      </c>
      <c r="O92" s="516">
        <f>INDEX(PrognozKBTek,O89+1)*INDEX(ScenDoliNS,[1]!NscenDoliNS,O89)*1000</f>
        <v>57533260.640013009</v>
      </c>
      <c r="P92" s="516">
        <f>INDEX(PrognozKBTek,P89+1)*INDEX(ScenDoliNS,[1]!NscenDoliNS,P89)*1000</f>
        <v>65774955.869593002</v>
      </c>
      <c r="Q92" s="516">
        <f>INDEX(PrognozKBTek,Q89+1)*INDEX(ScenDoliNS,[1]!NscenDoliNS,Q89)*1000</f>
        <v>73454781.73651804</v>
      </c>
      <c r="R92" s="516">
        <f>INDEX(PrognozKBTek,R89+1)*INDEX(ScenDoliNS,[1]!NscenDoliNS,R89)*1000</f>
        <v>50856607.931067638</v>
      </c>
      <c r="S92" s="516">
        <f>INDEX(PrognozKBTek,S89+1)*INDEX(ScenDoliNS,[1]!NscenDoliNS,S89)*1000</f>
        <v>55318690.274628341</v>
      </c>
      <c r="T92" s="516">
        <f>INDEX(PrognozKBTek,T89+1)*INDEX(ScenDoliNS,[1]!NscenDoliNS,T89)*1000</f>
        <v>59803686.373187833</v>
      </c>
      <c r="U92" s="516">
        <f>INDEX(PrognozKBTek,U89+1)*INDEX(ScenDoliNS,[1]!NscenDoliNS,U89)*1000</f>
        <v>65397722.786339909</v>
      </c>
      <c r="V92" s="516">
        <f>INDEX(PrognozKBTek,V89+1)*INDEX(ScenDoliNS,[1]!NscenDoliNS,V89)*1000</f>
        <v>72165632.312537029</v>
      </c>
      <c r="W92" s="516">
        <f>INDEX(PrognozKBTek,W89+1)*INDEX(ScenDoliNS,[1]!NscenDoliNS,W89)*1000</f>
        <v>79407882.833356082</v>
      </c>
      <c r="X92" s="516">
        <f>INDEX(PrognozKBTek,X89+1)*INDEX(ScenDoliNS,[1]!NscenDoliNS,X89)*1000</f>
        <v>87294628.076075494</v>
      </c>
      <c r="Y92" s="516">
        <f>INDEX(PrognozKBTek,Y89+1)*INDEX(ScenDoliNS,[1]!NscenDoliNS,Y89)*1000</f>
        <v>94279536.223614037</v>
      </c>
      <c r="Z92" s="516">
        <f>INDEX(PrognozKBTek,Z89+1)*INDEX(ScenDoliNS,[1]!NscenDoliNS,Z89)*1000</f>
        <v>100865106.88425691</v>
      </c>
      <c r="AA92" s="516">
        <f>INDEX(PrognozKBTek,AA89+1)*INDEX(ScenDoliNS,[1]!NscenDoliNS,AA89)*1000</f>
        <v>107900517.90698914</v>
      </c>
      <c r="AB92" s="516">
        <f>INDEX(PrognozKBTek,AB89+1)*INDEX(ScenDoliNS,[1]!NscenDoliNS,AB89)*1000</f>
        <v>115416007.68229148</v>
      </c>
      <c r="AC92" s="516">
        <f>INDEX(PrognozKBTek,AC89+1)*INDEX(ScenDoliNS,[1]!NscenDoliNS,AC89)*1000</f>
        <v>123443823.20947058</v>
      </c>
    </row>
    <row r="93" spans="1:31" ht="39" x14ac:dyDescent="0.25">
      <c r="A93" s="554" t="s">
        <v>255</v>
      </c>
      <c r="B93" s="578" t="s">
        <v>222</v>
      </c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</row>
    <row r="96" spans="1:31" ht="18.75" thickBot="1" x14ac:dyDescent="0.3">
      <c r="A96" s="175" t="s">
        <v>107</v>
      </c>
      <c r="Z96" t="s">
        <v>230</v>
      </c>
      <c r="AA96" t="s">
        <v>231</v>
      </c>
    </row>
    <row r="97" spans="1:30" ht="18.75" thickBot="1" x14ac:dyDescent="0.3">
      <c r="A97" s="175"/>
      <c r="T97" t="s">
        <v>234</v>
      </c>
      <c r="Y97" t="s">
        <v>229</v>
      </c>
      <c r="Z97" s="259">
        <f>'[3]ГИПЕР-Пульт'!N13</f>
        <v>-1</v>
      </c>
      <c r="AA97" s="544">
        <f>'[3]ГИПЕР-Пульт'!O13</f>
        <v>-0.4</v>
      </c>
      <c r="AB97" t="s">
        <v>232</v>
      </c>
    </row>
    <row r="98" spans="1:30" ht="27" thickBot="1" x14ac:dyDescent="0.3">
      <c r="A98" s="175"/>
      <c r="B98" s="474" t="s">
        <v>219</v>
      </c>
      <c r="T98" t="s">
        <v>235</v>
      </c>
      <c r="U98" s="547">
        <f>'[3]ГИПЕР-Пульт'!$O$6+IF('[3]ГИПЕР-Пульт'!$A$8&gt;0,Z97,AA97)*'[3]ГИПЕР-Пульт'!$A$8*100+IF('[3]ГИПЕР-Пульт'!$A$10&gt;0,Z98,AA98)*'[3]ГИПЕР-Пульт'!$A$10*100</f>
        <v>0.25</v>
      </c>
      <c r="Z98" s="545">
        <f>'[3]ГИПЕР-Пульт'!N14</f>
        <v>0.2</v>
      </c>
      <c r="AA98" s="546">
        <f>'[3]ГИПЕР-Пульт'!O14</f>
        <v>0.6</v>
      </c>
      <c r="AB98" t="s">
        <v>233</v>
      </c>
    </row>
    <row r="99" spans="1:30" ht="18" x14ac:dyDescent="0.25">
      <c r="A99" s="175"/>
      <c r="B99" s="473" t="s">
        <v>215</v>
      </c>
    </row>
    <row r="100" spans="1:30" ht="18" x14ac:dyDescent="0.25">
      <c r="A100" s="175"/>
      <c r="L100" s="112">
        <v>1</v>
      </c>
      <c r="M100" s="112">
        <v>2</v>
      </c>
      <c r="N100" s="112">
        <v>3</v>
      </c>
      <c r="O100" s="112">
        <v>4</v>
      </c>
      <c r="P100" s="112">
        <v>5</v>
      </c>
      <c r="Q100" s="112">
        <v>6</v>
      </c>
      <c r="R100" s="112">
        <v>7</v>
      </c>
      <c r="S100" s="112">
        <v>8</v>
      </c>
      <c r="T100" s="112">
        <v>9</v>
      </c>
      <c r="U100" s="112">
        <v>10</v>
      </c>
      <c r="V100" s="112">
        <v>11</v>
      </c>
      <c r="W100" s="112">
        <v>12</v>
      </c>
      <c r="X100" s="112">
        <v>13</v>
      </c>
      <c r="Y100" s="112">
        <v>14</v>
      </c>
      <c r="Z100" s="112">
        <v>15</v>
      </c>
      <c r="AA100" s="112">
        <v>16</v>
      </c>
      <c r="AB100" s="112">
        <v>17</v>
      </c>
      <c r="AC100" s="112">
        <v>18</v>
      </c>
    </row>
    <row r="101" spans="1:30" s="112" customFormat="1" ht="13.5" thickBot="1" x14ac:dyDescent="0.25">
      <c r="C101" s="112">
        <v>2005</v>
      </c>
      <c r="D101" s="112">
        <v>2006</v>
      </c>
      <c r="E101" s="112">
        <v>2007</v>
      </c>
      <c r="F101" s="112">
        <v>2008</v>
      </c>
      <c r="G101" s="112">
        <v>2009</v>
      </c>
      <c r="H101" s="112">
        <v>2010</v>
      </c>
      <c r="I101" s="112">
        <v>2011</v>
      </c>
      <c r="J101" s="112">
        <v>2012</v>
      </c>
      <c r="K101" s="112">
        <v>2013</v>
      </c>
      <c r="L101" s="278">
        <v>2014</v>
      </c>
      <c r="M101" s="112">
        <v>2015</v>
      </c>
      <c r="N101" s="112">
        <v>2016</v>
      </c>
      <c r="O101" s="112">
        <v>2017</v>
      </c>
      <c r="P101" s="112">
        <v>2018</v>
      </c>
      <c r="Q101" s="112">
        <v>2019</v>
      </c>
      <c r="R101" s="112">
        <v>2020</v>
      </c>
      <c r="S101" s="112">
        <v>2021</v>
      </c>
      <c r="T101" s="112">
        <v>2022</v>
      </c>
      <c r="U101" s="112">
        <v>2023</v>
      </c>
      <c r="V101" s="112">
        <v>2024</v>
      </c>
      <c r="W101" s="112">
        <v>2025</v>
      </c>
      <c r="X101" s="112">
        <v>2026</v>
      </c>
      <c r="Y101" s="112">
        <v>2027</v>
      </c>
      <c r="Z101" s="112">
        <v>2028</v>
      </c>
      <c r="AA101" s="112">
        <v>2029</v>
      </c>
      <c r="AB101" s="112">
        <v>2030</v>
      </c>
      <c r="AC101" s="112">
        <v>2031</v>
      </c>
    </row>
    <row r="102" spans="1:30" ht="18.75" thickBot="1" x14ac:dyDescent="0.3">
      <c r="A102" s="175"/>
      <c r="B102" s="112" t="s">
        <v>86</v>
      </c>
      <c r="C102">
        <v>1</v>
      </c>
      <c r="D102" s="520">
        <v>19</v>
      </c>
      <c r="E102" s="521">
        <v>27</v>
      </c>
      <c r="F102" s="521">
        <v>12</v>
      </c>
      <c r="G102" s="521">
        <v>23</v>
      </c>
      <c r="H102" s="521">
        <v>-3</v>
      </c>
      <c r="I102" s="521">
        <v>34</v>
      </c>
      <c r="J102" s="521">
        <v>-15</v>
      </c>
      <c r="K102" s="521">
        <v>28</v>
      </c>
      <c r="L102" s="522">
        <v>39.1</v>
      </c>
      <c r="M102" s="481">
        <v>-49</v>
      </c>
      <c r="N102" s="481">
        <v>-20</v>
      </c>
      <c r="O102" s="481">
        <v>-5</v>
      </c>
      <c r="P102" s="481">
        <f t="shared" ref="P102:AC102" si="18">P103+$AD103</f>
        <v>50</v>
      </c>
      <c r="Q102" s="481">
        <f t="shared" si="18"/>
        <v>40</v>
      </c>
      <c r="R102" s="481">
        <f t="shared" si="18"/>
        <v>40</v>
      </c>
      <c r="S102" s="481">
        <f t="shared" si="18"/>
        <v>25</v>
      </c>
      <c r="T102" s="540">
        <f t="shared" si="18"/>
        <v>8</v>
      </c>
      <c r="U102" s="540">
        <f t="shared" si="18"/>
        <v>8</v>
      </c>
      <c r="V102" s="540">
        <f t="shared" si="18"/>
        <v>8</v>
      </c>
      <c r="W102" s="540">
        <f t="shared" si="18"/>
        <v>8</v>
      </c>
      <c r="X102" s="540">
        <f t="shared" si="18"/>
        <v>8</v>
      </c>
      <c r="Y102" s="540">
        <f t="shared" si="18"/>
        <v>8</v>
      </c>
      <c r="Z102" s="540">
        <f t="shared" si="18"/>
        <v>8</v>
      </c>
      <c r="AA102" s="540">
        <f t="shared" si="18"/>
        <v>8</v>
      </c>
      <c r="AB102" s="541">
        <f t="shared" si="18"/>
        <v>8</v>
      </c>
      <c r="AC102" s="541">
        <f t="shared" si="18"/>
        <v>8</v>
      </c>
    </row>
    <row r="103" spans="1:30" ht="18.75" thickBot="1" x14ac:dyDescent="0.3">
      <c r="A103" s="175"/>
      <c r="B103" s="112" t="s">
        <v>87</v>
      </c>
      <c r="C103">
        <v>1</v>
      </c>
      <c r="D103" s="523">
        <v>19</v>
      </c>
      <c r="E103" s="524">
        <v>27</v>
      </c>
      <c r="F103" s="524">
        <v>12</v>
      </c>
      <c r="G103" s="524">
        <v>23</v>
      </c>
      <c r="H103" s="524">
        <v>-3</v>
      </c>
      <c r="I103" s="524">
        <v>34</v>
      </c>
      <c r="J103" s="524">
        <v>-15</v>
      </c>
      <c r="K103" s="524">
        <v>28</v>
      </c>
      <c r="L103" s="525">
        <v>39.1</v>
      </c>
      <c r="M103" s="481">
        <v>-49</v>
      </c>
      <c r="N103" s="481">
        <v>-35</v>
      </c>
      <c r="O103" s="481">
        <v>-20</v>
      </c>
      <c r="P103" s="481">
        <v>45</v>
      </c>
      <c r="Q103" s="481">
        <v>35</v>
      </c>
      <c r="R103" s="481">
        <v>35</v>
      </c>
      <c r="S103" s="481">
        <v>20</v>
      </c>
      <c r="T103" s="540">
        <v>3</v>
      </c>
      <c r="U103" s="540">
        <v>3</v>
      </c>
      <c r="V103" s="540">
        <v>3</v>
      </c>
      <c r="W103" s="540">
        <v>3</v>
      </c>
      <c r="X103" s="540">
        <v>3</v>
      </c>
      <c r="Y103" s="540">
        <v>3</v>
      </c>
      <c r="Z103" s="540">
        <v>3</v>
      </c>
      <c r="AA103" s="540">
        <v>3</v>
      </c>
      <c r="AB103" s="540">
        <v>3</v>
      </c>
      <c r="AC103" s="540">
        <v>3</v>
      </c>
      <c r="AD103" s="519">
        <v>5</v>
      </c>
    </row>
    <row r="104" spans="1:30" ht="18.75" thickBot="1" x14ac:dyDescent="0.3">
      <c r="A104" s="175"/>
      <c r="B104" s="112" t="s">
        <v>88</v>
      </c>
      <c r="C104">
        <v>1</v>
      </c>
      <c r="D104" s="526">
        <v>19</v>
      </c>
      <c r="E104" s="527">
        <v>27</v>
      </c>
      <c r="F104" s="527">
        <v>12</v>
      </c>
      <c r="G104" s="527">
        <v>23</v>
      </c>
      <c r="H104" s="527">
        <v>-3</v>
      </c>
      <c r="I104" s="527">
        <v>34</v>
      </c>
      <c r="J104" s="527">
        <v>-15</v>
      </c>
      <c r="K104" s="527">
        <v>28</v>
      </c>
      <c r="L104" s="528">
        <v>39.1</v>
      </c>
      <c r="M104" s="529">
        <v>-49</v>
      </c>
      <c r="N104" s="529">
        <v>-50</v>
      </c>
      <c r="O104" s="529">
        <v>-35</v>
      </c>
      <c r="P104" s="529">
        <f t="shared" ref="P104:AC104" si="19">P103-$AD103</f>
        <v>40</v>
      </c>
      <c r="Q104" s="529">
        <f t="shared" si="19"/>
        <v>30</v>
      </c>
      <c r="R104" s="529">
        <f t="shared" si="19"/>
        <v>30</v>
      </c>
      <c r="S104" s="529">
        <f t="shared" si="19"/>
        <v>15</v>
      </c>
      <c r="T104" s="542">
        <f t="shared" si="19"/>
        <v>-2</v>
      </c>
      <c r="U104" s="542">
        <f t="shared" si="19"/>
        <v>-2</v>
      </c>
      <c r="V104" s="542">
        <f t="shared" si="19"/>
        <v>-2</v>
      </c>
      <c r="W104" s="542">
        <f t="shared" si="19"/>
        <v>-2</v>
      </c>
      <c r="X104" s="542">
        <f t="shared" si="19"/>
        <v>-2</v>
      </c>
      <c r="Y104" s="542">
        <f t="shared" si="19"/>
        <v>-2</v>
      </c>
      <c r="Z104" s="542">
        <f t="shared" si="19"/>
        <v>-2</v>
      </c>
      <c r="AA104" s="542">
        <f t="shared" si="19"/>
        <v>-2</v>
      </c>
      <c r="AB104" s="543">
        <f t="shared" si="19"/>
        <v>-2</v>
      </c>
      <c r="AC104" s="543">
        <f t="shared" si="19"/>
        <v>-2</v>
      </c>
    </row>
    <row r="105" spans="1:30" ht="18" x14ac:dyDescent="0.25">
      <c r="A105" s="175"/>
    </row>
    <row r="106" spans="1:30" ht="18" x14ac:dyDescent="0.25">
      <c r="A106" s="175"/>
      <c r="L106" s="200">
        <f>155.7*1000</f>
        <v>155700</v>
      </c>
      <c r="M106" s="496">
        <v>79500</v>
      </c>
    </row>
    <row r="107" spans="1:30" x14ac:dyDescent="0.2">
      <c r="D107" s="206"/>
      <c r="L107" s="316" t="s">
        <v>220</v>
      </c>
      <c r="M107" s="323"/>
    </row>
    <row r="108" spans="1:30" x14ac:dyDescent="0.2">
      <c r="B108" s="250" t="s">
        <v>106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>
        <v>11</v>
      </c>
      <c r="O108" s="112">
        <v>12</v>
      </c>
      <c r="P108">
        <v>13</v>
      </c>
      <c r="Q108">
        <v>14</v>
      </c>
      <c r="R108">
        <v>15</v>
      </c>
      <c r="S108">
        <v>16</v>
      </c>
      <c r="T108">
        <v>17</v>
      </c>
      <c r="U108">
        <v>18</v>
      </c>
      <c r="V108">
        <v>19</v>
      </c>
      <c r="W108">
        <v>20</v>
      </c>
      <c r="X108">
        <v>21</v>
      </c>
      <c r="Y108">
        <v>22</v>
      </c>
      <c r="Z108">
        <v>23</v>
      </c>
      <c r="AA108">
        <v>24</v>
      </c>
      <c r="AB108">
        <v>25</v>
      </c>
      <c r="AC108">
        <v>26</v>
      </c>
    </row>
    <row r="109" spans="1:30" ht="13.5" thickBot="1" x14ac:dyDescent="0.25">
      <c r="A109" s="309" t="s">
        <v>112</v>
      </c>
      <c r="B109" s="198"/>
      <c r="C109" s="198">
        <v>2005</v>
      </c>
      <c r="D109" s="198">
        <v>2006</v>
      </c>
      <c r="E109" s="198">
        <v>2007</v>
      </c>
      <c r="F109" s="198">
        <v>2008</v>
      </c>
      <c r="G109" s="198">
        <v>2009</v>
      </c>
      <c r="H109" s="198">
        <v>2010</v>
      </c>
      <c r="I109" s="198">
        <v>2011</v>
      </c>
      <c r="J109" s="198">
        <v>2012</v>
      </c>
      <c r="K109" s="198">
        <v>2013</v>
      </c>
      <c r="L109" s="482">
        <v>2014</v>
      </c>
      <c r="M109" s="293">
        <v>2015</v>
      </c>
      <c r="N109" s="293">
        <v>2016</v>
      </c>
      <c r="O109" s="293">
        <v>2017</v>
      </c>
      <c r="P109" s="198">
        <v>2018</v>
      </c>
      <c r="Q109" s="198">
        <v>2019</v>
      </c>
      <c r="R109" s="198">
        <v>2020</v>
      </c>
      <c r="S109" s="198">
        <v>2021</v>
      </c>
      <c r="T109" s="198">
        <v>2022</v>
      </c>
      <c r="U109" s="198">
        <v>2023</v>
      </c>
      <c r="V109" s="198">
        <v>2024</v>
      </c>
      <c r="W109" s="198">
        <v>2025</v>
      </c>
      <c r="X109" s="198">
        <v>2026</v>
      </c>
      <c r="Y109" s="198">
        <v>2027</v>
      </c>
      <c r="Z109" s="198">
        <v>2028</v>
      </c>
      <c r="AA109" s="198">
        <v>2029</v>
      </c>
      <c r="AB109" s="198">
        <v>2030</v>
      </c>
      <c r="AC109" s="198">
        <v>2031</v>
      </c>
    </row>
    <row r="110" spans="1:30" ht="13.5" thickBot="1" x14ac:dyDescent="0.25">
      <c r="A110" s="198">
        <f>[1]!NScenVvodNaselGKH</f>
        <v>2</v>
      </c>
      <c r="B110" t="s">
        <v>108</v>
      </c>
      <c r="C110" s="460">
        <f>[2]Мощности!D38</f>
        <v>38243</v>
      </c>
      <c r="D110" s="461">
        <f>[2]Мощности!E38</f>
        <v>45327</v>
      </c>
      <c r="E110" s="325">
        <f>[2]Мощности!F38</f>
        <v>57390</v>
      </c>
      <c r="F110" s="325">
        <f>[2]Мощности!G38</f>
        <v>64558</v>
      </c>
      <c r="G110" s="325">
        <f>[2]Мощности!H38</f>
        <v>79561</v>
      </c>
      <c r="H110" s="325">
        <f>[2]Мощности!I38</f>
        <v>76798</v>
      </c>
      <c r="I110" s="325">
        <f>[2]Мощности!J38</f>
        <v>102700</v>
      </c>
      <c r="J110" s="325">
        <f>[2]Мощности!K38</f>
        <v>87400</v>
      </c>
      <c r="K110" s="325">
        <f>[2]Мощности!L38</f>
        <v>111900</v>
      </c>
      <c r="L110" s="483">
        <f>K110*(1+0.01*L102)</f>
        <v>155652.9</v>
      </c>
      <c r="M110" s="497">
        <f t="shared" ref="M110:O111" si="20">L110*(1+0.01*M102)</f>
        <v>79382.978999999992</v>
      </c>
      <c r="N110" s="497">
        <f t="shared" si="20"/>
        <v>63506.383199999997</v>
      </c>
      <c r="O110" s="497">
        <f t="shared" si="20"/>
        <v>60331.064039999997</v>
      </c>
      <c r="P110" s="497">
        <f>[1]рынок!S$97</f>
        <v>358705.31417405262</v>
      </c>
      <c r="Q110" s="497">
        <f>[1]рынок!T$97</f>
        <v>230114.90481222825</v>
      </c>
      <c r="R110" s="497">
        <f>[1]рынок!U$97</f>
        <v>167921.29453377827</v>
      </c>
      <c r="S110" s="497">
        <f>[1]рынок!V$97</f>
        <v>78789.125851305231</v>
      </c>
      <c r="T110" s="497">
        <f>[1]рынок!W$97</f>
        <v>117986.89594891602</v>
      </c>
      <c r="U110" s="497">
        <f>[1]рынок!X$97</f>
        <v>74244.236342498218</v>
      </c>
      <c r="V110" s="497">
        <f>[1]рынок!Y$97</f>
        <v>67361.501991412762</v>
      </c>
      <c r="W110" s="497">
        <f>[1]рынок!Z$97</f>
        <v>61991.598042885198</v>
      </c>
      <c r="X110" s="497">
        <f>[1]рынок!AA$97</f>
        <v>65341.762776644195</v>
      </c>
      <c r="Y110" s="497">
        <f>[1]рынок!AB$97</f>
        <v>94798.730112738034</v>
      </c>
      <c r="Z110" s="497">
        <f>[1]рынок!AC$97</f>
        <v>51566.968132905859</v>
      </c>
      <c r="AA110" s="497">
        <f>[1]рынок!AD$97</f>
        <v>95344.912840090255</v>
      </c>
      <c r="AB110" s="497">
        <f>[1]рынок!AE$97</f>
        <v>169766.79303483054</v>
      </c>
      <c r="AC110" s="497">
        <f>[1]рынок!AF$97</f>
        <v>0</v>
      </c>
    </row>
    <row r="111" spans="1:30" ht="13.5" thickBot="1" x14ac:dyDescent="0.25">
      <c r="A111" s="240"/>
      <c r="B111" t="s">
        <v>91</v>
      </c>
      <c r="C111" s="460">
        <f>C110</f>
        <v>38243</v>
      </c>
      <c r="D111" s="462">
        <f t="shared" ref="D111:K112" si="21">D110</f>
        <v>45327</v>
      </c>
      <c r="E111" s="326">
        <f t="shared" si="21"/>
        <v>57390</v>
      </c>
      <c r="F111" s="326">
        <f t="shared" si="21"/>
        <v>64558</v>
      </c>
      <c r="G111" s="326">
        <f t="shared" si="21"/>
        <v>79561</v>
      </c>
      <c r="H111" s="326">
        <f t="shared" si="21"/>
        <v>76798</v>
      </c>
      <c r="I111" s="326">
        <f t="shared" si="21"/>
        <v>102700</v>
      </c>
      <c r="J111" s="326">
        <f t="shared" si="21"/>
        <v>87400</v>
      </c>
      <c r="K111" s="326">
        <f t="shared" si="21"/>
        <v>111900</v>
      </c>
      <c r="L111" s="483">
        <f>K111*(1+0.01*L103)</f>
        <v>155652.9</v>
      </c>
      <c r="M111" s="485">
        <f t="shared" ref="M111" si="22">L111*(1+0.01*M103)</f>
        <v>79382.978999999992</v>
      </c>
      <c r="N111" s="485">
        <f t="shared" si="20"/>
        <v>51598.936349999989</v>
      </c>
      <c r="O111" s="485">
        <f t="shared" si="20"/>
        <v>41279.149079999996</v>
      </c>
      <c r="P111" s="497">
        <f>[1]рынок!S$97</f>
        <v>358705.31417405262</v>
      </c>
      <c r="Q111" s="497">
        <f>[1]рынок!T$97</f>
        <v>230114.90481222825</v>
      </c>
      <c r="R111" s="497">
        <f>[1]рынок!U$97</f>
        <v>167921.29453377827</v>
      </c>
      <c r="S111" s="497">
        <f>[1]рынок!V$97</f>
        <v>78789.125851305231</v>
      </c>
      <c r="T111" s="497">
        <f>[1]рынок!W$97</f>
        <v>117986.89594891602</v>
      </c>
      <c r="U111" s="497">
        <f>[1]рынок!X$97</f>
        <v>74244.236342498218</v>
      </c>
      <c r="V111" s="497">
        <f>[1]рынок!Y$97</f>
        <v>67361.501991412762</v>
      </c>
      <c r="W111" s="497">
        <f>[1]рынок!Z$97</f>
        <v>61991.598042885198</v>
      </c>
      <c r="X111" s="497">
        <f>[1]рынок!AA$97</f>
        <v>65341.762776644195</v>
      </c>
      <c r="Y111" s="497">
        <f>[1]рынок!AB$97</f>
        <v>94798.730112738034</v>
      </c>
      <c r="Z111" s="497">
        <f>[1]рынок!AC$97</f>
        <v>51566.968132905859</v>
      </c>
      <c r="AA111" s="497">
        <f>[1]рынок!AD$97</f>
        <v>95344.912840090255</v>
      </c>
      <c r="AB111" s="497">
        <f>[1]рынок!AE$97</f>
        <v>169766.79303483054</v>
      </c>
      <c r="AC111" s="497">
        <f>[1]рынок!AF$97</f>
        <v>0</v>
      </c>
    </row>
    <row r="112" spans="1:30" ht="13.5" thickBot="1" x14ac:dyDescent="0.25">
      <c r="A112" s="240"/>
      <c r="B112" t="s">
        <v>109</v>
      </c>
      <c r="C112" s="460">
        <f>C111</f>
        <v>38243</v>
      </c>
      <c r="D112" s="463">
        <f t="shared" si="21"/>
        <v>45327</v>
      </c>
      <c r="E112" s="328">
        <f t="shared" si="21"/>
        <v>57390</v>
      </c>
      <c r="F112" s="328">
        <f t="shared" si="21"/>
        <v>64558</v>
      </c>
      <c r="G112" s="328">
        <f t="shared" si="21"/>
        <v>79561</v>
      </c>
      <c r="H112" s="328">
        <f t="shared" si="21"/>
        <v>76798</v>
      </c>
      <c r="I112" s="328">
        <f t="shared" si="21"/>
        <v>102700</v>
      </c>
      <c r="J112" s="328">
        <f t="shared" si="21"/>
        <v>87400</v>
      </c>
      <c r="K112" s="328">
        <f t="shared" si="21"/>
        <v>111900</v>
      </c>
      <c r="L112" s="483">
        <f>K112*(1+0.01*L104)</f>
        <v>155652.9</v>
      </c>
      <c r="M112" s="497">
        <f>L112*(1+0.01*M104)</f>
        <v>79382.978999999992</v>
      </c>
      <c r="N112" s="497">
        <f t="shared" ref="N112:O112" si="23">M112*(1+0.01*N104)</f>
        <v>39691.489499999996</v>
      </c>
      <c r="O112" s="497">
        <f t="shared" si="23"/>
        <v>25799.468174999995</v>
      </c>
      <c r="P112" s="497">
        <f>[1]рынок!S$97</f>
        <v>358705.31417405262</v>
      </c>
      <c r="Q112" s="497">
        <f>[1]рынок!T$97</f>
        <v>230114.90481222825</v>
      </c>
      <c r="R112" s="497">
        <f>[1]рынок!U$97</f>
        <v>167921.29453377827</v>
      </c>
      <c r="S112" s="497">
        <f>[1]рынок!V$97</f>
        <v>78789.125851305231</v>
      </c>
      <c r="T112" s="497">
        <f>[1]рынок!W$97</f>
        <v>117986.89594891602</v>
      </c>
      <c r="U112" s="497">
        <f>[1]рынок!X$97</f>
        <v>74244.236342498218</v>
      </c>
      <c r="V112" s="497">
        <f>[1]рынок!Y$97</f>
        <v>67361.501991412762</v>
      </c>
      <c r="W112" s="497">
        <f>[1]рынок!Z$97</f>
        <v>61991.598042885198</v>
      </c>
      <c r="X112" s="497">
        <f>[1]рынок!AA$97</f>
        <v>65341.762776644195</v>
      </c>
      <c r="Y112" s="497">
        <f>[1]рынок!AB$97</f>
        <v>94798.730112738034</v>
      </c>
      <c r="Z112" s="497">
        <f>[1]рынок!AC$97</f>
        <v>51566.968132905859</v>
      </c>
      <c r="AA112" s="497">
        <f>[1]рынок!AD$97</f>
        <v>95344.912840090255</v>
      </c>
      <c r="AB112" s="497">
        <f>[1]рынок!AE$97</f>
        <v>169766.79303483054</v>
      </c>
      <c r="AC112" s="497">
        <f>[1]рынок!AF$97</f>
        <v>0</v>
      </c>
    </row>
    <row r="113" spans="1:29" x14ac:dyDescent="0.2">
      <c r="A113" s="24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9" s="355" customFormat="1" x14ac:dyDescent="0.2">
      <c r="A114" s="470"/>
      <c r="C114" s="469"/>
      <c r="D114" s="469"/>
      <c r="E114" s="469"/>
      <c r="F114" s="469"/>
      <c r="L114" s="298"/>
      <c r="X114" s="327"/>
      <c r="Y114" s="327"/>
      <c r="Z114" s="327"/>
      <c r="AA114" s="327"/>
      <c r="AB114" s="327"/>
    </row>
    <row r="115" spans="1:29" s="355" customFormat="1" x14ac:dyDescent="0.2">
      <c r="K115" s="492"/>
      <c r="L115" s="469"/>
      <c r="M115" s="492"/>
    </row>
    <row r="116" spans="1:29" s="355" customFormat="1" x14ac:dyDescent="0.2">
      <c r="L116" s="298"/>
      <c r="N116" s="493"/>
    </row>
    <row r="118" spans="1:29" ht="18" x14ac:dyDescent="0.25">
      <c r="A118" s="175" t="s">
        <v>210</v>
      </c>
    </row>
    <row r="120" spans="1:29" x14ac:dyDescent="0.2">
      <c r="K120" s="250" t="s">
        <v>185</v>
      </c>
    </row>
    <row r="121" spans="1:29" x14ac:dyDescent="0.2">
      <c r="B121" s="472" t="s">
        <v>211</v>
      </c>
      <c r="L121" s="466">
        <f>INDEX([1]!KoefRostZPl,2,L123-8)</f>
        <v>0</v>
      </c>
      <c r="M121" s="466">
        <f>INDEX([1]!KoefRostZPl,2,M123-8)</f>
        <v>0</v>
      </c>
      <c r="N121" s="466">
        <f>INDEX([1]!KoefRostZPl,2,N123-8)</f>
        <v>0</v>
      </c>
      <c r="O121" s="490">
        <f>INDEX([1]!KoefRostZPl,2,O123-8)</f>
        <v>0</v>
      </c>
      <c r="P121" s="466">
        <f>INDEX([1]!KoefRostZPl,2,P123-8)</f>
        <v>0</v>
      </c>
      <c r="Q121" s="466">
        <f>INDEX([1]!KoefRostZPl,2,Q123-8)</f>
        <v>0</v>
      </c>
      <c r="R121" s="466">
        <f>INDEX([1]!KoefRostZPl,2,R123-8)</f>
        <v>0</v>
      </c>
      <c r="S121" s="466">
        <f>INDEX([1]!KoefRostZPl,2,S123-8)</f>
        <v>0</v>
      </c>
      <c r="T121" s="466">
        <f>INDEX([1]!KoefRostZPl,2,T123-8)</f>
        <v>0</v>
      </c>
      <c r="U121" s="466">
        <f>INDEX([1]!KoefRostZPl,2,U123-8)</f>
        <v>0</v>
      </c>
      <c r="V121" s="466">
        <f>INDEX([1]!KoefRostZPl,2,V123-8)</f>
        <v>0</v>
      </c>
      <c r="W121" s="466">
        <f>INDEX([1]!KoefRostZPl,2,W123-8)</f>
        <v>0</v>
      </c>
      <c r="X121" s="466">
        <f>INDEX([1]!KoefRostZPl,2,X123-8)</f>
        <v>0</v>
      </c>
      <c r="Y121" s="466">
        <f>INDEX([1]!KoefRostZPl,2,Y123-8)</f>
        <v>0</v>
      </c>
      <c r="Z121" s="466">
        <f>INDEX([1]!KoefRostZPl,2,Z123-8)</f>
        <v>0</v>
      </c>
      <c r="AA121" s="466">
        <f>INDEX([1]!KoefRostZPl,2,AA123-8)</f>
        <v>0</v>
      </c>
      <c r="AB121" s="466">
        <f>INDEX([1]!KoefRostZPl,2,AB123-8)</f>
        <v>0.1</v>
      </c>
      <c r="AC121" s="466">
        <f>INDEX([1]!KoefRostZPl,2,AC123-8)</f>
        <v>0.1</v>
      </c>
    </row>
    <row r="122" spans="1:29" x14ac:dyDescent="0.2">
      <c r="B122" s="472"/>
      <c r="L122" s="466"/>
      <c r="M122" s="466"/>
      <c r="N122" s="466"/>
      <c r="O122" s="490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</row>
    <row r="123" spans="1:29" x14ac:dyDescent="0.2">
      <c r="B123" s="250" t="s">
        <v>184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 s="112">
        <v>12</v>
      </c>
      <c r="P123">
        <v>13</v>
      </c>
      <c r="Q123">
        <v>14</v>
      </c>
      <c r="R123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</row>
    <row r="124" spans="1:29" x14ac:dyDescent="0.2">
      <c r="A124" s="309" t="s">
        <v>112</v>
      </c>
      <c r="B124" s="198"/>
      <c r="C124" s="464">
        <v>2005</v>
      </c>
      <c r="D124" s="198">
        <v>2006</v>
      </c>
      <c r="E124" s="198">
        <v>2007</v>
      </c>
      <c r="F124" s="198">
        <v>2008</v>
      </c>
      <c r="G124" s="198">
        <v>2009</v>
      </c>
      <c r="H124" s="198">
        <v>2010</v>
      </c>
      <c r="I124" s="198">
        <v>2011</v>
      </c>
      <c r="J124" s="198">
        <v>2012</v>
      </c>
      <c r="K124" s="198">
        <v>2013</v>
      </c>
      <c r="L124" s="293">
        <v>2014</v>
      </c>
      <c r="M124" s="293">
        <v>2015</v>
      </c>
      <c r="N124" s="293">
        <v>2016</v>
      </c>
      <c r="O124" s="293">
        <v>2017</v>
      </c>
      <c r="P124" s="198">
        <v>2018</v>
      </c>
      <c r="Q124" s="198">
        <v>2019</v>
      </c>
      <c r="R124" s="198">
        <v>2020</v>
      </c>
      <c r="S124" s="198">
        <v>2021</v>
      </c>
      <c r="T124" s="198">
        <v>2022</v>
      </c>
      <c r="U124" s="198">
        <v>2023</v>
      </c>
      <c r="V124" s="198">
        <v>2024</v>
      </c>
      <c r="W124" s="198">
        <v>2025</v>
      </c>
      <c r="X124" s="198">
        <v>2026</v>
      </c>
      <c r="Y124" s="198">
        <v>2027</v>
      </c>
      <c r="Z124" s="198">
        <v>2028</v>
      </c>
      <c r="AA124" s="198">
        <v>2029</v>
      </c>
      <c r="AB124" s="198">
        <v>2030</v>
      </c>
      <c r="AC124" s="198">
        <v>2031</v>
      </c>
    </row>
    <row r="125" spans="1:29" x14ac:dyDescent="0.2">
      <c r="A125" s="198">
        <f>[1]!NScenRostZPlat_2</f>
        <v>1</v>
      </c>
      <c r="B125" t="s">
        <v>180</v>
      </c>
      <c r="C125" s="465">
        <v>1</v>
      </c>
      <c r="D125" s="465">
        <v>1</v>
      </c>
      <c r="E125" s="465">
        <v>1</v>
      </c>
      <c r="F125" s="465">
        <v>1</v>
      </c>
      <c r="G125" s="465">
        <v>1</v>
      </c>
      <c r="H125" s="465">
        <v>1</v>
      </c>
      <c r="I125" s="465">
        <v>1</v>
      </c>
      <c r="J125" s="465">
        <v>1</v>
      </c>
      <c r="K125" s="465">
        <v>1</v>
      </c>
      <c r="L125" s="467">
        <f>L126*(1+L121)</f>
        <v>11</v>
      </c>
      <c r="M125" s="467">
        <f t="shared" ref="M125:AB125" si="24">M126*(1+M121)</f>
        <v>15</v>
      </c>
      <c r="N125" s="467">
        <f t="shared" si="24"/>
        <v>16.5</v>
      </c>
      <c r="O125" s="491">
        <f t="shared" si="24"/>
        <v>17</v>
      </c>
      <c r="P125" s="467">
        <f t="shared" si="24"/>
        <v>14</v>
      </c>
      <c r="Q125" s="467">
        <f t="shared" si="24"/>
        <v>11</v>
      </c>
      <c r="R125" s="467">
        <f t="shared" si="24"/>
        <v>9</v>
      </c>
      <c r="S125" s="467">
        <f t="shared" si="24"/>
        <v>7</v>
      </c>
      <c r="T125" s="467">
        <f t="shared" si="24"/>
        <v>6</v>
      </c>
      <c r="U125" s="467">
        <f t="shared" si="24"/>
        <v>9</v>
      </c>
      <c r="V125" s="467">
        <f t="shared" si="24"/>
        <v>10</v>
      </c>
      <c r="W125" s="467">
        <f t="shared" si="24"/>
        <v>9</v>
      </c>
      <c r="X125" s="467">
        <f t="shared" si="24"/>
        <v>8.32</v>
      </c>
      <c r="Y125" s="467">
        <f t="shared" si="24"/>
        <v>7</v>
      </c>
      <c r="Z125" s="467">
        <f t="shared" si="24"/>
        <v>6</v>
      </c>
      <c r="AA125" s="467">
        <f t="shared" si="24"/>
        <v>6</v>
      </c>
      <c r="AB125" s="467">
        <f t="shared" si="24"/>
        <v>6.6000000000000005</v>
      </c>
      <c r="AC125" s="467">
        <f t="shared" ref="AC125" si="25">AC126*(1+AC121)</f>
        <v>6.6000000000000005</v>
      </c>
    </row>
    <row r="126" spans="1:29" x14ac:dyDescent="0.2">
      <c r="A126" s="240"/>
      <c r="B126" t="s">
        <v>181</v>
      </c>
      <c r="C126" s="465">
        <v>1</v>
      </c>
      <c r="D126" s="465">
        <v>1</v>
      </c>
      <c r="E126" s="465">
        <v>1</v>
      </c>
      <c r="F126" s="465">
        <v>1</v>
      </c>
      <c r="G126" s="465">
        <v>1</v>
      </c>
      <c r="H126" s="465">
        <v>1</v>
      </c>
      <c r="I126" s="465">
        <v>1</v>
      </c>
      <c r="J126" s="465">
        <v>1</v>
      </c>
      <c r="K126" s="465">
        <v>1</v>
      </c>
      <c r="L126" s="326">
        <f>INDEX(ScenInflPotrS,[1]!NscenInfl,L123)</f>
        <v>11</v>
      </c>
      <c r="M126" s="326">
        <f>INDEX(ScenInflPotrS,[1]!NscenInfl,M123)</f>
        <v>15</v>
      </c>
      <c r="N126" s="326">
        <f>INDEX(ScenInflPotrS,[1]!NscenInfl,N123)</f>
        <v>16.5</v>
      </c>
      <c r="O126" s="485">
        <f>INDEX(ScenInflPotrS,[1]!NscenInfl,O123)</f>
        <v>17</v>
      </c>
      <c r="P126" s="326">
        <f>INDEX(ScenInflPotrS,[1]!NscenInfl,P123)</f>
        <v>14</v>
      </c>
      <c r="Q126" s="326">
        <f>INDEX(ScenInflPotrS,[1]!NscenInfl,Q123)</f>
        <v>11</v>
      </c>
      <c r="R126" s="326">
        <f>INDEX(ScenInflPotrS,[1]!NscenInfl,R123)</f>
        <v>9</v>
      </c>
      <c r="S126" s="326">
        <f>INDEX(ScenInflPotrS,[1]!NscenInfl,S123)</f>
        <v>7</v>
      </c>
      <c r="T126" s="326">
        <f>INDEX(ScenInflPotrS,[1]!NscenInfl,T123)</f>
        <v>6</v>
      </c>
      <c r="U126" s="326">
        <f>INDEX(ScenInflPotrS,[1]!NscenInfl,U123)</f>
        <v>9</v>
      </c>
      <c r="V126" s="326">
        <f>INDEX(ScenInflPotrS,[1]!NscenInfl,V123)</f>
        <v>10</v>
      </c>
      <c r="W126" s="326">
        <f>INDEX(ScenInflPotrS,[1]!NscenInfl,W123)</f>
        <v>9</v>
      </c>
      <c r="X126" s="326">
        <f>INDEX(ScenInflPotrS,[1]!NscenInfl,X123)</f>
        <v>8.32</v>
      </c>
      <c r="Y126" s="326">
        <f>INDEX(ScenInflPotrS,[1]!NscenInfl,Y123)</f>
        <v>7</v>
      </c>
      <c r="Z126" s="326">
        <f>INDEX(ScenInflPotrS,[1]!NscenInfl,Z123)</f>
        <v>6</v>
      </c>
      <c r="AA126" s="326">
        <f>INDEX(ScenInflPotrS,[1]!NscenInfl,AA123)</f>
        <v>6</v>
      </c>
      <c r="AB126" s="326">
        <f>INDEX(ScenInflPotrS,[1]!NscenInfl,AB123)</f>
        <v>6</v>
      </c>
      <c r="AC126" s="326">
        <f>INDEX(ScenInflPotrS,[1]!NscenInfl,AC123)</f>
        <v>6</v>
      </c>
    </row>
    <row r="127" spans="1:29" x14ac:dyDescent="0.2">
      <c r="A127" s="240"/>
      <c r="B127" t="s">
        <v>182</v>
      </c>
      <c r="C127" s="465">
        <v>1</v>
      </c>
      <c r="D127" s="465">
        <v>1</v>
      </c>
      <c r="E127" s="465">
        <v>1</v>
      </c>
      <c r="F127" s="465">
        <v>1</v>
      </c>
      <c r="G127" s="465">
        <v>1</v>
      </c>
      <c r="H127" s="465">
        <v>1</v>
      </c>
      <c r="I127" s="465">
        <v>1</v>
      </c>
      <c r="J127" s="465">
        <v>1</v>
      </c>
      <c r="K127" s="465">
        <v>1</v>
      </c>
      <c r="L127" s="326">
        <f>L126*(1-L121)</f>
        <v>11</v>
      </c>
      <c r="M127" s="326">
        <f t="shared" ref="M127:AB127" si="26">M126*(1-M121)</f>
        <v>15</v>
      </c>
      <c r="N127" s="326">
        <f t="shared" si="26"/>
        <v>16.5</v>
      </c>
      <c r="O127" s="485">
        <f t="shared" si="26"/>
        <v>17</v>
      </c>
      <c r="P127" s="326">
        <f t="shared" si="26"/>
        <v>14</v>
      </c>
      <c r="Q127" s="326">
        <f t="shared" si="26"/>
        <v>11</v>
      </c>
      <c r="R127" s="326">
        <f t="shared" si="26"/>
        <v>9</v>
      </c>
      <c r="S127" s="326">
        <f t="shared" si="26"/>
        <v>7</v>
      </c>
      <c r="T127" s="326">
        <f t="shared" si="26"/>
        <v>6</v>
      </c>
      <c r="U127" s="326">
        <f t="shared" si="26"/>
        <v>9</v>
      </c>
      <c r="V127" s="326">
        <f t="shared" si="26"/>
        <v>10</v>
      </c>
      <c r="W127" s="326">
        <f t="shared" si="26"/>
        <v>9</v>
      </c>
      <c r="X127" s="326">
        <f t="shared" si="26"/>
        <v>8.32</v>
      </c>
      <c r="Y127" s="326">
        <f t="shared" si="26"/>
        <v>7</v>
      </c>
      <c r="Z127" s="326">
        <f t="shared" si="26"/>
        <v>6</v>
      </c>
      <c r="AA127" s="326">
        <f t="shared" si="26"/>
        <v>6</v>
      </c>
      <c r="AB127" s="326">
        <f t="shared" si="26"/>
        <v>5.4</v>
      </c>
      <c r="AC127" s="326">
        <f t="shared" ref="AC127" si="27">AC126*(1-AC121)</f>
        <v>5.4</v>
      </c>
    </row>
    <row r="128" spans="1:29" x14ac:dyDescent="0.2">
      <c r="A128" s="240"/>
      <c r="C128" s="465"/>
      <c r="D128" s="465"/>
      <c r="E128" s="465"/>
      <c r="F128" s="465"/>
      <c r="G128" s="465"/>
      <c r="H128" s="465"/>
      <c r="I128" s="465"/>
      <c r="J128" s="465"/>
      <c r="K128" s="465"/>
      <c r="L128" s="460"/>
      <c r="M128" s="460"/>
      <c r="N128" s="460"/>
      <c r="O128" s="469"/>
      <c r="P128" s="460"/>
      <c r="Q128" s="460"/>
      <c r="R128" s="460"/>
      <c r="S128" s="460"/>
      <c r="T128" s="460"/>
      <c r="U128" s="460"/>
      <c r="V128" s="460"/>
      <c r="W128" s="460"/>
      <c r="X128" s="460"/>
      <c r="Y128" s="460"/>
      <c r="Z128" s="460"/>
      <c r="AA128" s="460"/>
      <c r="AB128" s="460"/>
    </row>
    <row r="129" spans="1:29" x14ac:dyDescent="0.2">
      <c r="A129" s="240"/>
      <c r="C129" s="465"/>
      <c r="D129" s="465"/>
      <c r="E129" s="465"/>
      <c r="F129" s="465"/>
      <c r="G129" s="465"/>
      <c r="H129" s="465"/>
      <c r="I129" s="465"/>
      <c r="J129" s="465"/>
      <c r="K129" s="465"/>
      <c r="L129" s="460"/>
      <c r="M129" s="460"/>
      <c r="N129" s="460"/>
      <c r="O129" s="469"/>
      <c r="P129" s="460"/>
      <c r="Q129" s="460"/>
      <c r="R129" s="460"/>
      <c r="S129" s="460"/>
      <c r="T129" s="460"/>
      <c r="U129" s="460"/>
      <c r="V129" s="460"/>
      <c r="W129" s="460"/>
      <c r="X129" s="460"/>
      <c r="Y129" s="460"/>
      <c r="Z129" s="460"/>
      <c r="AA129" s="460"/>
      <c r="AB129" s="460"/>
    </row>
    <row r="130" spans="1:29" x14ac:dyDescent="0.2">
      <c r="A130" s="240"/>
      <c r="C130" s="465"/>
      <c r="D130" s="465"/>
      <c r="E130" s="465"/>
      <c r="F130" s="465"/>
      <c r="G130" s="465"/>
      <c r="H130" s="465"/>
      <c r="I130" s="465"/>
      <c r="J130" s="465"/>
      <c r="K130" s="465"/>
      <c r="L130" s="471"/>
      <c r="M130" s="460"/>
      <c r="N130" s="460"/>
      <c r="O130" s="469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460"/>
      <c r="AB130" s="460"/>
    </row>
    <row r="131" spans="1:29" x14ac:dyDescent="0.2">
      <c r="K131" s="250" t="s">
        <v>187</v>
      </c>
    </row>
    <row r="132" spans="1:29" x14ac:dyDescent="0.2">
      <c r="L132" s="466">
        <f>INDEX([1]!KoefRostZPl,3,L133-8)</f>
        <v>0</v>
      </c>
      <c r="M132" s="466">
        <f>INDEX([1]!KoefRostZPl,3,M133-8)</f>
        <v>0</v>
      </c>
      <c r="N132" s="466">
        <f>INDEX([1]!KoefRostZPl,3,N133-8)</f>
        <v>0</v>
      </c>
      <c r="O132" s="490">
        <f>INDEX([1]!KoefRostZPl,3,O133-8)</f>
        <v>0</v>
      </c>
      <c r="P132" s="466">
        <f>INDEX([1]!KoefRostZPl,3,P133-8)</f>
        <v>0</v>
      </c>
      <c r="Q132" s="466">
        <f>INDEX([1]!KoefRostZPl,3,Q133-8)</f>
        <v>0</v>
      </c>
      <c r="R132" s="466">
        <f>INDEX([1]!KoefRostZPl,3,R133-8)</f>
        <v>0</v>
      </c>
      <c r="S132" s="466">
        <f>INDEX([1]!KoefRostZPl,3,S133-8)</f>
        <v>0</v>
      </c>
      <c r="T132" s="466">
        <f>INDEX([1]!KoefRostZPl,3,T133-8)</f>
        <v>0</v>
      </c>
      <c r="U132" s="466">
        <f>INDEX([1]!KoefRostZPl,3,U133-8)</f>
        <v>0</v>
      </c>
      <c r="V132" s="466">
        <f>INDEX([1]!KoefRostZPl,3,V133-8)</f>
        <v>0</v>
      </c>
      <c r="W132" s="466">
        <f>INDEX([1]!KoefRostZPl,3,W133-8)</f>
        <v>0</v>
      </c>
      <c r="X132" s="466">
        <f>INDEX([1]!KoefRostZPl,3,X133-8)</f>
        <v>0</v>
      </c>
      <c r="Y132" s="466">
        <f>INDEX([1]!KoefRostZPl,3,Y133-8)</f>
        <v>0</v>
      </c>
      <c r="Z132" s="466">
        <f>INDEX([1]!KoefRostZPl,3,Z133-8)</f>
        <v>0</v>
      </c>
      <c r="AA132" s="466">
        <f>INDEX([1]!KoefRostZPl,3,AA133-8)</f>
        <v>0</v>
      </c>
      <c r="AB132" s="466">
        <f>INDEX([1]!KoefRostZPl,3,AB133-8)</f>
        <v>0.12</v>
      </c>
      <c r="AC132" s="466">
        <f>INDEX([1]!KoefRostZPl,3,AC133-8)</f>
        <v>0.12</v>
      </c>
    </row>
    <row r="133" spans="1:29" x14ac:dyDescent="0.2">
      <c r="B133" s="250" t="s">
        <v>186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 s="112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  <c r="W133">
        <v>20</v>
      </c>
      <c r="X133">
        <v>21</v>
      </c>
      <c r="Y133">
        <v>22</v>
      </c>
      <c r="Z133">
        <v>23</v>
      </c>
      <c r="AA133">
        <v>24</v>
      </c>
      <c r="AB133">
        <v>25</v>
      </c>
      <c r="AC133">
        <v>26</v>
      </c>
    </row>
    <row r="134" spans="1:29" x14ac:dyDescent="0.2">
      <c r="A134" s="309" t="s">
        <v>112</v>
      </c>
      <c r="B134" s="198"/>
      <c r="C134" s="464">
        <v>2005</v>
      </c>
      <c r="D134" s="198">
        <v>2006</v>
      </c>
      <c r="E134" s="198">
        <v>2007</v>
      </c>
      <c r="F134" s="198">
        <v>2008</v>
      </c>
      <c r="G134" s="198">
        <v>2009</v>
      </c>
      <c r="H134" s="198">
        <v>2010</v>
      </c>
      <c r="I134" s="198">
        <v>2011</v>
      </c>
      <c r="J134" s="198">
        <v>2012</v>
      </c>
      <c r="K134" s="198">
        <v>2013</v>
      </c>
      <c r="L134" s="293">
        <v>2014</v>
      </c>
      <c r="M134" s="293">
        <v>2015</v>
      </c>
      <c r="N134" s="293">
        <v>2016</v>
      </c>
      <c r="O134" s="293">
        <v>2017</v>
      </c>
      <c r="P134" s="198">
        <v>2018</v>
      </c>
      <c r="Q134" s="198">
        <v>2019</v>
      </c>
      <c r="R134" s="198">
        <v>2020</v>
      </c>
      <c r="S134" s="198">
        <v>2021</v>
      </c>
      <c r="T134" s="198">
        <v>2022</v>
      </c>
      <c r="U134" s="198">
        <v>2023</v>
      </c>
      <c r="V134" s="198">
        <v>2024</v>
      </c>
      <c r="W134" s="198">
        <v>2025</v>
      </c>
      <c r="X134" s="198">
        <v>2026</v>
      </c>
      <c r="Y134" s="198">
        <v>2027</v>
      </c>
      <c r="Z134" s="198">
        <v>2028</v>
      </c>
      <c r="AA134" s="198">
        <v>2029</v>
      </c>
      <c r="AB134" s="198">
        <v>2030</v>
      </c>
      <c r="AC134" s="198">
        <v>2031</v>
      </c>
    </row>
    <row r="135" spans="1:29" x14ac:dyDescent="0.2">
      <c r="A135" s="198">
        <f>[1]!NScenRostZPlat_3</f>
        <v>1</v>
      </c>
      <c r="B135" t="s">
        <v>180</v>
      </c>
      <c r="C135" s="465">
        <v>1</v>
      </c>
      <c r="D135" s="465">
        <v>1</v>
      </c>
      <c r="E135" s="465">
        <v>1</v>
      </c>
      <c r="F135" s="465">
        <v>1</v>
      </c>
      <c r="G135" s="465">
        <v>1</v>
      </c>
      <c r="H135" s="465">
        <v>1</v>
      </c>
      <c r="I135" s="465">
        <v>1</v>
      </c>
      <c r="J135" s="465">
        <v>1</v>
      </c>
      <c r="K135" s="465">
        <v>1</v>
      </c>
      <c r="L135" s="467">
        <f>L136*(1+L132)</f>
        <v>11</v>
      </c>
      <c r="M135" s="467">
        <f t="shared" ref="M135:AB135" si="28">M136*(1+M132)</f>
        <v>15</v>
      </c>
      <c r="N135" s="467">
        <f t="shared" si="28"/>
        <v>16.5</v>
      </c>
      <c r="O135" s="491">
        <f t="shared" si="28"/>
        <v>17</v>
      </c>
      <c r="P135" s="467">
        <f t="shared" si="28"/>
        <v>14</v>
      </c>
      <c r="Q135" s="467">
        <f t="shared" si="28"/>
        <v>11</v>
      </c>
      <c r="R135" s="467">
        <f t="shared" si="28"/>
        <v>9</v>
      </c>
      <c r="S135" s="467">
        <f t="shared" si="28"/>
        <v>7</v>
      </c>
      <c r="T135" s="467">
        <f t="shared" si="28"/>
        <v>6</v>
      </c>
      <c r="U135" s="467">
        <f t="shared" si="28"/>
        <v>9</v>
      </c>
      <c r="V135" s="467">
        <f t="shared" si="28"/>
        <v>10</v>
      </c>
      <c r="W135" s="467">
        <f t="shared" si="28"/>
        <v>9</v>
      </c>
      <c r="X135" s="467">
        <f t="shared" si="28"/>
        <v>8.32</v>
      </c>
      <c r="Y135" s="467">
        <f t="shared" si="28"/>
        <v>7</v>
      </c>
      <c r="Z135" s="467">
        <f t="shared" si="28"/>
        <v>6</v>
      </c>
      <c r="AA135" s="467">
        <f t="shared" si="28"/>
        <v>6</v>
      </c>
      <c r="AB135" s="467">
        <f t="shared" si="28"/>
        <v>6.7200000000000006</v>
      </c>
      <c r="AC135" s="467">
        <f t="shared" ref="AC135" si="29">AC136*(1+AC132)</f>
        <v>6.7200000000000006</v>
      </c>
    </row>
    <row r="136" spans="1:29" x14ac:dyDescent="0.2">
      <c r="A136" s="240"/>
      <c r="B136" t="s">
        <v>181</v>
      </c>
      <c r="C136" s="465">
        <v>1</v>
      </c>
      <c r="D136" s="465">
        <v>1</v>
      </c>
      <c r="E136" s="465">
        <v>1</v>
      </c>
      <c r="F136" s="465">
        <v>1</v>
      </c>
      <c r="G136" s="465">
        <v>1</v>
      </c>
      <c r="H136" s="465">
        <v>1</v>
      </c>
      <c r="I136" s="465">
        <v>1</v>
      </c>
      <c r="J136" s="465">
        <v>1</v>
      </c>
      <c r="K136" s="465">
        <v>1</v>
      </c>
      <c r="L136" s="326">
        <f>INDEX(ScenInflPotrS,[1]!NscenInfl,L123)</f>
        <v>11</v>
      </c>
      <c r="M136" s="326">
        <f>INDEX(ScenInflPotrS,[1]!NscenInfl,M123)</f>
        <v>15</v>
      </c>
      <c r="N136" s="326">
        <f>INDEX(ScenInflPotrS,[1]!NscenInfl,N123)</f>
        <v>16.5</v>
      </c>
      <c r="O136" s="485">
        <f>INDEX(ScenInflPotrS,[1]!NscenInfl,O123)</f>
        <v>17</v>
      </c>
      <c r="P136" s="326">
        <f>INDEX(ScenInflPotrS,[1]!NscenInfl,P123)</f>
        <v>14</v>
      </c>
      <c r="Q136" s="326">
        <f>INDEX(ScenInflPotrS,[1]!NscenInfl,Q123)</f>
        <v>11</v>
      </c>
      <c r="R136" s="326">
        <f>INDEX(ScenInflPotrS,[1]!NscenInfl,R123)</f>
        <v>9</v>
      </c>
      <c r="S136" s="326">
        <f>INDEX(ScenInflPotrS,[1]!NscenInfl,S123)</f>
        <v>7</v>
      </c>
      <c r="T136" s="326">
        <f>INDEX(ScenInflPotrS,[1]!NscenInfl,T123)</f>
        <v>6</v>
      </c>
      <c r="U136" s="326">
        <f>INDEX(ScenInflPotrS,[1]!NscenInfl,U123)</f>
        <v>9</v>
      </c>
      <c r="V136" s="326">
        <f>INDEX(ScenInflPotrS,[1]!NscenInfl,V123)</f>
        <v>10</v>
      </c>
      <c r="W136" s="326">
        <f>INDEX(ScenInflPotrS,[1]!NscenInfl,W123)</f>
        <v>9</v>
      </c>
      <c r="X136" s="326">
        <f>INDEX(ScenInflPotrS,[1]!NscenInfl,X123)</f>
        <v>8.32</v>
      </c>
      <c r="Y136" s="326">
        <f>INDEX(ScenInflPotrS,[1]!NscenInfl,Y123)</f>
        <v>7</v>
      </c>
      <c r="Z136" s="326">
        <f>INDEX(ScenInflPotrS,[1]!NscenInfl,Z123)</f>
        <v>6</v>
      </c>
      <c r="AA136" s="326">
        <f>INDEX(ScenInflPotrS,[1]!NscenInfl,AA123)</f>
        <v>6</v>
      </c>
      <c r="AB136" s="326">
        <f>INDEX(ScenInflPotrS,[1]!NscenInfl,AB123)</f>
        <v>6</v>
      </c>
      <c r="AC136" s="326">
        <f>INDEX(ScenInflPotrS,[1]!NscenInfl,AC123)</f>
        <v>6</v>
      </c>
    </row>
    <row r="137" spans="1:29" x14ac:dyDescent="0.2">
      <c r="A137" s="240"/>
      <c r="B137" t="s">
        <v>182</v>
      </c>
      <c r="C137" s="465">
        <v>1</v>
      </c>
      <c r="D137" s="465">
        <v>1</v>
      </c>
      <c r="E137" s="465">
        <v>1</v>
      </c>
      <c r="F137" s="465">
        <v>1</v>
      </c>
      <c r="G137" s="465">
        <v>1</v>
      </c>
      <c r="H137" s="465">
        <v>1</v>
      </c>
      <c r="I137" s="465">
        <v>1</v>
      </c>
      <c r="J137" s="465">
        <v>1</v>
      </c>
      <c r="K137" s="465">
        <v>1</v>
      </c>
      <c r="L137" s="326">
        <f>L136*(1-L132)</f>
        <v>11</v>
      </c>
      <c r="M137" s="326">
        <f t="shared" ref="M137:AB137" si="30">M136*(1-M132)</f>
        <v>15</v>
      </c>
      <c r="N137" s="326">
        <f t="shared" si="30"/>
        <v>16.5</v>
      </c>
      <c r="O137" s="485">
        <f t="shared" si="30"/>
        <v>17</v>
      </c>
      <c r="P137" s="326">
        <f t="shared" si="30"/>
        <v>14</v>
      </c>
      <c r="Q137" s="326">
        <f t="shared" si="30"/>
        <v>11</v>
      </c>
      <c r="R137" s="326">
        <f t="shared" si="30"/>
        <v>9</v>
      </c>
      <c r="S137" s="326">
        <f t="shared" si="30"/>
        <v>7</v>
      </c>
      <c r="T137" s="326">
        <f t="shared" si="30"/>
        <v>6</v>
      </c>
      <c r="U137" s="326">
        <f t="shared" si="30"/>
        <v>9</v>
      </c>
      <c r="V137" s="326">
        <f t="shared" si="30"/>
        <v>10</v>
      </c>
      <c r="W137" s="326">
        <f t="shared" si="30"/>
        <v>9</v>
      </c>
      <c r="X137" s="326">
        <f t="shared" si="30"/>
        <v>8.32</v>
      </c>
      <c r="Y137" s="326">
        <f t="shared" si="30"/>
        <v>7</v>
      </c>
      <c r="Z137" s="326">
        <f t="shared" si="30"/>
        <v>6</v>
      </c>
      <c r="AA137" s="326">
        <f t="shared" si="30"/>
        <v>6</v>
      </c>
      <c r="AB137" s="326">
        <f t="shared" si="30"/>
        <v>5.28</v>
      </c>
      <c r="AC137" s="326">
        <f t="shared" ref="AC137" si="31">AC136*(1-AC132)</f>
        <v>5.28</v>
      </c>
    </row>
    <row r="138" spans="1:29" x14ac:dyDescent="0.2">
      <c r="A138" s="240"/>
      <c r="C138" s="465"/>
      <c r="D138" s="465"/>
      <c r="E138" s="465"/>
      <c r="F138" s="465"/>
      <c r="G138" s="465"/>
      <c r="H138" s="465"/>
      <c r="I138" s="465"/>
      <c r="J138" s="465"/>
      <c r="K138" s="465"/>
      <c r="L138" s="460"/>
      <c r="M138" s="460"/>
      <c r="N138" s="460"/>
      <c r="O138" s="469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</row>
    <row r="139" spans="1:29" x14ac:dyDescent="0.2">
      <c r="A139" s="240"/>
      <c r="C139" s="465"/>
      <c r="D139" s="465"/>
      <c r="E139" s="465"/>
      <c r="F139" s="465"/>
      <c r="G139" s="465"/>
      <c r="H139" s="465"/>
      <c r="I139" s="465"/>
      <c r="J139" s="465"/>
      <c r="K139" s="465"/>
      <c r="L139" s="460"/>
      <c r="M139" s="460"/>
      <c r="N139" s="460"/>
      <c r="O139" s="469"/>
      <c r="P139" s="460"/>
      <c r="Q139" s="460"/>
      <c r="R139" s="460"/>
      <c r="S139" s="460"/>
      <c r="T139" s="460"/>
      <c r="U139" s="460"/>
      <c r="V139" s="460"/>
      <c r="W139" s="460"/>
      <c r="X139" s="460"/>
      <c r="Y139" s="460"/>
      <c r="Z139" s="460"/>
      <c r="AA139" s="460"/>
      <c r="AB139" s="460"/>
    </row>
    <row r="140" spans="1:29" x14ac:dyDescent="0.2">
      <c r="A140" s="240"/>
      <c r="C140" s="465"/>
      <c r="D140" s="465"/>
      <c r="E140" s="465"/>
      <c r="F140" s="465"/>
      <c r="G140" s="465"/>
      <c r="H140" s="465"/>
      <c r="I140" s="465"/>
      <c r="J140" s="465"/>
      <c r="K140" s="465"/>
      <c r="L140" s="460"/>
      <c r="M140" s="460"/>
      <c r="N140" s="460"/>
      <c r="O140" s="469"/>
      <c r="P140" s="460"/>
      <c r="Q140" s="460"/>
      <c r="R140" s="460"/>
      <c r="S140" s="460"/>
      <c r="T140" s="460"/>
      <c r="U140" s="460"/>
      <c r="V140" s="460"/>
      <c r="W140" s="460"/>
      <c r="X140" s="460"/>
      <c r="Y140" s="460"/>
      <c r="Z140" s="460"/>
      <c r="AA140" s="460"/>
      <c r="AB140" s="460"/>
    </row>
    <row r="141" spans="1:29" x14ac:dyDescent="0.2">
      <c r="K141" s="250" t="s">
        <v>188</v>
      </c>
    </row>
    <row r="142" spans="1:29" x14ac:dyDescent="0.2">
      <c r="L142" s="466">
        <f>INDEX([1]!KoefRostZPl,4,L143-8)</f>
        <v>0</v>
      </c>
      <c r="M142" s="466">
        <f>INDEX([1]!KoefRostZPl,4,M143-8)</f>
        <v>0</v>
      </c>
      <c r="N142" s="466">
        <f>INDEX([1]!KoefRostZPl,4,N143-8)</f>
        <v>0</v>
      </c>
      <c r="O142" s="490">
        <f>INDEX([1]!KoefRostZPl,4,O143-8)</f>
        <v>0</v>
      </c>
      <c r="P142" s="466">
        <f>INDEX([1]!KoefRostZPl,4,P143-8)</f>
        <v>0</v>
      </c>
      <c r="Q142" s="466">
        <f>INDEX([1]!KoefRostZPl,4,Q143-8)</f>
        <v>0</v>
      </c>
      <c r="R142" s="466">
        <f>INDEX([1]!KoefRostZPl,4,R143-8)</f>
        <v>0</v>
      </c>
      <c r="S142" s="466">
        <f>INDEX([1]!KoefRostZPl,4,S143-8)</f>
        <v>0</v>
      </c>
      <c r="T142" s="466">
        <f>INDEX([1]!KoefRostZPl,4,T143-8)</f>
        <v>0</v>
      </c>
      <c r="U142" s="466">
        <f>INDEX([1]!KoefRostZPl,4,U143-8)</f>
        <v>0</v>
      </c>
      <c r="V142" s="466">
        <f>INDEX([1]!KoefRostZPl,4,V143-8)</f>
        <v>0</v>
      </c>
      <c r="W142" s="466">
        <f>INDEX([1]!KoefRostZPl,4,W143-8)</f>
        <v>0</v>
      </c>
      <c r="X142" s="466">
        <f>INDEX([1]!KoefRostZPl,4,X143-8)</f>
        <v>0</v>
      </c>
      <c r="Y142" s="466">
        <f>INDEX([1]!KoefRostZPl,4,Y143-8)</f>
        <v>0</v>
      </c>
      <c r="Z142" s="466">
        <f>INDEX([1]!KoefRostZPl,4,Z143-8)</f>
        <v>0</v>
      </c>
      <c r="AA142" s="466">
        <f>INDEX([1]!KoefRostZPl,4,AA143-8)</f>
        <v>0</v>
      </c>
      <c r="AB142" s="466">
        <f>INDEX([1]!KoefRostZPl,4,AB143-8)</f>
        <v>0.13</v>
      </c>
      <c r="AC142" s="466">
        <f>INDEX([1]!KoefRostZPl,4,AC143-8)</f>
        <v>0.13</v>
      </c>
    </row>
    <row r="143" spans="1:29" x14ac:dyDescent="0.2">
      <c r="B143" s="250" t="s">
        <v>189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 s="112">
        <v>12</v>
      </c>
      <c r="P143">
        <v>13</v>
      </c>
      <c r="Q143">
        <v>14</v>
      </c>
      <c r="R143">
        <v>15</v>
      </c>
      <c r="S143">
        <v>16</v>
      </c>
      <c r="T143">
        <v>17</v>
      </c>
      <c r="U143">
        <v>18</v>
      </c>
      <c r="V143">
        <v>19</v>
      </c>
      <c r="W143">
        <v>20</v>
      </c>
      <c r="X143">
        <v>21</v>
      </c>
      <c r="Y143">
        <v>22</v>
      </c>
      <c r="Z143">
        <v>23</v>
      </c>
      <c r="AA143">
        <v>24</v>
      </c>
      <c r="AB143">
        <v>25</v>
      </c>
      <c r="AC143">
        <v>26</v>
      </c>
    </row>
    <row r="144" spans="1:29" x14ac:dyDescent="0.2">
      <c r="A144" s="309" t="s">
        <v>112</v>
      </c>
      <c r="B144" s="198"/>
      <c r="C144" s="464">
        <v>2005</v>
      </c>
      <c r="D144" s="198">
        <v>2006</v>
      </c>
      <c r="E144" s="198">
        <v>2007</v>
      </c>
      <c r="F144" s="198">
        <v>2008</v>
      </c>
      <c r="G144" s="198">
        <v>2009</v>
      </c>
      <c r="H144" s="198">
        <v>2010</v>
      </c>
      <c r="I144" s="198">
        <v>2011</v>
      </c>
      <c r="J144" s="198">
        <v>2012</v>
      </c>
      <c r="K144" s="198">
        <v>2013</v>
      </c>
      <c r="L144" s="293">
        <v>2014</v>
      </c>
      <c r="M144" s="293">
        <v>2015</v>
      </c>
      <c r="N144" s="293">
        <v>2016</v>
      </c>
      <c r="O144" s="293">
        <v>2017</v>
      </c>
      <c r="P144" s="198">
        <v>2018</v>
      </c>
      <c r="Q144" s="198">
        <v>2019</v>
      </c>
      <c r="R144" s="198">
        <v>2020</v>
      </c>
      <c r="S144" s="198">
        <v>2021</v>
      </c>
      <c r="T144" s="198">
        <v>2022</v>
      </c>
      <c r="U144" s="198">
        <v>2023</v>
      </c>
      <c r="V144" s="198">
        <v>2024</v>
      </c>
      <c r="W144" s="198">
        <v>2025</v>
      </c>
      <c r="X144" s="198">
        <v>2026</v>
      </c>
      <c r="Y144" s="198">
        <v>2027</v>
      </c>
      <c r="Z144" s="198">
        <v>2028</v>
      </c>
      <c r="AA144" s="198">
        <v>2029</v>
      </c>
      <c r="AB144" s="198">
        <v>2030</v>
      </c>
      <c r="AC144" s="198">
        <v>2031</v>
      </c>
    </row>
    <row r="145" spans="1:29" x14ac:dyDescent="0.2">
      <c r="A145" s="198">
        <f>[1]!NScenRostZPlat_4</f>
        <v>1</v>
      </c>
      <c r="B145" t="s">
        <v>180</v>
      </c>
      <c r="C145" s="465">
        <v>1</v>
      </c>
      <c r="D145" s="465">
        <v>1</v>
      </c>
      <c r="E145" s="465">
        <v>1</v>
      </c>
      <c r="F145" s="465">
        <v>1</v>
      </c>
      <c r="G145" s="465">
        <v>1</v>
      </c>
      <c r="H145" s="465">
        <v>1</v>
      </c>
      <c r="I145" s="465">
        <v>1</v>
      </c>
      <c r="J145" s="465">
        <v>1</v>
      </c>
      <c r="K145" s="465">
        <v>1</v>
      </c>
      <c r="L145" s="467">
        <f>L146*(1+L142)</f>
        <v>11</v>
      </c>
      <c r="M145" s="467">
        <f t="shared" ref="M145:AB145" si="32">M146*(1+M142)</f>
        <v>15</v>
      </c>
      <c r="N145" s="467">
        <f t="shared" si="32"/>
        <v>16.5</v>
      </c>
      <c r="O145" s="491">
        <f t="shared" si="32"/>
        <v>17</v>
      </c>
      <c r="P145" s="467">
        <f t="shared" si="32"/>
        <v>14</v>
      </c>
      <c r="Q145" s="467">
        <f t="shared" si="32"/>
        <v>11</v>
      </c>
      <c r="R145" s="467">
        <f t="shared" si="32"/>
        <v>9</v>
      </c>
      <c r="S145" s="467">
        <f t="shared" si="32"/>
        <v>7</v>
      </c>
      <c r="T145" s="467">
        <f t="shared" si="32"/>
        <v>6</v>
      </c>
      <c r="U145" s="467">
        <f t="shared" si="32"/>
        <v>9</v>
      </c>
      <c r="V145" s="467">
        <f t="shared" si="32"/>
        <v>10</v>
      </c>
      <c r="W145" s="467">
        <f t="shared" si="32"/>
        <v>9</v>
      </c>
      <c r="X145" s="467">
        <f t="shared" si="32"/>
        <v>8.32</v>
      </c>
      <c r="Y145" s="467">
        <f t="shared" si="32"/>
        <v>7</v>
      </c>
      <c r="Z145" s="467">
        <f t="shared" si="32"/>
        <v>6</v>
      </c>
      <c r="AA145" s="467">
        <f t="shared" si="32"/>
        <v>6</v>
      </c>
      <c r="AB145" s="467">
        <f t="shared" si="32"/>
        <v>6.7799999999999994</v>
      </c>
      <c r="AC145" s="467">
        <f t="shared" ref="AC145" si="33">AC146*(1+AC142)</f>
        <v>6.7799999999999994</v>
      </c>
    </row>
    <row r="146" spans="1:29" x14ac:dyDescent="0.2">
      <c r="A146" s="240"/>
      <c r="B146" t="s">
        <v>181</v>
      </c>
      <c r="C146" s="465">
        <v>1</v>
      </c>
      <c r="D146" s="465">
        <v>1</v>
      </c>
      <c r="E146" s="465">
        <v>1</v>
      </c>
      <c r="F146" s="465">
        <v>1</v>
      </c>
      <c r="G146" s="465">
        <v>1</v>
      </c>
      <c r="H146" s="465">
        <v>1</v>
      </c>
      <c r="I146" s="465">
        <v>1</v>
      </c>
      <c r="J146" s="465">
        <v>1</v>
      </c>
      <c r="K146" s="465">
        <v>1</v>
      </c>
      <c r="L146" s="326">
        <f>INDEX(ScenInflPotrS,[1]!NscenInfl,L123)</f>
        <v>11</v>
      </c>
      <c r="M146" s="326">
        <f>INDEX(ScenInflPotrS,[1]!NscenInfl,M123)</f>
        <v>15</v>
      </c>
      <c r="N146" s="326">
        <f>INDEX(ScenInflPotrS,[1]!NscenInfl,N123)</f>
        <v>16.5</v>
      </c>
      <c r="O146" s="485">
        <f>INDEX(ScenInflPotrS,[1]!NscenInfl,O123)</f>
        <v>17</v>
      </c>
      <c r="P146" s="326">
        <f>INDEX(ScenInflPotrS,[1]!NscenInfl,P123)</f>
        <v>14</v>
      </c>
      <c r="Q146" s="326">
        <f>INDEX(ScenInflPotrS,[1]!NscenInfl,Q123)</f>
        <v>11</v>
      </c>
      <c r="R146" s="326">
        <f>INDEX(ScenInflPotrS,[1]!NscenInfl,R123)</f>
        <v>9</v>
      </c>
      <c r="S146" s="326">
        <f>INDEX(ScenInflPotrS,[1]!NscenInfl,S123)</f>
        <v>7</v>
      </c>
      <c r="T146" s="326">
        <f>INDEX(ScenInflPotrS,[1]!NscenInfl,T123)</f>
        <v>6</v>
      </c>
      <c r="U146" s="326">
        <f>INDEX(ScenInflPotrS,[1]!NscenInfl,U123)</f>
        <v>9</v>
      </c>
      <c r="V146" s="326">
        <f>INDEX(ScenInflPotrS,[1]!NscenInfl,V123)</f>
        <v>10</v>
      </c>
      <c r="W146" s="326">
        <f>INDEX(ScenInflPotrS,[1]!NscenInfl,W123)</f>
        <v>9</v>
      </c>
      <c r="X146" s="326">
        <f>INDEX(ScenInflPotrS,[1]!NscenInfl,X123)</f>
        <v>8.32</v>
      </c>
      <c r="Y146" s="326">
        <f>INDEX(ScenInflPotrS,[1]!NscenInfl,Y123)</f>
        <v>7</v>
      </c>
      <c r="Z146" s="326">
        <f>INDEX(ScenInflPotrS,[1]!NscenInfl,Z123)</f>
        <v>6</v>
      </c>
      <c r="AA146" s="326">
        <f>INDEX(ScenInflPotrS,[1]!NscenInfl,AA123)</f>
        <v>6</v>
      </c>
      <c r="AB146" s="326">
        <f>INDEX(ScenInflPotrS,[1]!NscenInfl,AB123)</f>
        <v>6</v>
      </c>
      <c r="AC146" s="326">
        <f>INDEX(ScenInflPotrS,[1]!NscenInfl,AC123)</f>
        <v>6</v>
      </c>
    </row>
    <row r="147" spans="1:29" x14ac:dyDescent="0.2">
      <c r="A147" s="240"/>
      <c r="B147" t="s">
        <v>182</v>
      </c>
      <c r="C147" s="465">
        <v>1</v>
      </c>
      <c r="D147" s="465">
        <v>1</v>
      </c>
      <c r="E147" s="465">
        <v>1</v>
      </c>
      <c r="F147" s="465">
        <v>1</v>
      </c>
      <c r="G147" s="465">
        <v>1</v>
      </c>
      <c r="H147" s="465">
        <v>1</v>
      </c>
      <c r="I147" s="465">
        <v>1</v>
      </c>
      <c r="J147" s="465">
        <v>1</v>
      </c>
      <c r="K147" s="465">
        <v>1</v>
      </c>
      <c r="L147" s="326">
        <f>L146*(1-L142)</f>
        <v>11</v>
      </c>
      <c r="M147" s="326">
        <f t="shared" ref="M147:AB147" si="34">M146*(1-M142)</f>
        <v>15</v>
      </c>
      <c r="N147" s="326">
        <f t="shared" si="34"/>
        <v>16.5</v>
      </c>
      <c r="O147" s="485">
        <f t="shared" si="34"/>
        <v>17</v>
      </c>
      <c r="P147" s="326">
        <f t="shared" si="34"/>
        <v>14</v>
      </c>
      <c r="Q147" s="326">
        <f t="shared" si="34"/>
        <v>11</v>
      </c>
      <c r="R147" s="326">
        <f t="shared" si="34"/>
        <v>9</v>
      </c>
      <c r="S147" s="326">
        <f t="shared" si="34"/>
        <v>7</v>
      </c>
      <c r="T147" s="326">
        <f t="shared" si="34"/>
        <v>6</v>
      </c>
      <c r="U147" s="326">
        <f t="shared" si="34"/>
        <v>9</v>
      </c>
      <c r="V147" s="326">
        <f t="shared" si="34"/>
        <v>10</v>
      </c>
      <c r="W147" s="326">
        <f t="shared" si="34"/>
        <v>9</v>
      </c>
      <c r="X147" s="326">
        <f t="shared" si="34"/>
        <v>8.32</v>
      </c>
      <c r="Y147" s="326">
        <f t="shared" si="34"/>
        <v>7</v>
      </c>
      <c r="Z147" s="326">
        <f t="shared" si="34"/>
        <v>6</v>
      </c>
      <c r="AA147" s="326">
        <f t="shared" si="34"/>
        <v>6</v>
      </c>
      <c r="AB147" s="326">
        <f t="shared" si="34"/>
        <v>5.22</v>
      </c>
      <c r="AC147" s="326">
        <f t="shared" ref="AC147" si="35">AC146*(1-AC142)</f>
        <v>5.22</v>
      </c>
    </row>
    <row r="148" spans="1:29" x14ac:dyDescent="0.2">
      <c r="A148" s="240"/>
      <c r="C148" s="465"/>
      <c r="D148" s="465"/>
      <c r="E148" s="465"/>
      <c r="F148" s="465"/>
      <c r="G148" s="465"/>
      <c r="H148" s="465"/>
      <c r="I148" s="465"/>
      <c r="J148" s="465"/>
      <c r="K148" s="465"/>
      <c r="L148" s="460"/>
      <c r="M148" s="460"/>
      <c r="N148" s="460"/>
      <c r="O148" s="469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460"/>
      <c r="AB148" s="460"/>
    </row>
    <row r="149" spans="1:29" x14ac:dyDescent="0.2">
      <c r="A149" s="240"/>
      <c r="C149" s="465"/>
      <c r="D149" s="465"/>
      <c r="E149" s="465"/>
      <c r="F149" s="465"/>
      <c r="G149" s="465"/>
      <c r="H149" s="465"/>
      <c r="I149" s="465"/>
      <c r="J149" s="465"/>
      <c r="K149" s="465"/>
      <c r="L149" s="460"/>
      <c r="M149" s="460"/>
      <c r="N149" s="460"/>
      <c r="O149" s="469"/>
      <c r="P149" s="460"/>
      <c r="Q149" s="460"/>
      <c r="R149" s="460"/>
      <c r="S149" s="460"/>
      <c r="T149" s="460"/>
      <c r="U149" s="460"/>
      <c r="V149" s="460"/>
      <c r="W149" s="460"/>
      <c r="X149" s="460"/>
      <c r="Y149" s="460"/>
      <c r="Z149" s="460"/>
      <c r="AA149" s="460"/>
      <c r="AB149" s="460"/>
    </row>
    <row r="150" spans="1:29" x14ac:dyDescent="0.2">
      <c r="K150" s="250" t="s">
        <v>190</v>
      </c>
    </row>
    <row r="151" spans="1:29" x14ac:dyDescent="0.2">
      <c r="L151" s="466">
        <f>INDEX([1]!KoefRostZPl,5,L152-8)</f>
        <v>0</v>
      </c>
      <c r="M151" s="466">
        <f>INDEX([1]!KoefRostZPl,5,M152-8)</f>
        <v>0</v>
      </c>
      <c r="N151" s="466">
        <f>INDEX([1]!KoefRostZPl,5,N152-8)</f>
        <v>0</v>
      </c>
      <c r="O151" s="490">
        <f>INDEX([1]!KoefRostZPl,5,O152-8)</f>
        <v>0</v>
      </c>
      <c r="P151" s="466">
        <f>INDEX([1]!KoefRostZPl,5,P152-8)</f>
        <v>0</v>
      </c>
      <c r="Q151" s="466">
        <f>INDEX([1]!KoefRostZPl,5,Q152-8)</f>
        <v>0</v>
      </c>
      <c r="R151" s="466">
        <f>INDEX([1]!KoefRostZPl,5,R152-8)</f>
        <v>0</v>
      </c>
      <c r="S151" s="466">
        <f>INDEX([1]!KoefRostZPl,5,S152-8)</f>
        <v>0</v>
      </c>
      <c r="T151" s="466">
        <f>INDEX([1]!KoefRostZPl,5,T152-8)</f>
        <v>0</v>
      </c>
      <c r="U151" s="466">
        <f>INDEX([1]!KoefRostZPl,5,U152-8)</f>
        <v>0</v>
      </c>
      <c r="V151" s="466">
        <f>INDEX([1]!KoefRostZPl,5,V152-8)</f>
        <v>0</v>
      </c>
      <c r="W151" s="466">
        <f>INDEX([1]!KoefRostZPl,5,W152-8)</f>
        <v>0</v>
      </c>
      <c r="X151" s="466">
        <f>INDEX([1]!KoefRostZPl,5,X152-8)</f>
        <v>0</v>
      </c>
      <c r="Y151" s="466">
        <f>INDEX([1]!KoefRostZPl,5,Y152-8)</f>
        <v>0</v>
      </c>
      <c r="Z151" s="466">
        <f>INDEX([1]!KoefRostZPl,5,Z152-8)</f>
        <v>0</v>
      </c>
      <c r="AA151" s="466">
        <f>INDEX([1]!KoefRostZPl,5,AA152-8)</f>
        <v>0</v>
      </c>
      <c r="AB151" s="466">
        <f>INDEX([1]!KoefRostZPl,5,AB152-8)</f>
        <v>0.14000000000000001</v>
      </c>
      <c r="AC151" s="466">
        <f>INDEX([1]!KoefRostZPl,5,AC152-8)</f>
        <v>0.14000000000000001</v>
      </c>
    </row>
    <row r="152" spans="1:29" x14ac:dyDescent="0.2">
      <c r="B152" s="250" t="s">
        <v>191</v>
      </c>
      <c r="D152">
        <v>1</v>
      </c>
      <c r="E152">
        <v>2</v>
      </c>
      <c r="F152">
        <v>3</v>
      </c>
      <c r="G152">
        <v>4</v>
      </c>
      <c r="H152">
        <v>5</v>
      </c>
      <c r="I152">
        <v>6</v>
      </c>
      <c r="J152">
        <v>7</v>
      </c>
      <c r="K152">
        <v>8</v>
      </c>
      <c r="L152">
        <v>9</v>
      </c>
      <c r="M152">
        <v>10</v>
      </c>
      <c r="N152">
        <v>11</v>
      </c>
      <c r="O152" s="11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</row>
    <row r="153" spans="1:29" x14ac:dyDescent="0.2">
      <c r="A153" s="309" t="s">
        <v>112</v>
      </c>
      <c r="B153" s="198"/>
      <c r="C153" s="464">
        <v>2005</v>
      </c>
      <c r="D153" s="198">
        <v>2006</v>
      </c>
      <c r="E153" s="198">
        <v>2007</v>
      </c>
      <c r="F153" s="198">
        <v>2008</v>
      </c>
      <c r="G153" s="198">
        <v>2009</v>
      </c>
      <c r="H153" s="198">
        <v>2010</v>
      </c>
      <c r="I153" s="198">
        <v>2011</v>
      </c>
      <c r="J153" s="198">
        <v>2012</v>
      </c>
      <c r="K153" s="198">
        <v>2013</v>
      </c>
      <c r="L153" s="293">
        <v>2014</v>
      </c>
      <c r="M153" s="293">
        <v>2015</v>
      </c>
      <c r="N153" s="293">
        <v>2016</v>
      </c>
      <c r="O153" s="293">
        <v>2017</v>
      </c>
      <c r="P153" s="198">
        <v>2018</v>
      </c>
      <c r="Q153" s="198">
        <v>2019</v>
      </c>
      <c r="R153" s="198">
        <v>2020</v>
      </c>
      <c r="S153" s="198">
        <v>2021</v>
      </c>
      <c r="T153" s="198">
        <v>2022</v>
      </c>
      <c r="U153" s="198">
        <v>2023</v>
      </c>
      <c r="V153" s="198">
        <v>2024</v>
      </c>
      <c r="W153" s="198">
        <v>2025</v>
      </c>
      <c r="X153" s="198">
        <v>2026</v>
      </c>
      <c r="Y153" s="198">
        <v>2027</v>
      </c>
      <c r="Z153" s="198">
        <v>2028</v>
      </c>
      <c r="AA153" s="198">
        <v>2029</v>
      </c>
      <c r="AB153" s="198">
        <v>2030</v>
      </c>
      <c r="AC153" s="198">
        <v>2031</v>
      </c>
    </row>
    <row r="154" spans="1:29" x14ac:dyDescent="0.2">
      <c r="A154" s="198">
        <f>[1]!NScenRostZPlat_5</f>
        <v>1</v>
      </c>
      <c r="B154" t="s">
        <v>180</v>
      </c>
      <c r="C154" s="465">
        <v>1</v>
      </c>
      <c r="D154" s="465">
        <v>1</v>
      </c>
      <c r="E154" s="465">
        <v>1</v>
      </c>
      <c r="F154" s="465">
        <v>1</v>
      </c>
      <c r="G154" s="465">
        <v>1</v>
      </c>
      <c r="H154" s="465">
        <v>1</v>
      </c>
      <c r="I154" s="465">
        <v>1</v>
      </c>
      <c r="J154" s="465">
        <v>1</v>
      </c>
      <c r="K154" s="465">
        <v>1</v>
      </c>
      <c r="L154" s="467">
        <f>L155*(1+L151)</f>
        <v>11</v>
      </c>
      <c r="M154" s="467">
        <f t="shared" ref="M154:AB154" si="36">M155*(1+M151)</f>
        <v>15</v>
      </c>
      <c r="N154" s="467">
        <f t="shared" si="36"/>
        <v>16.5</v>
      </c>
      <c r="O154" s="491">
        <f t="shared" si="36"/>
        <v>17</v>
      </c>
      <c r="P154" s="467">
        <f t="shared" si="36"/>
        <v>14</v>
      </c>
      <c r="Q154" s="467">
        <f t="shared" si="36"/>
        <v>11</v>
      </c>
      <c r="R154" s="467">
        <f t="shared" si="36"/>
        <v>9</v>
      </c>
      <c r="S154" s="467">
        <f t="shared" si="36"/>
        <v>7</v>
      </c>
      <c r="T154" s="467">
        <f t="shared" si="36"/>
        <v>6</v>
      </c>
      <c r="U154" s="467">
        <f t="shared" si="36"/>
        <v>9</v>
      </c>
      <c r="V154" s="467">
        <f t="shared" si="36"/>
        <v>10</v>
      </c>
      <c r="W154" s="467">
        <f t="shared" si="36"/>
        <v>9</v>
      </c>
      <c r="X154" s="467">
        <f t="shared" si="36"/>
        <v>8.32</v>
      </c>
      <c r="Y154" s="467">
        <f t="shared" si="36"/>
        <v>7</v>
      </c>
      <c r="Z154" s="467">
        <f t="shared" si="36"/>
        <v>6</v>
      </c>
      <c r="AA154" s="467">
        <f t="shared" si="36"/>
        <v>6</v>
      </c>
      <c r="AB154" s="467">
        <f t="shared" si="36"/>
        <v>6.8400000000000007</v>
      </c>
      <c r="AC154" s="467">
        <f t="shared" ref="AC154" si="37">AC155*(1+AC151)</f>
        <v>6.8400000000000007</v>
      </c>
    </row>
    <row r="155" spans="1:29" x14ac:dyDescent="0.2">
      <c r="A155" s="240"/>
      <c r="B155" t="s">
        <v>181</v>
      </c>
      <c r="C155" s="465">
        <v>1</v>
      </c>
      <c r="D155" s="465">
        <v>1</v>
      </c>
      <c r="E155" s="465">
        <v>1</v>
      </c>
      <c r="F155" s="465">
        <v>1</v>
      </c>
      <c r="G155" s="465">
        <v>1</v>
      </c>
      <c r="H155" s="465">
        <v>1</v>
      </c>
      <c r="I155" s="465">
        <v>1</v>
      </c>
      <c r="J155" s="465">
        <v>1</v>
      </c>
      <c r="K155" s="465">
        <v>1</v>
      </c>
      <c r="L155" s="326">
        <f>INDEX(ScenInflPotrS,[1]!NscenInfl,L123)</f>
        <v>11</v>
      </c>
      <c r="M155" s="326">
        <f>INDEX(ScenInflPotrS,[1]!NscenInfl,M123)</f>
        <v>15</v>
      </c>
      <c r="N155" s="326">
        <f>INDEX(ScenInflPotrS,[1]!NscenInfl,N123)</f>
        <v>16.5</v>
      </c>
      <c r="O155" s="485">
        <f>INDEX(ScenInflPotrS,[1]!NscenInfl,O123)</f>
        <v>17</v>
      </c>
      <c r="P155" s="326">
        <f>INDEX(ScenInflPotrS,[1]!NscenInfl,P123)</f>
        <v>14</v>
      </c>
      <c r="Q155" s="326">
        <f>INDEX(ScenInflPotrS,[1]!NscenInfl,Q123)</f>
        <v>11</v>
      </c>
      <c r="R155" s="326">
        <f>INDEX(ScenInflPotrS,[1]!NscenInfl,R123)</f>
        <v>9</v>
      </c>
      <c r="S155" s="326">
        <f>INDEX(ScenInflPotrS,[1]!NscenInfl,S123)</f>
        <v>7</v>
      </c>
      <c r="T155" s="326">
        <f>INDEX(ScenInflPotrS,[1]!NscenInfl,T123)</f>
        <v>6</v>
      </c>
      <c r="U155" s="326">
        <f>INDEX(ScenInflPotrS,[1]!NscenInfl,U123)</f>
        <v>9</v>
      </c>
      <c r="V155" s="326">
        <f>INDEX(ScenInflPotrS,[1]!NscenInfl,V123)</f>
        <v>10</v>
      </c>
      <c r="W155" s="326">
        <f>INDEX(ScenInflPotrS,[1]!NscenInfl,W123)</f>
        <v>9</v>
      </c>
      <c r="X155" s="326">
        <f>INDEX(ScenInflPotrS,[1]!NscenInfl,X123)</f>
        <v>8.32</v>
      </c>
      <c r="Y155" s="326">
        <f>INDEX(ScenInflPotrS,[1]!NscenInfl,Y123)</f>
        <v>7</v>
      </c>
      <c r="Z155" s="326">
        <f>INDEX(ScenInflPotrS,[1]!NscenInfl,Z123)</f>
        <v>6</v>
      </c>
      <c r="AA155" s="326">
        <f>INDEX(ScenInflPotrS,[1]!NscenInfl,AA123)</f>
        <v>6</v>
      </c>
      <c r="AB155" s="326">
        <f>INDEX(ScenInflPotrS,[1]!NscenInfl,AB123)</f>
        <v>6</v>
      </c>
      <c r="AC155" s="326">
        <f>INDEX(ScenInflPotrS,[1]!NscenInfl,AC123)</f>
        <v>6</v>
      </c>
    </row>
    <row r="156" spans="1:29" x14ac:dyDescent="0.2">
      <c r="A156" s="240"/>
      <c r="B156" t="s">
        <v>182</v>
      </c>
      <c r="C156" s="465">
        <v>1</v>
      </c>
      <c r="D156" s="465">
        <v>1</v>
      </c>
      <c r="E156" s="465">
        <v>1</v>
      </c>
      <c r="F156" s="465">
        <v>1</v>
      </c>
      <c r="G156" s="465">
        <v>1</v>
      </c>
      <c r="H156" s="465">
        <v>1</v>
      </c>
      <c r="I156" s="465">
        <v>1</v>
      </c>
      <c r="J156" s="465">
        <v>1</v>
      </c>
      <c r="K156" s="465">
        <v>1</v>
      </c>
      <c r="L156" s="326">
        <f>L155*(1-L151)</f>
        <v>11</v>
      </c>
      <c r="M156" s="326">
        <f t="shared" ref="M156:AB156" si="38">M155*(1-M151)</f>
        <v>15</v>
      </c>
      <c r="N156" s="326">
        <f t="shared" si="38"/>
        <v>16.5</v>
      </c>
      <c r="O156" s="485">
        <f t="shared" si="38"/>
        <v>17</v>
      </c>
      <c r="P156" s="326">
        <f t="shared" si="38"/>
        <v>14</v>
      </c>
      <c r="Q156" s="326">
        <f t="shared" si="38"/>
        <v>11</v>
      </c>
      <c r="R156" s="326">
        <f t="shared" si="38"/>
        <v>9</v>
      </c>
      <c r="S156" s="326">
        <f t="shared" si="38"/>
        <v>7</v>
      </c>
      <c r="T156" s="326">
        <f t="shared" si="38"/>
        <v>6</v>
      </c>
      <c r="U156" s="326">
        <f t="shared" si="38"/>
        <v>9</v>
      </c>
      <c r="V156" s="326">
        <f t="shared" si="38"/>
        <v>10</v>
      </c>
      <c r="W156" s="326">
        <f t="shared" si="38"/>
        <v>9</v>
      </c>
      <c r="X156" s="326">
        <f t="shared" si="38"/>
        <v>8.32</v>
      </c>
      <c r="Y156" s="326">
        <f t="shared" si="38"/>
        <v>7</v>
      </c>
      <c r="Z156" s="326">
        <f t="shared" si="38"/>
        <v>6</v>
      </c>
      <c r="AA156" s="326">
        <f t="shared" si="38"/>
        <v>6</v>
      </c>
      <c r="AB156" s="326">
        <f t="shared" si="38"/>
        <v>5.16</v>
      </c>
      <c r="AC156" s="326">
        <f t="shared" ref="AC156" si="39">AC155*(1-AC151)</f>
        <v>5.16</v>
      </c>
    </row>
    <row r="157" spans="1:29" x14ac:dyDescent="0.2">
      <c r="A157" s="240"/>
      <c r="C157" s="465"/>
      <c r="D157" s="465"/>
      <c r="E157" s="465"/>
      <c r="F157" s="465"/>
      <c r="G157" s="465"/>
      <c r="H157" s="465"/>
      <c r="I157" s="465"/>
      <c r="J157" s="465"/>
      <c r="K157" s="465"/>
      <c r="L157" s="460"/>
      <c r="M157" s="460"/>
      <c r="N157" s="460"/>
      <c r="O157" s="469"/>
      <c r="P157" s="460"/>
      <c r="Q157" s="460"/>
      <c r="R157" s="460"/>
      <c r="S157" s="460"/>
      <c r="T157" s="460"/>
      <c r="U157" s="460"/>
      <c r="V157" s="460"/>
      <c r="W157" s="460"/>
      <c r="X157" s="460"/>
      <c r="Y157" s="460"/>
      <c r="Z157" s="460"/>
      <c r="AA157" s="460"/>
      <c r="AB157" s="460"/>
    </row>
    <row r="158" spans="1:29" x14ac:dyDescent="0.2">
      <c r="A158" s="240"/>
      <c r="C158" s="465"/>
      <c r="D158" s="465"/>
      <c r="E158" s="465"/>
      <c r="F158" s="465"/>
      <c r="G158" s="465"/>
      <c r="H158" s="465"/>
      <c r="I158" s="465"/>
      <c r="J158" s="465"/>
      <c r="K158" s="465"/>
      <c r="L158" s="460"/>
      <c r="M158" s="460"/>
      <c r="N158" s="460"/>
      <c r="O158" s="469"/>
      <c r="P158" s="460"/>
      <c r="Q158" s="460"/>
      <c r="R158" s="460"/>
      <c r="S158" s="460"/>
      <c r="T158" s="460"/>
      <c r="U158" s="460"/>
      <c r="V158" s="460"/>
      <c r="W158" s="460"/>
      <c r="X158" s="460"/>
      <c r="Y158" s="460"/>
      <c r="Z158" s="460"/>
      <c r="AA158" s="460"/>
      <c r="AB158" s="460"/>
    </row>
    <row r="159" spans="1:29" x14ac:dyDescent="0.2">
      <c r="K159" s="250" t="s">
        <v>192</v>
      </c>
    </row>
    <row r="160" spans="1:29" x14ac:dyDescent="0.2">
      <c r="L160" s="466">
        <f>INDEX([1]!KoefRostZPl,6,L161-8)</f>
        <v>0</v>
      </c>
      <c r="M160" s="466">
        <f>INDEX([1]!KoefRostZPl,6,M161-8)</f>
        <v>0</v>
      </c>
      <c r="N160" s="466">
        <f>INDEX([1]!KoefRostZPl,6,N161-8)</f>
        <v>0</v>
      </c>
      <c r="O160" s="490">
        <f>INDEX([1]!KoefRostZPl,6,O161-8)</f>
        <v>0</v>
      </c>
      <c r="P160" s="466">
        <f>INDEX([1]!KoefRostZPl,6,P161-8)</f>
        <v>0</v>
      </c>
      <c r="Q160" s="466">
        <f>INDEX([1]!KoefRostZPl,6,Q161-8)</f>
        <v>0</v>
      </c>
      <c r="R160" s="466">
        <f>INDEX([1]!KoefRostZPl,6,R161-8)</f>
        <v>0</v>
      </c>
      <c r="S160" s="466">
        <f>INDEX([1]!KoefRostZPl,6,S161-8)</f>
        <v>0</v>
      </c>
      <c r="T160" s="466">
        <f>INDEX([1]!KoefRostZPl,6,T161-8)</f>
        <v>0</v>
      </c>
      <c r="U160" s="466">
        <f>INDEX([1]!KoefRostZPl,6,U161-8)</f>
        <v>0</v>
      </c>
      <c r="V160" s="466">
        <f>INDEX([1]!KoefRostZPl,6,V161-8)</f>
        <v>0</v>
      </c>
      <c r="W160" s="466">
        <f>INDEX([1]!KoefRostZPl,6,W161-8)</f>
        <v>0</v>
      </c>
      <c r="X160" s="466">
        <f>INDEX([1]!KoefRostZPl,6,X161-8)</f>
        <v>0</v>
      </c>
      <c r="Y160" s="466">
        <f>INDEX([1]!KoefRostZPl,6,Y161-8)</f>
        <v>0</v>
      </c>
      <c r="Z160" s="466">
        <f>INDEX([1]!KoefRostZPl,6,Z161-8)</f>
        <v>0</v>
      </c>
      <c r="AA160" s="466">
        <f>INDEX([1]!KoefRostZPl,6,AA161-8)</f>
        <v>0</v>
      </c>
      <c r="AB160" s="466">
        <f>INDEX([1]!KoefRostZPl,6,AB161-8)</f>
        <v>0.15</v>
      </c>
      <c r="AC160" s="466">
        <f>INDEX([1]!KoefRostZPl,6,AC161-8)</f>
        <v>0.15</v>
      </c>
    </row>
    <row r="161" spans="1:29" x14ac:dyDescent="0.2">
      <c r="B161" s="250" t="s">
        <v>193</v>
      </c>
      <c r="D161">
        <v>1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7</v>
      </c>
      <c r="K161">
        <v>8</v>
      </c>
      <c r="L161">
        <v>9</v>
      </c>
      <c r="M161">
        <v>10</v>
      </c>
      <c r="N161">
        <v>11</v>
      </c>
      <c r="O161" s="112">
        <v>12</v>
      </c>
      <c r="P161">
        <v>13</v>
      </c>
      <c r="Q161">
        <v>14</v>
      </c>
      <c r="R161">
        <v>15</v>
      </c>
      <c r="S161">
        <v>16</v>
      </c>
      <c r="T161">
        <v>17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</row>
    <row r="162" spans="1:29" x14ac:dyDescent="0.2">
      <c r="A162" s="309" t="s">
        <v>112</v>
      </c>
      <c r="B162" s="198"/>
      <c r="C162" s="464">
        <v>2005</v>
      </c>
      <c r="D162" s="198">
        <v>2006</v>
      </c>
      <c r="E162" s="198">
        <v>2007</v>
      </c>
      <c r="F162" s="198">
        <v>2008</v>
      </c>
      <c r="G162" s="198">
        <v>2009</v>
      </c>
      <c r="H162" s="198">
        <v>2010</v>
      </c>
      <c r="I162" s="198">
        <v>2011</v>
      </c>
      <c r="J162" s="198">
        <v>2012</v>
      </c>
      <c r="K162" s="198">
        <v>2013</v>
      </c>
      <c r="L162" s="293">
        <v>2014</v>
      </c>
      <c r="M162" s="293">
        <v>2015</v>
      </c>
      <c r="N162" s="293">
        <v>2016</v>
      </c>
      <c r="O162" s="293">
        <v>2017</v>
      </c>
      <c r="P162" s="198">
        <v>2018</v>
      </c>
      <c r="Q162" s="198">
        <v>2019</v>
      </c>
      <c r="R162" s="198">
        <v>2020</v>
      </c>
      <c r="S162" s="198">
        <v>2021</v>
      </c>
      <c r="T162" s="198">
        <v>2022</v>
      </c>
      <c r="U162" s="198">
        <v>2023</v>
      </c>
      <c r="V162" s="198">
        <v>2024</v>
      </c>
      <c r="W162" s="198">
        <v>2025</v>
      </c>
      <c r="X162" s="198">
        <v>2026</v>
      </c>
      <c r="Y162" s="198">
        <v>2027</v>
      </c>
      <c r="Z162" s="198">
        <v>2028</v>
      </c>
      <c r="AA162" s="198">
        <v>2029</v>
      </c>
      <c r="AB162" s="198">
        <v>2030</v>
      </c>
      <c r="AC162" s="198">
        <v>2031</v>
      </c>
    </row>
    <row r="163" spans="1:29" x14ac:dyDescent="0.2">
      <c r="A163" s="198">
        <f>[1]!NScenRostZPlat_6</f>
        <v>1</v>
      </c>
      <c r="B163" t="s">
        <v>180</v>
      </c>
      <c r="C163" s="465">
        <v>1</v>
      </c>
      <c r="D163" s="465">
        <v>1</v>
      </c>
      <c r="E163" s="465">
        <v>1</v>
      </c>
      <c r="F163" s="465">
        <v>1</v>
      </c>
      <c r="G163" s="465">
        <v>1</v>
      </c>
      <c r="H163" s="465">
        <v>1</v>
      </c>
      <c r="I163" s="465">
        <v>1</v>
      </c>
      <c r="J163" s="465">
        <v>1</v>
      </c>
      <c r="K163" s="465">
        <v>1</v>
      </c>
      <c r="L163" s="467">
        <f>L164*(1+L160)</f>
        <v>11</v>
      </c>
      <c r="M163" s="467">
        <f t="shared" ref="M163:AB163" si="40">M164*(1+M160)</f>
        <v>15</v>
      </c>
      <c r="N163" s="467">
        <f t="shared" si="40"/>
        <v>16.5</v>
      </c>
      <c r="O163" s="491">
        <f t="shared" si="40"/>
        <v>17</v>
      </c>
      <c r="P163" s="467">
        <f t="shared" si="40"/>
        <v>14</v>
      </c>
      <c r="Q163" s="467">
        <f t="shared" si="40"/>
        <v>11</v>
      </c>
      <c r="R163" s="467">
        <f t="shared" si="40"/>
        <v>9</v>
      </c>
      <c r="S163" s="467">
        <f t="shared" si="40"/>
        <v>7</v>
      </c>
      <c r="T163" s="467">
        <f t="shared" si="40"/>
        <v>6</v>
      </c>
      <c r="U163" s="467">
        <f t="shared" si="40"/>
        <v>9</v>
      </c>
      <c r="V163" s="467">
        <f t="shared" si="40"/>
        <v>10</v>
      </c>
      <c r="W163" s="467">
        <f t="shared" si="40"/>
        <v>9</v>
      </c>
      <c r="X163" s="467">
        <f t="shared" si="40"/>
        <v>8.32</v>
      </c>
      <c r="Y163" s="467">
        <f t="shared" si="40"/>
        <v>7</v>
      </c>
      <c r="Z163" s="467">
        <f t="shared" si="40"/>
        <v>6</v>
      </c>
      <c r="AA163" s="467">
        <f t="shared" si="40"/>
        <v>6</v>
      </c>
      <c r="AB163" s="467">
        <f t="shared" si="40"/>
        <v>6.8999999999999995</v>
      </c>
      <c r="AC163" s="467">
        <f t="shared" ref="AC163" si="41">AC164*(1+AC160)</f>
        <v>6.8999999999999995</v>
      </c>
    </row>
    <row r="164" spans="1:29" x14ac:dyDescent="0.2">
      <c r="A164" s="240"/>
      <c r="B164" t="s">
        <v>181</v>
      </c>
      <c r="C164" s="465">
        <v>1</v>
      </c>
      <c r="D164" s="465">
        <v>1</v>
      </c>
      <c r="E164" s="465">
        <v>1</v>
      </c>
      <c r="F164" s="465">
        <v>1</v>
      </c>
      <c r="G164" s="465">
        <v>1</v>
      </c>
      <c r="H164" s="465">
        <v>1</v>
      </c>
      <c r="I164" s="465">
        <v>1</v>
      </c>
      <c r="J164" s="465">
        <v>1</v>
      </c>
      <c r="K164" s="465">
        <v>1</v>
      </c>
      <c r="L164" s="326">
        <f>INDEX(ScenInflPotrS,[1]!NscenInfl,L123)</f>
        <v>11</v>
      </c>
      <c r="M164" s="326">
        <f>INDEX(ScenInflPotrS,[1]!NscenInfl,M123)</f>
        <v>15</v>
      </c>
      <c r="N164" s="326">
        <f>INDEX(ScenInflPotrS,[1]!NscenInfl,N123)</f>
        <v>16.5</v>
      </c>
      <c r="O164" s="485">
        <f>INDEX(ScenInflPotrS,[1]!NscenInfl,O123)</f>
        <v>17</v>
      </c>
      <c r="P164" s="326">
        <f>INDEX(ScenInflPotrS,[1]!NscenInfl,P123)</f>
        <v>14</v>
      </c>
      <c r="Q164" s="326">
        <f>INDEX(ScenInflPotrS,[1]!NscenInfl,Q123)</f>
        <v>11</v>
      </c>
      <c r="R164" s="326">
        <f>INDEX(ScenInflPotrS,[1]!NscenInfl,R123)</f>
        <v>9</v>
      </c>
      <c r="S164" s="326">
        <f>INDEX(ScenInflPotrS,[1]!NscenInfl,S123)</f>
        <v>7</v>
      </c>
      <c r="T164" s="326">
        <f>INDEX(ScenInflPotrS,[1]!NscenInfl,T123)</f>
        <v>6</v>
      </c>
      <c r="U164" s="326">
        <f>INDEX(ScenInflPotrS,[1]!NscenInfl,U123)</f>
        <v>9</v>
      </c>
      <c r="V164" s="326">
        <f>INDEX(ScenInflPotrS,[1]!NscenInfl,V123)</f>
        <v>10</v>
      </c>
      <c r="W164" s="326">
        <f>INDEX(ScenInflPotrS,[1]!NscenInfl,W123)</f>
        <v>9</v>
      </c>
      <c r="X164" s="326">
        <f>INDEX(ScenInflPotrS,[1]!NscenInfl,X123)</f>
        <v>8.32</v>
      </c>
      <c r="Y164" s="326">
        <f>INDEX(ScenInflPotrS,[1]!NscenInfl,Y123)</f>
        <v>7</v>
      </c>
      <c r="Z164" s="326">
        <f>INDEX(ScenInflPotrS,[1]!NscenInfl,Z123)</f>
        <v>6</v>
      </c>
      <c r="AA164" s="326">
        <f>INDEX(ScenInflPotrS,[1]!NscenInfl,AA123)</f>
        <v>6</v>
      </c>
      <c r="AB164" s="326">
        <f>INDEX(ScenInflPotrS,[1]!NscenInfl,AB123)</f>
        <v>6</v>
      </c>
      <c r="AC164" s="326">
        <f>INDEX(ScenInflPotrS,[1]!NscenInfl,AC123)</f>
        <v>6</v>
      </c>
    </row>
    <row r="165" spans="1:29" x14ac:dyDescent="0.2">
      <c r="A165" s="240"/>
      <c r="B165" t="s">
        <v>182</v>
      </c>
      <c r="C165" s="465">
        <v>1</v>
      </c>
      <c r="D165" s="465">
        <v>1</v>
      </c>
      <c r="E165" s="465">
        <v>1</v>
      </c>
      <c r="F165" s="465">
        <v>1</v>
      </c>
      <c r="G165" s="465">
        <v>1</v>
      </c>
      <c r="H165" s="465">
        <v>1</v>
      </c>
      <c r="I165" s="465">
        <v>1</v>
      </c>
      <c r="J165" s="465">
        <v>1</v>
      </c>
      <c r="K165" s="465">
        <v>1</v>
      </c>
      <c r="L165" s="326">
        <f>L164*(1-L160)</f>
        <v>11</v>
      </c>
      <c r="M165" s="326">
        <f t="shared" ref="M165:AB165" si="42">M164*(1-M160)</f>
        <v>15</v>
      </c>
      <c r="N165" s="326">
        <f t="shared" si="42"/>
        <v>16.5</v>
      </c>
      <c r="O165" s="485">
        <f t="shared" si="42"/>
        <v>17</v>
      </c>
      <c r="P165" s="326">
        <f t="shared" si="42"/>
        <v>14</v>
      </c>
      <c r="Q165" s="326">
        <f t="shared" si="42"/>
        <v>11</v>
      </c>
      <c r="R165" s="326">
        <f t="shared" si="42"/>
        <v>9</v>
      </c>
      <c r="S165" s="326">
        <f t="shared" si="42"/>
        <v>7</v>
      </c>
      <c r="T165" s="326">
        <f t="shared" si="42"/>
        <v>6</v>
      </c>
      <c r="U165" s="326">
        <f t="shared" si="42"/>
        <v>9</v>
      </c>
      <c r="V165" s="326">
        <f t="shared" si="42"/>
        <v>10</v>
      </c>
      <c r="W165" s="326">
        <f t="shared" si="42"/>
        <v>9</v>
      </c>
      <c r="X165" s="326">
        <f t="shared" si="42"/>
        <v>8.32</v>
      </c>
      <c r="Y165" s="326">
        <f t="shared" si="42"/>
        <v>7</v>
      </c>
      <c r="Z165" s="326">
        <f t="shared" si="42"/>
        <v>6</v>
      </c>
      <c r="AA165" s="326">
        <f t="shared" si="42"/>
        <v>6</v>
      </c>
      <c r="AB165" s="326">
        <f t="shared" si="42"/>
        <v>5.0999999999999996</v>
      </c>
      <c r="AC165" s="326">
        <f t="shared" ref="AC165" si="43">AC164*(1-AC160)</f>
        <v>5.0999999999999996</v>
      </c>
    </row>
    <row r="166" spans="1:29" x14ac:dyDescent="0.2">
      <c r="A166" s="240"/>
      <c r="C166" s="465"/>
      <c r="D166" s="465"/>
      <c r="E166" s="465"/>
      <c r="F166" s="465"/>
      <c r="G166" s="465"/>
      <c r="H166" s="465"/>
      <c r="I166" s="465"/>
      <c r="J166" s="465"/>
      <c r="K166" s="465"/>
      <c r="L166" s="460"/>
      <c r="M166" s="460"/>
      <c r="N166" s="460"/>
      <c r="O166" s="469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</row>
    <row r="167" spans="1:29" x14ac:dyDescent="0.2">
      <c r="A167" s="240"/>
      <c r="C167" s="465"/>
      <c r="D167" s="465"/>
      <c r="E167" s="465"/>
      <c r="F167" s="465"/>
      <c r="G167" s="465"/>
      <c r="H167" s="465"/>
      <c r="I167" s="465"/>
      <c r="J167" s="465"/>
      <c r="K167" s="465"/>
      <c r="L167" s="460"/>
      <c r="M167" s="460"/>
      <c r="N167" s="460"/>
      <c r="O167" s="469"/>
      <c r="P167" s="460"/>
      <c r="Q167" s="460"/>
      <c r="R167" s="460"/>
      <c r="S167" s="460"/>
      <c r="T167" s="460"/>
      <c r="U167" s="460"/>
      <c r="V167" s="460"/>
      <c r="W167" s="460"/>
      <c r="X167" s="460"/>
      <c r="Y167" s="460"/>
      <c r="Z167" s="460"/>
      <c r="AA167" s="460"/>
      <c r="AB167" s="460"/>
    </row>
    <row r="168" spans="1:29" x14ac:dyDescent="0.2">
      <c r="K168" s="250" t="s">
        <v>194</v>
      </c>
    </row>
    <row r="169" spans="1:29" x14ac:dyDescent="0.2">
      <c r="L169" s="466">
        <f>INDEX([1]!KoefRostZPl,7,L170-8)</f>
        <v>0</v>
      </c>
      <c r="M169" s="466">
        <f>INDEX([1]!KoefRostZPl,7,M170-8)</f>
        <v>0</v>
      </c>
      <c r="N169" s="466">
        <f>INDEX([1]!KoefRostZPl,7,N170-8)</f>
        <v>0</v>
      </c>
      <c r="O169" s="490">
        <f>INDEX([1]!KoefRostZPl,7,O170-8)</f>
        <v>0</v>
      </c>
      <c r="P169" s="466">
        <f>INDEX([1]!KoefRostZPl,7,P170-8)</f>
        <v>0</v>
      </c>
      <c r="Q169" s="466">
        <f>INDEX([1]!KoefRostZPl,7,Q170-8)</f>
        <v>0</v>
      </c>
      <c r="R169" s="466">
        <f>INDEX([1]!KoefRostZPl,7,R170-8)</f>
        <v>0</v>
      </c>
      <c r="S169" s="466">
        <f>INDEX([1]!KoefRostZPl,7,S170-8)</f>
        <v>0</v>
      </c>
      <c r="T169" s="466">
        <f>INDEX([1]!KoefRostZPl,7,T170-8)</f>
        <v>0</v>
      </c>
      <c r="U169" s="466">
        <f>INDEX([1]!KoefRostZPl,7,U170-8)</f>
        <v>0</v>
      </c>
      <c r="V169" s="466">
        <f>INDEX([1]!KoefRostZPl,7,V170-8)</f>
        <v>0</v>
      </c>
      <c r="W169" s="466">
        <f>INDEX([1]!KoefRostZPl,7,W170-8)</f>
        <v>0</v>
      </c>
      <c r="X169" s="466">
        <f>INDEX([1]!KoefRostZPl,7,X170-8)</f>
        <v>0</v>
      </c>
      <c r="Y169" s="466">
        <f>INDEX([1]!KoefRostZPl,7,Y170-8)</f>
        <v>0</v>
      </c>
      <c r="Z169" s="466">
        <f>INDEX([1]!KoefRostZPl,7,Z170-8)</f>
        <v>0</v>
      </c>
      <c r="AA169" s="466">
        <f>INDEX([1]!KoefRostZPl,7,AA170-8)</f>
        <v>0</v>
      </c>
      <c r="AB169" s="466">
        <f>INDEX([1]!KoefRostZPl,7,AB170-8)</f>
        <v>0.16</v>
      </c>
      <c r="AC169" s="466">
        <f>INDEX([1]!KoefRostZPl,7,AC170-8)</f>
        <v>0.16</v>
      </c>
    </row>
    <row r="170" spans="1:29" x14ac:dyDescent="0.2">
      <c r="B170" s="250" t="s">
        <v>195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 s="112">
        <v>12</v>
      </c>
      <c r="P170">
        <v>13</v>
      </c>
      <c r="Q170">
        <v>14</v>
      </c>
      <c r="R170">
        <v>15</v>
      </c>
      <c r="S170">
        <v>16</v>
      </c>
      <c r="T170">
        <v>17</v>
      </c>
      <c r="U170">
        <v>18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</row>
    <row r="171" spans="1:29" x14ac:dyDescent="0.2">
      <c r="A171" s="309" t="s">
        <v>112</v>
      </c>
      <c r="B171" s="198"/>
      <c r="C171" s="464">
        <v>2005</v>
      </c>
      <c r="D171" s="198">
        <v>2006</v>
      </c>
      <c r="E171" s="198">
        <v>2007</v>
      </c>
      <c r="F171" s="198">
        <v>2008</v>
      </c>
      <c r="G171" s="198">
        <v>2009</v>
      </c>
      <c r="H171" s="198">
        <v>2010</v>
      </c>
      <c r="I171" s="198">
        <v>2011</v>
      </c>
      <c r="J171" s="198">
        <v>2012</v>
      </c>
      <c r="K171" s="198">
        <v>2013</v>
      </c>
      <c r="L171" s="293">
        <v>2014</v>
      </c>
      <c r="M171" s="293">
        <v>2015</v>
      </c>
      <c r="N171" s="293">
        <v>2016</v>
      </c>
      <c r="O171" s="293">
        <v>2017</v>
      </c>
      <c r="P171" s="198">
        <v>2018</v>
      </c>
      <c r="Q171" s="198">
        <v>2019</v>
      </c>
      <c r="R171" s="198">
        <v>2020</v>
      </c>
      <c r="S171" s="198">
        <v>2021</v>
      </c>
      <c r="T171" s="198">
        <v>2022</v>
      </c>
      <c r="U171" s="198">
        <v>2023</v>
      </c>
      <c r="V171" s="198">
        <v>2024</v>
      </c>
      <c r="W171" s="198">
        <v>2025</v>
      </c>
      <c r="X171" s="198">
        <v>2026</v>
      </c>
      <c r="Y171" s="198">
        <v>2027</v>
      </c>
      <c r="Z171" s="198">
        <v>2028</v>
      </c>
      <c r="AA171" s="198">
        <v>2029</v>
      </c>
      <c r="AB171" s="198">
        <v>2030</v>
      </c>
      <c r="AC171" s="198">
        <v>2031</v>
      </c>
    </row>
    <row r="172" spans="1:29" x14ac:dyDescent="0.2">
      <c r="A172" s="198">
        <f>[1]!NScenRostZPlat_7</f>
        <v>1</v>
      </c>
      <c r="B172" t="s">
        <v>180</v>
      </c>
      <c r="C172" s="465">
        <v>1</v>
      </c>
      <c r="D172" s="465">
        <v>1</v>
      </c>
      <c r="E172" s="465">
        <v>1</v>
      </c>
      <c r="F172" s="465">
        <v>1</v>
      </c>
      <c r="G172" s="465">
        <v>1</v>
      </c>
      <c r="H172" s="465">
        <v>1</v>
      </c>
      <c r="I172" s="465">
        <v>1</v>
      </c>
      <c r="J172" s="465">
        <v>1</v>
      </c>
      <c r="K172" s="465">
        <v>1</v>
      </c>
      <c r="L172" s="467">
        <f>L173*(1+L169)</f>
        <v>11</v>
      </c>
      <c r="M172" s="467">
        <f t="shared" ref="M172:AB172" si="44">M173*(1+M169)</f>
        <v>15</v>
      </c>
      <c r="N172" s="467">
        <f t="shared" si="44"/>
        <v>16.5</v>
      </c>
      <c r="O172" s="491">
        <f t="shared" si="44"/>
        <v>17</v>
      </c>
      <c r="P172" s="467">
        <f t="shared" si="44"/>
        <v>14</v>
      </c>
      <c r="Q172" s="467">
        <f t="shared" si="44"/>
        <v>11</v>
      </c>
      <c r="R172" s="467">
        <f t="shared" si="44"/>
        <v>9</v>
      </c>
      <c r="S172" s="467">
        <f t="shared" si="44"/>
        <v>7</v>
      </c>
      <c r="T172" s="467">
        <f t="shared" si="44"/>
        <v>6</v>
      </c>
      <c r="U172" s="467">
        <f t="shared" si="44"/>
        <v>9</v>
      </c>
      <c r="V172" s="467">
        <f t="shared" si="44"/>
        <v>10</v>
      </c>
      <c r="W172" s="467">
        <f t="shared" si="44"/>
        <v>9</v>
      </c>
      <c r="X172" s="467">
        <f t="shared" si="44"/>
        <v>8.32</v>
      </c>
      <c r="Y172" s="467">
        <f t="shared" si="44"/>
        <v>7</v>
      </c>
      <c r="Z172" s="467">
        <f t="shared" si="44"/>
        <v>6</v>
      </c>
      <c r="AA172" s="467">
        <f t="shared" si="44"/>
        <v>6</v>
      </c>
      <c r="AB172" s="467">
        <f t="shared" si="44"/>
        <v>6.9599999999999991</v>
      </c>
      <c r="AC172" s="467">
        <f t="shared" ref="AC172" si="45">AC173*(1+AC169)</f>
        <v>6.9599999999999991</v>
      </c>
    </row>
    <row r="173" spans="1:29" x14ac:dyDescent="0.2">
      <c r="A173" s="240"/>
      <c r="B173" t="s">
        <v>181</v>
      </c>
      <c r="C173" s="465">
        <v>1</v>
      </c>
      <c r="D173" s="465">
        <v>1</v>
      </c>
      <c r="E173" s="465">
        <v>1</v>
      </c>
      <c r="F173" s="465">
        <v>1</v>
      </c>
      <c r="G173" s="465">
        <v>1</v>
      </c>
      <c r="H173" s="465">
        <v>1</v>
      </c>
      <c r="I173" s="465">
        <v>1</v>
      </c>
      <c r="J173" s="465">
        <v>1</v>
      </c>
      <c r="K173" s="465">
        <v>1</v>
      </c>
      <c r="L173" s="326">
        <f>INDEX(ScenInflPotrS,[1]!NscenInfl,L123)</f>
        <v>11</v>
      </c>
      <c r="M173" s="326">
        <f>INDEX(ScenInflPotrS,[1]!NscenInfl,M123)</f>
        <v>15</v>
      </c>
      <c r="N173" s="326">
        <f>INDEX(ScenInflPotrS,[1]!NscenInfl,N123)</f>
        <v>16.5</v>
      </c>
      <c r="O173" s="485">
        <f>INDEX(ScenInflPotrS,[1]!NscenInfl,O123)</f>
        <v>17</v>
      </c>
      <c r="P173" s="326">
        <f>INDEX(ScenInflPotrS,[1]!NscenInfl,P123)</f>
        <v>14</v>
      </c>
      <c r="Q173" s="326">
        <f>INDEX(ScenInflPotrS,[1]!NscenInfl,Q123)</f>
        <v>11</v>
      </c>
      <c r="R173" s="326">
        <f>INDEX(ScenInflPotrS,[1]!NscenInfl,R123)</f>
        <v>9</v>
      </c>
      <c r="S173" s="326">
        <f>INDEX(ScenInflPotrS,[1]!NscenInfl,S123)</f>
        <v>7</v>
      </c>
      <c r="T173" s="326">
        <f>INDEX(ScenInflPotrS,[1]!NscenInfl,T123)</f>
        <v>6</v>
      </c>
      <c r="U173" s="326">
        <f>INDEX(ScenInflPotrS,[1]!NscenInfl,U123)</f>
        <v>9</v>
      </c>
      <c r="V173" s="326">
        <f>INDEX(ScenInflPotrS,[1]!NscenInfl,V123)</f>
        <v>10</v>
      </c>
      <c r="W173" s="326">
        <f>INDEX(ScenInflPotrS,[1]!NscenInfl,W123)</f>
        <v>9</v>
      </c>
      <c r="X173" s="326">
        <f>INDEX(ScenInflPotrS,[1]!NscenInfl,X123)</f>
        <v>8.32</v>
      </c>
      <c r="Y173" s="326">
        <f>INDEX(ScenInflPotrS,[1]!NscenInfl,Y123)</f>
        <v>7</v>
      </c>
      <c r="Z173" s="326">
        <f>INDEX(ScenInflPotrS,[1]!NscenInfl,Z123)</f>
        <v>6</v>
      </c>
      <c r="AA173" s="326">
        <f>INDEX(ScenInflPotrS,[1]!NscenInfl,AA123)</f>
        <v>6</v>
      </c>
      <c r="AB173" s="326">
        <f>INDEX(ScenInflPotrS,[1]!NscenInfl,AB123)</f>
        <v>6</v>
      </c>
      <c r="AC173" s="326">
        <f>INDEX(ScenInflPotrS,[1]!NscenInfl,AC123)</f>
        <v>6</v>
      </c>
    </row>
    <row r="174" spans="1:29" x14ac:dyDescent="0.2">
      <c r="A174" s="240"/>
      <c r="B174" t="s">
        <v>182</v>
      </c>
      <c r="C174" s="465">
        <v>1</v>
      </c>
      <c r="D174" s="465">
        <v>1</v>
      </c>
      <c r="E174" s="465">
        <v>1</v>
      </c>
      <c r="F174" s="465">
        <v>1</v>
      </c>
      <c r="G174" s="465">
        <v>1</v>
      </c>
      <c r="H174" s="465">
        <v>1</v>
      </c>
      <c r="I174" s="465">
        <v>1</v>
      </c>
      <c r="J174" s="465">
        <v>1</v>
      </c>
      <c r="K174" s="465">
        <v>1</v>
      </c>
      <c r="L174" s="326">
        <f>L173*(1-L169)</f>
        <v>11</v>
      </c>
      <c r="M174" s="326">
        <f t="shared" ref="M174:AB174" si="46">M173*(1-M169)</f>
        <v>15</v>
      </c>
      <c r="N174" s="326">
        <f t="shared" si="46"/>
        <v>16.5</v>
      </c>
      <c r="O174" s="485">
        <f t="shared" si="46"/>
        <v>17</v>
      </c>
      <c r="P174" s="326">
        <f t="shared" si="46"/>
        <v>14</v>
      </c>
      <c r="Q174" s="326">
        <f t="shared" si="46"/>
        <v>11</v>
      </c>
      <c r="R174" s="326">
        <f t="shared" si="46"/>
        <v>9</v>
      </c>
      <c r="S174" s="326">
        <f t="shared" si="46"/>
        <v>7</v>
      </c>
      <c r="T174" s="326">
        <f t="shared" si="46"/>
        <v>6</v>
      </c>
      <c r="U174" s="326">
        <f t="shared" si="46"/>
        <v>9</v>
      </c>
      <c r="V174" s="326">
        <f t="shared" si="46"/>
        <v>10</v>
      </c>
      <c r="W174" s="326">
        <f t="shared" si="46"/>
        <v>9</v>
      </c>
      <c r="X174" s="326">
        <f t="shared" si="46"/>
        <v>8.32</v>
      </c>
      <c r="Y174" s="326">
        <f t="shared" si="46"/>
        <v>7</v>
      </c>
      <c r="Z174" s="326">
        <f t="shared" si="46"/>
        <v>6</v>
      </c>
      <c r="AA174" s="326">
        <f t="shared" si="46"/>
        <v>6</v>
      </c>
      <c r="AB174" s="326">
        <f t="shared" si="46"/>
        <v>5.04</v>
      </c>
      <c r="AC174" s="326">
        <f t="shared" ref="AC174" si="47">AC173*(1-AC169)</f>
        <v>5.04</v>
      </c>
    </row>
    <row r="175" spans="1:29" x14ac:dyDescent="0.2">
      <c r="A175" s="240"/>
      <c r="C175" s="465"/>
      <c r="D175" s="465"/>
      <c r="E175" s="465"/>
      <c r="F175" s="465"/>
      <c r="G175" s="465"/>
      <c r="H175" s="465"/>
      <c r="I175" s="465"/>
      <c r="J175" s="465"/>
      <c r="K175" s="465"/>
      <c r="L175" s="460"/>
      <c r="M175" s="460"/>
      <c r="N175" s="460"/>
      <c r="O175" s="469"/>
      <c r="P175" s="460"/>
      <c r="Q175" s="460"/>
      <c r="R175" s="460"/>
      <c r="S175" s="460"/>
      <c r="T175" s="460"/>
      <c r="U175" s="460"/>
      <c r="V175" s="460"/>
      <c r="W175" s="460"/>
      <c r="X175" s="460"/>
      <c r="Y175" s="460"/>
      <c r="Z175" s="460"/>
      <c r="AA175" s="460"/>
      <c r="AB175" s="460"/>
    </row>
    <row r="176" spans="1:29" x14ac:dyDescent="0.2">
      <c r="A176" s="240"/>
      <c r="C176" s="465"/>
      <c r="D176" s="465"/>
      <c r="E176" s="465"/>
      <c r="F176" s="465"/>
      <c r="G176" s="465"/>
      <c r="H176" s="465"/>
      <c r="I176" s="465"/>
      <c r="J176" s="465"/>
      <c r="K176" s="465"/>
      <c r="L176" s="460"/>
      <c r="M176" s="460"/>
      <c r="N176" s="460"/>
      <c r="O176" s="469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460"/>
      <c r="AB176" s="460"/>
    </row>
    <row r="177" spans="1:29" x14ac:dyDescent="0.2">
      <c r="A177" s="240"/>
      <c r="C177" s="465"/>
      <c r="D177" s="465"/>
      <c r="E177" s="465"/>
      <c r="F177" s="465"/>
      <c r="G177" s="465"/>
      <c r="H177" s="465"/>
      <c r="I177" s="465"/>
      <c r="J177" s="465"/>
      <c r="K177" s="465"/>
      <c r="L177" s="460"/>
      <c r="M177" s="460"/>
      <c r="N177" s="460"/>
      <c r="O177" s="469"/>
      <c r="P177" s="460"/>
      <c r="Q177" s="460"/>
      <c r="R177" s="460"/>
      <c r="S177" s="460"/>
      <c r="T177" s="460"/>
      <c r="U177" s="460"/>
      <c r="V177" s="460"/>
      <c r="W177" s="460"/>
      <c r="X177" s="460"/>
      <c r="Y177" s="460"/>
      <c r="Z177" s="460"/>
      <c r="AA177" s="460"/>
      <c r="AB177" s="460"/>
    </row>
    <row r="180" spans="1:29" x14ac:dyDescent="0.2">
      <c r="AB180" s="468"/>
    </row>
    <row r="181" spans="1:29" ht="18" x14ac:dyDescent="0.25">
      <c r="A181" s="175" t="s">
        <v>183</v>
      </c>
      <c r="AB181" s="468"/>
    </row>
    <row r="183" spans="1:29" x14ac:dyDescent="0.2">
      <c r="K183" s="250" t="s">
        <v>196</v>
      </c>
    </row>
    <row r="184" spans="1:29" x14ac:dyDescent="0.2">
      <c r="L184" s="466">
        <f>INDEX([1]!KoefRostTarif,1,L185-8)</f>
        <v>0</v>
      </c>
      <c r="M184" s="466">
        <f>INDEX([1]!KoefRostTarif,1,M185-8)</f>
        <v>0</v>
      </c>
      <c r="N184" s="466">
        <f>INDEX([1]!KoefRostTarif,1,N185-8)</f>
        <v>0</v>
      </c>
      <c r="O184" s="490">
        <f>INDEX([1]!KoefRostTarif,1,O185-8)</f>
        <v>0</v>
      </c>
      <c r="P184" s="466">
        <f>INDEX([1]!KoefRostTarif,1,P185-8)</f>
        <v>0</v>
      </c>
      <c r="Q184" s="466">
        <f>INDEX([1]!KoefRostTarif,1,Q185-8)</f>
        <v>0</v>
      </c>
      <c r="R184" s="466">
        <f>INDEX([1]!KoefRostTarif,1,R185-8)</f>
        <v>0</v>
      </c>
      <c r="S184" s="466">
        <f>INDEX([1]!KoefRostTarif,1,S185-8)</f>
        <v>0</v>
      </c>
      <c r="T184" s="466">
        <f>INDEX([1]!KoefRostTarif,1,T185-8)</f>
        <v>0</v>
      </c>
      <c r="U184" s="466">
        <f>INDEX([1]!KoefRostTarif,1,U185-8)</f>
        <v>0</v>
      </c>
      <c r="V184" s="466">
        <f>INDEX([1]!KoefRostTarif,1,V185-8)</f>
        <v>0</v>
      </c>
      <c r="W184" s="466">
        <f>INDEX([1]!KoefRostTarif,1,W185-8)</f>
        <v>0</v>
      </c>
      <c r="X184" s="466">
        <f>INDEX([1]!KoefRostTarif,1,X185-8)</f>
        <v>0</v>
      </c>
      <c r="Y184" s="466">
        <f>INDEX([1]!KoefRostTarif,1,Y185-8)</f>
        <v>0</v>
      </c>
      <c r="Z184" s="466">
        <f>INDEX([1]!KoefRostTarif,1,Z185-8)</f>
        <v>0</v>
      </c>
      <c r="AA184" s="466">
        <f>INDEX([1]!KoefRostTarif,1,AA185-8)</f>
        <v>0</v>
      </c>
      <c r="AB184" s="466">
        <f>INDEX([1]!KoefRostTarif,1,AB185-8)</f>
        <v>0.1</v>
      </c>
      <c r="AC184" s="466">
        <f>INDEX([1]!KoefRostTarif,1,AC185-8)</f>
        <v>0.1</v>
      </c>
    </row>
    <row r="185" spans="1:29" x14ac:dyDescent="0.2">
      <c r="B185" s="250" t="s">
        <v>197</v>
      </c>
      <c r="D185">
        <v>1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>
        <v>9</v>
      </c>
      <c r="M185">
        <v>10</v>
      </c>
      <c r="N185">
        <v>11</v>
      </c>
      <c r="O185" s="112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</row>
    <row r="186" spans="1:29" x14ac:dyDescent="0.2">
      <c r="A186" s="309" t="s">
        <v>112</v>
      </c>
      <c r="B186" s="198"/>
      <c r="C186" s="464">
        <v>2005</v>
      </c>
      <c r="D186" s="198">
        <v>2006</v>
      </c>
      <c r="E186" s="198">
        <v>2007</v>
      </c>
      <c r="F186" s="198">
        <v>2008</v>
      </c>
      <c r="G186" s="198">
        <v>2009</v>
      </c>
      <c r="H186" s="198">
        <v>2010</v>
      </c>
      <c r="I186" s="198">
        <v>2011</v>
      </c>
      <c r="J186" s="198">
        <v>2012</v>
      </c>
      <c r="K186" s="198">
        <v>2013</v>
      </c>
      <c r="L186" s="293">
        <v>2014</v>
      </c>
      <c r="M186" s="293">
        <v>2015</v>
      </c>
      <c r="N186" s="293">
        <v>2016</v>
      </c>
      <c r="O186" s="293">
        <v>2017</v>
      </c>
      <c r="P186" s="198">
        <v>2018</v>
      </c>
      <c r="Q186" s="198">
        <v>2019</v>
      </c>
      <c r="R186" s="198">
        <v>2020</v>
      </c>
      <c r="S186" s="198">
        <v>2021</v>
      </c>
      <c r="T186" s="198">
        <v>2022</v>
      </c>
      <c r="U186" s="198">
        <v>2023</v>
      </c>
      <c r="V186" s="198">
        <v>2024</v>
      </c>
      <c r="W186" s="198">
        <v>2025</v>
      </c>
      <c r="X186" s="198">
        <v>2026</v>
      </c>
      <c r="Y186" s="198">
        <v>2027</v>
      </c>
      <c r="Z186" s="198">
        <v>2028</v>
      </c>
      <c r="AA186" s="198">
        <v>2029</v>
      </c>
      <c r="AB186" s="198">
        <v>2030</v>
      </c>
      <c r="AC186" s="198">
        <v>2031</v>
      </c>
    </row>
    <row r="187" spans="1:29" x14ac:dyDescent="0.2">
      <c r="A187" s="198">
        <f>[1]!NScenRostTarif_1</f>
        <v>1</v>
      </c>
      <c r="B187" t="s">
        <v>180</v>
      </c>
      <c r="C187" s="465">
        <v>1</v>
      </c>
      <c r="D187" s="465">
        <v>1</v>
      </c>
      <c r="E187" s="465">
        <v>1</v>
      </c>
      <c r="F187" s="465">
        <v>1</v>
      </c>
      <c r="G187" s="465">
        <v>1</v>
      </c>
      <c r="H187" s="465">
        <v>1</v>
      </c>
      <c r="I187" s="465">
        <v>1</v>
      </c>
      <c r="J187" s="465">
        <v>1</v>
      </c>
      <c r="K187" s="465">
        <v>1</v>
      </c>
      <c r="L187" s="326">
        <f>L188*(1+L184)</f>
        <v>11</v>
      </c>
      <c r="M187" s="326">
        <f t="shared" ref="M187:AB187" si="48">M188*(1+M184)</f>
        <v>15</v>
      </c>
      <c r="N187" s="326">
        <f t="shared" si="48"/>
        <v>16.5</v>
      </c>
      <c r="O187" s="485">
        <f t="shared" si="48"/>
        <v>17</v>
      </c>
      <c r="P187" s="326">
        <f t="shared" si="48"/>
        <v>14</v>
      </c>
      <c r="Q187" s="326">
        <f t="shared" si="48"/>
        <v>11</v>
      </c>
      <c r="R187" s="326">
        <f t="shared" si="48"/>
        <v>9</v>
      </c>
      <c r="S187" s="326">
        <f t="shared" si="48"/>
        <v>7</v>
      </c>
      <c r="T187" s="326">
        <f t="shared" si="48"/>
        <v>6</v>
      </c>
      <c r="U187" s="326">
        <f t="shared" si="48"/>
        <v>9</v>
      </c>
      <c r="V187" s="326">
        <f t="shared" si="48"/>
        <v>10</v>
      </c>
      <c r="W187" s="326">
        <f t="shared" si="48"/>
        <v>9</v>
      </c>
      <c r="X187" s="326">
        <f t="shared" si="48"/>
        <v>8.32</v>
      </c>
      <c r="Y187" s="326">
        <f t="shared" si="48"/>
        <v>7</v>
      </c>
      <c r="Z187" s="326">
        <f t="shared" si="48"/>
        <v>6</v>
      </c>
      <c r="AA187" s="326">
        <f t="shared" si="48"/>
        <v>6</v>
      </c>
      <c r="AB187" s="326">
        <f t="shared" si="48"/>
        <v>6.6000000000000005</v>
      </c>
      <c r="AC187" s="326">
        <f t="shared" ref="AC187" si="49">AC188*(1+AC184)</f>
        <v>6.6000000000000005</v>
      </c>
    </row>
    <row r="188" spans="1:29" x14ac:dyDescent="0.2">
      <c r="A188" s="240"/>
      <c r="B188" t="s">
        <v>181</v>
      </c>
      <c r="C188" s="465">
        <v>1</v>
      </c>
      <c r="D188" s="465">
        <v>1</v>
      </c>
      <c r="E188" s="465">
        <v>1</v>
      </c>
      <c r="F188" s="465">
        <v>1</v>
      </c>
      <c r="G188" s="465">
        <v>1</v>
      </c>
      <c r="H188" s="465">
        <v>1</v>
      </c>
      <c r="I188" s="465">
        <v>1</v>
      </c>
      <c r="J188" s="465">
        <v>1</v>
      </c>
      <c r="K188" s="465">
        <v>1</v>
      </c>
      <c r="L188" s="326">
        <f>INDEX(ScenInflPotrS,[1]!NscenInfl,L185)</f>
        <v>11</v>
      </c>
      <c r="M188" s="326">
        <f>INDEX(ScenInflPotrS,[1]!NscenInfl,M185)</f>
        <v>15</v>
      </c>
      <c r="N188" s="326">
        <f>INDEX(ScenInflPotrS,[1]!NscenInfl,N185)</f>
        <v>16.5</v>
      </c>
      <c r="O188" s="485">
        <f>INDEX(ScenInflPotrS,[1]!NscenInfl,O185)</f>
        <v>17</v>
      </c>
      <c r="P188" s="326">
        <f>INDEX(ScenInflPotrS,[1]!NscenInfl,P185)</f>
        <v>14</v>
      </c>
      <c r="Q188" s="326">
        <f>INDEX(ScenInflPotrS,[1]!NscenInfl,Q185)</f>
        <v>11</v>
      </c>
      <c r="R188" s="326">
        <f>INDEX(ScenInflPotrS,[1]!NscenInfl,R185)</f>
        <v>9</v>
      </c>
      <c r="S188" s="326">
        <f>INDEX(ScenInflPotrS,[1]!NscenInfl,S185)</f>
        <v>7</v>
      </c>
      <c r="T188" s="326">
        <f>INDEX(ScenInflPotrS,[1]!NscenInfl,T185)</f>
        <v>6</v>
      </c>
      <c r="U188" s="326">
        <f>INDEX(ScenInflPotrS,[1]!NscenInfl,U185)</f>
        <v>9</v>
      </c>
      <c r="V188" s="326">
        <f>INDEX(ScenInflPotrS,[1]!NscenInfl,V185)</f>
        <v>10</v>
      </c>
      <c r="W188" s="326">
        <f>INDEX(ScenInflPotrS,[1]!NscenInfl,W185)</f>
        <v>9</v>
      </c>
      <c r="X188" s="326">
        <f>INDEX(ScenInflPotrS,[1]!NscenInfl,X185)</f>
        <v>8.32</v>
      </c>
      <c r="Y188" s="326">
        <f>INDEX(ScenInflPotrS,[1]!NscenInfl,Y185)</f>
        <v>7</v>
      </c>
      <c r="Z188" s="326">
        <f>INDEX(ScenInflPotrS,[1]!NscenInfl,Z185)</f>
        <v>6</v>
      </c>
      <c r="AA188" s="326">
        <f>INDEX(ScenInflPotrS,[1]!NscenInfl,AA185)</f>
        <v>6</v>
      </c>
      <c r="AB188" s="326">
        <f>INDEX(ScenInflPotrS,[1]!NscenInfl,AB185)</f>
        <v>6</v>
      </c>
      <c r="AC188" s="326">
        <f>INDEX(ScenInflPotrS,[1]!NscenInfl,AC185)</f>
        <v>6</v>
      </c>
    </row>
    <row r="189" spans="1:29" x14ac:dyDescent="0.2">
      <c r="A189" s="240"/>
      <c r="B189" t="s">
        <v>182</v>
      </c>
      <c r="C189" s="465">
        <v>1</v>
      </c>
      <c r="D189" s="465">
        <v>1</v>
      </c>
      <c r="E189" s="465">
        <v>1</v>
      </c>
      <c r="F189" s="465">
        <v>1</v>
      </c>
      <c r="G189" s="465">
        <v>1</v>
      </c>
      <c r="H189" s="465">
        <v>1</v>
      </c>
      <c r="I189" s="465">
        <v>1</v>
      </c>
      <c r="J189" s="465">
        <v>1</v>
      </c>
      <c r="K189" s="465">
        <v>1</v>
      </c>
      <c r="L189" s="326">
        <f>L188*(1-L184)</f>
        <v>11</v>
      </c>
      <c r="M189" s="326">
        <f t="shared" ref="M189:AB189" si="50">M188*(1-M184)</f>
        <v>15</v>
      </c>
      <c r="N189" s="326">
        <f t="shared" si="50"/>
        <v>16.5</v>
      </c>
      <c r="O189" s="485">
        <f t="shared" si="50"/>
        <v>17</v>
      </c>
      <c r="P189" s="326">
        <f t="shared" si="50"/>
        <v>14</v>
      </c>
      <c r="Q189" s="326">
        <f t="shared" si="50"/>
        <v>11</v>
      </c>
      <c r="R189" s="326">
        <f t="shared" si="50"/>
        <v>9</v>
      </c>
      <c r="S189" s="326">
        <f t="shared" si="50"/>
        <v>7</v>
      </c>
      <c r="T189" s="326">
        <f t="shared" si="50"/>
        <v>6</v>
      </c>
      <c r="U189" s="326">
        <f t="shared" si="50"/>
        <v>9</v>
      </c>
      <c r="V189" s="326">
        <f t="shared" si="50"/>
        <v>10</v>
      </c>
      <c r="W189" s="326">
        <f t="shared" si="50"/>
        <v>9</v>
      </c>
      <c r="X189" s="326">
        <f t="shared" si="50"/>
        <v>8.32</v>
      </c>
      <c r="Y189" s="326">
        <f t="shared" si="50"/>
        <v>7</v>
      </c>
      <c r="Z189" s="326">
        <f t="shared" si="50"/>
        <v>6</v>
      </c>
      <c r="AA189" s="326">
        <f t="shared" si="50"/>
        <v>6</v>
      </c>
      <c r="AB189" s="326">
        <f t="shared" si="50"/>
        <v>5.4</v>
      </c>
      <c r="AC189" s="326">
        <f t="shared" ref="AC189" si="51">AC188*(1-AC184)</f>
        <v>5.4</v>
      </c>
    </row>
    <row r="192" spans="1:29" x14ac:dyDescent="0.2">
      <c r="K192" s="250" t="s">
        <v>198</v>
      </c>
    </row>
    <row r="193" spans="1:29" x14ac:dyDescent="0.2">
      <c r="L193" s="466">
        <f>INDEX([1]!KoefRostTarif,2,L194-8)</f>
        <v>0</v>
      </c>
      <c r="M193" s="466">
        <f>INDEX([1]!KoefRostTarif,2,M194-8)</f>
        <v>0</v>
      </c>
      <c r="N193" s="466">
        <f>INDEX([1]!KoefRostTarif,2,N194-8)</f>
        <v>0</v>
      </c>
      <c r="O193" s="490">
        <f>INDEX([1]!KoefRostTarif,2,O194-8)</f>
        <v>0</v>
      </c>
      <c r="P193" s="466">
        <f>INDEX([1]!KoefRostTarif,2,P194-8)</f>
        <v>0</v>
      </c>
      <c r="Q193" s="466">
        <f>INDEX([1]!KoefRostTarif,2,Q194-8)</f>
        <v>0</v>
      </c>
      <c r="R193" s="466">
        <f>INDEX([1]!KoefRostTarif,2,R194-8)</f>
        <v>0</v>
      </c>
      <c r="S193" s="466">
        <f>INDEX([1]!KoefRostTarif,2,S194-8)</f>
        <v>0</v>
      </c>
      <c r="T193" s="466">
        <f>INDEX([1]!KoefRostTarif,2,T194-8)</f>
        <v>0</v>
      </c>
      <c r="U193" s="466">
        <f>INDEX([1]!KoefRostTarif,2,U194-8)</f>
        <v>0</v>
      </c>
      <c r="V193" s="466">
        <f>INDEX([1]!KoefRostTarif,2,V194-8)</f>
        <v>0</v>
      </c>
      <c r="W193" s="466">
        <f>INDEX([1]!KoefRostTarif,2,W194-8)</f>
        <v>0</v>
      </c>
      <c r="X193" s="466">
        <f>INDEX([1]!KoefRostTarif,2,X194-8)</f>
        <v>0</v>
      </c>
      <c r="Y193" s="466">
        <f>INDEX([1]!KoefRostTarif,2,Y194-8)</f>
        <v>0</v>
      </c>
      <c r="Z193" s="466">
        <f>INDEX([1]!KoefRostTarif,2,Z194-8)</f>
        <v>0</v>
      </c>
      <c r="AA193" s="466">
        <f>INDEX([1]!KoefRostTarif,2,AA194-8)</f>
        <v>0</v>
      </c>
      <c r="AB193" s="466">
        <f>INDEX([1]!KoefRostTarif,2,AB194-8)</f>
        <v>0.12</v>
      </c>
      <c r="AC193" s="466">
        <f>INDEX([1]!KoefRostTarif,2,AC194-8)</f>
        <v>0.12</v>
      </c>
    </row>
    <row r="194" spans="1:29" x14ac:dyDescent="0.2">
      <c r="B194" s="250" t="s">
        <v>199</v>
      </c>
      <c r="D194">
        <v>1</v>
      </c>
      <c r="E194">
        <v>2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8</v>
      </c>
      <c r="L194">
        <v>9</v>
      </c>
      <c r="M194">
        <v>10</v>
      </c>
      <c r="N194">
        <v>11</v>
      </c>
      <c r="O194" s="112">
        <v>12</v>
      </c>
      <c r="P194">
        <v>13</v>
      </c>
      <c r="Q194">
        <v>14</v>
      </c>
      <c r="R194">
        <v>15</v>
      </c>
      <c r="S194">
        <v>16</v>
      </c>
      <c r="T194">
        <v>17</v>
      </c>
      <c r="U194">
        <v>18</v>
      </c>
      <c r="V194">
        <v>19</v>
      </c>
      <c r="W194">
        <v>20</v>
      </c>
      <c r="X194">
        <v>21</v>
      </c>
      <c r="Y194">
        <v>22</v>
      </c>
      <c r="Z194">
        <v>23</v>
      </c>
      <c r="AA194">
        <v>24</v>
      </c>
      <c r="AB194">
        <v>25</v>
      </c>
      <c r="AC194">
        <v>26</v>
      </c>
    </row>
    <row r="195" spans="1:29" x14ac:dyDescent="0.2">
      <c r="A195" s="309" t="s">
        <v>112</v>
      </c>
      <c r="B195" s="198"/>
      <c r="C195" s="464">
        <v>2005</v>
      </c>
      <c r="D195" s="198">
        <v>2006</v>
      </c>
      <c r="E195" s="198">
        <v>2007</v>
      </c>
      <c r="F195" s="198">
        <v>2008</v>
      </c>
      <c r="G195" s="198">
        <v>2009</v>
      </c>
      <c r="H195" s="198">
        <v>2010</v>
      </c>
      <c r="I195" s="198">
        <v>2011</v>
      </c>
      <c r="J195" s="198">
        <v>2012</v>
      </c>
      <c r="K195" s="198">
        <v>2013</v>
      </c>
      <c r="L195" s="293">
        <v>2014</v>
      </c>
      <c r="M195" s="293">
        <v>2015</v>
      </c>
      <c r="N195" s="293">
        <v>2016</v>
      </c>
      <c r="O195" s="293">
        <v>2017</v>
      </c>
      <c r="P195" s="198">
        <v>2018</v>
      </c>
      <c r="Q195" s="198">
        <v>2019</v>
      </c>
      <c r="R195" s="198">
        <v>2020</v>
      </c>
      <c r="S195" s="198">
        <v>2021</v>
      </c>
      <c r="T195" s="198">
        <v>2022</v>
      </c>
      <c r="U195" s="198">
        <v>2023</v>
      </c>
      <c r="V195" s="198">
        <v>2024</v>
      </c>
      <c r="W195" s="198">
        <v>2025</v>
      </c>
      <c r="X195" s="198">
        <v>2026</v>
      </c>
      <c r="Y195" s="198">
        <v>2027</v>
      </c>
      <c r="Z195" s="198">
        <v>2028</v>
      </c>
      <c r="AA195" s="198">
        <v>2029</v>
      </c>
      <c r="AB195" s="198">
        <v>2030</v>
      </c>
      <c r="AC195" s="198">
        <v>2031</v>
      </c>
    </row>
    <row r="196" spans="1:29" x14ac:dyDescent="0.2">
      <c r="A196" s="198">
        <f>[1]!NScenRostTarif_2</f>
        <v>1</v>
      </c>
      <c r="B196" t="s">
        <v>180</v>
      </c>
      <c r="C196" s="465">
        <v>1</v>
      </c>
      <c r="D196" s="465">
        <v>1</v>
      </c>
      <c r="E196" s="465">
        <v>1</v>
      </c>
      <c r="F196" s="465">
        <v>1</v>
      </c>
      <c r="G196" s="465">
        <v>1</v>
      </c>
      <c r="H196" s="465">
        <v>1</v>
      </c>
      <c r="I196" s="465">
        <v>1</v>
      </c>
      <c r="J196" s="465">
        <v>1</v>
      </c>
      <c r="K196" s="465">
        <v>1</v>
      </c>
      <c r="L196" s="326">
        <f>L197*(1+L193)</f>
        <v>11</v>
      </c>
      <c r="M196" s="326">
        <f t="shared" ref="M196:AB196" si="52">M197*(1+M193)</f>
        <v>15</v>
      </c>
      <c r="N196" s="326">
        <f t="shared" si="52"/>
        <v>16.5</v>
      </c>
      <c r="O196" s="485">
        <f t="shared" si="52"/>
        <v>17</v>
      </c>
      <c r="P196" s="326">
        <f t="shared" si="52"/>
        <v>14</v>
      </c>
      <c r="Q196" s="326">
        <f t="shared" si="52"/>
        <v>11</v>
      </c>
      <c r="R196" s="326">
        <f t="shared" si="52"/>
        <v>9</v>
      </c>
      <c r="S196" s="326">
        <f t="shared" si="52"/>
        <v>7</v>
      </c>
      <c r="T196" s="326">
        <f t="shared" si="52"/>
        <v>6</v>
      </c>
      <c r="U196" s="326">
        <f t="shared" si="52"/>
        <v>9</v>
      </c>
      <c r="V196" s="326">
        <f t="shared" si="52"/>
        <v>10</v>
      </c>
      <c r="W196" s="326">
        <f t="shared" si="52"/>
        <v>9</v>
      </c>
      <c r="X196" s="326">
        <f t="shared" si="52"/>
        <v>8.32</v>
      </c>
      <c r="Y196" s="326">
        <f t="shared" si="52"/>
        <v>7</v>
      </c>
      <c r="Z196" s="326">
        <f t="shared" si="52"/>
        <v>6</v>
      </c>
      <c r="AA196" s="326">
        <f t="shared" si="52"/>
        <v>6</v>
      </c>
      <c r="AB196" s="326">
        <f t="shared" si="52"/>
        <v>6.7200000000000006</v>
      </c>
      <c r="AC196" s="326">
        <f t="shared" ref="AC196" si="53">AC197*(1+AC193)</f>
        <v>6.7200000000000006</v>
      </c>
    </row>
    <row r="197" spans="1:29" x14ac:dyDescent="0.2">
      <c r="A197" s="240"/>
      <c r="B197" t="s">
        <v>181</v>
      </c>
      <c r="C197" s="465">
        <v>1</v>
      </c>
      <c r="D197" s="465">
        <v>1</v>
      </c>
      <c r="E197" s="465">
        <v>1</v>
      </c>
      <c r="F197" s="465">
        <v>1</v>
      </c>
      <c r="G197" s="465">
        <v>1</v>
      </c>
      <c r="H197" s="465">
        <v>1</v>
      </c>
      <c r="I197" s="465">
        <v>1</v>
      </c>
      <c r="J197" s="465">
        <v>1</v>
      </c>
      <c r="K197" s="465">
        <v>1</v>
      </c>
      <c r="L197" s="326">
        <f>INDEX(ScenInflPotrS,[1]!NscenInfl,L123)</f>
        <v>11</v>
      </c>
      <c r="M197" s="326">
        <f>INDEX(ScenInflPotrS,[1]!NscenInfl,M123)</f>
        <v>15</v>
      </c>
      <c r="N197" s="326">
        <f>INDEX(ScenInflPotrS,[1]!NscenInfl,N123)</f>
        <v>16.5</v>
      </c>
      <c r="O197" s="485">
        <f>INDEX(ScenInflPotrS,[1]!NscenInfl,O123)</f>
        <v>17</v>
      </c>
      <c r="P197" s="326">
        <f>INDEX(ScenInflPotrS,[1]!NscenInfl,P123)</f>
        <v>14</v>
      </c>
      <c r="Q197" s="326">
        <f>INDEX(ScenInflPotrS,[1]!NscenInfl,Q123)</f>
        <v>11</v>
      </c>
      <c r="R197" s="326">
        <f>INDEX(ScenInflPotrS,[1]!NscenInfl,R123)</f>
        <v>9</v>
      </c>
      <c r="S197" s="326">
        <f>INDEX(ScenInflPotrS,[1]!NscenInfl,S123)</f>
        <v>7</v>
      </c>
      <c r="T197" s="326">
        <f>INDEX(ScenInflPotrS,[1]!NscenInfl,T123)</f>
        <v>6</v>
      </c>
      <c r="U197" s="326">
        <f>INDEX(ScenInflPotrS,[1]!NscenInfl,U123)</f>
        <v>9</v>
      </c>
      <c r="V197" s="326">
        <f>INDEX(ScenInflPotrS,[1]!NscenInfl,V123)</f>
        <v>10</v>
      </c>
      <c r="W197" s="326">
        <f>INDEX(ScenInflPotrS,[1]!NscenInfl,W123)</f>
        <v>9</v>
      </c>
      <c r="X197" s="326">
        <f>INDEX(ScenInflPotrS,[1]!NscenInfl,X123)</f>
        <v>8.32</v>
      </c>
      <c r="Y197" s="326">
        <f>INDEX(ScenInflPotrS,[1]!NscenInfl,Y123)</f>
        <v>7</v>
      </c>
      <c r="Z197" s="326">
        <f>INDEX(ScenInflPotrS,[1]!NscenInfl,Z123)</f>
        <v>6</v>
      </c>
      <c r="AA197" s="326">
        <f>INDEX(ScenInflPotrS,[1]!NscenInfl,AA123)</f>
        <v>6</v>
      </c>
      <c r="AB197" s="326">
        <f>INDEX(ScenInflPotrS,[1]!NscenInfl,AB123)</f>
        <v>6</v>
      </c>
      <c r="AC197" s="326">
        <f>INDEX(ScenInflPotrS,[1]!NscenInfl,AC123)</f>
        <v>6</v>
      </c>
    </row>
    <row r="198" spans="1:29" x14ac:dyDescent="0.2">
      <c r="A198" s="240"/>
      <c r="B198" t="s">
        <v>182</v>
      </c>
      <c r="C198" s="465">
        <v>1</v>
      </c>
      <c r="D198" s="465">
        <v>1</v>
      </c>
      <c r="E198" s="465">
        <v>1</v>
      </c>
      <c r="F198" s="465">
        <v>1</v>
      </c>
      <c r="G198" s="465">
        <v>1</v>
      </c>
      <c r="H198" s="465">
        <v>1</v>
      </c>
      <c r="I198" s="465">
        <v>1</v>
      </c>
      <c r="J198" s="465">
        <v>1</v>
      </c>
      <c r="K198" s="465">
        <v>1</v>
      </c>
      <c r="L198" s="326">
        <f>L197*(1-L193)</f>
        <v>11</v>
      </c>
      <c r="M198" s="326">
        <f t="shared" ref="M198:AB198" si="54">M197*(1-M193)</f>
        <v>15</v>
      </c>
      <c r="N198" s="326">
        <f t="shared" si="54"/>
        <v>16.5</v>
      </c>
      <c r="O198" s="485">
        <f t="shared" si="54"/>
        <v>17</v>
      </c>
      <c r="P198" s="326">
        <f t="shared" si="54"/>
        <v>14</v>
      </c>
      <c r="Q198" s="326">
        <f t="shared" si="54"/>
        <v>11</v>
      </c>
      <c r="R198" s="326">
        <f t="shared" si="54"/>
        <v>9</v>
      </c>
      <c r="S198" s="326">
        <f t="shared" si="54"/>
        <v>7</v>
      </c>
      <c r="T198" s="326">
        <f t="shared" si="54"/>
        <v>6</v>
      </c>
      <c r="U198" s="326">
        <f t="shared" si="54"/>
        <v>9</v>
      </c>
      <c r="V198" s="326">
        <f t="shared" si="54"/>
        <v>10</v>
      </c>
      <c r="W198" s="326">
        <f t="shared" si="54"/>
        <v>9</v>
      </c>
      <c r="X198" s="326">
        <f t="shared" si="54"/>
        <v>8.32</v>
      </c>
      <c r="Y198" s="326">
        <f t="shared" si="54"/>
        <v>7</v>
      </c>
      <c r="Z198" s="326">
        <f t="shared" si="54"/>
        <v>6</v>
      </c>
      <c r="AA198" s="326">
        <f t="shared" si="54"/>
        <v>6</v>
      </c>
      <c r="AB198" s="326">
        <f t="shared" si="54"/>
        <v>5.28</v>
      </c>
      <c r="AC198" s="326">
        <f t="shared" ref="AC198" si="55">AC197*(1-AC193)</f>
        <v>5.28</v>
      </c>
    </row>
    <row r="201" spans="1:29" x14ac:dyDescent="0.2">
      <c r="K201" s="250" t="s">
        <v>201</v>
      </c>
    </row>
    <row r="202" spans="1:29" x14ac:dyDescent="0.2">
      <c r="L202" s="466">
        <f>INDEX([1]!KoefRostTarif,3,L203-8)</f>
        <v>0</v>
      </c>
      <c r="M202" s="466">
        <f>INDEX([1]!KoefRostTarif,3,M203-8)</f>
        <v>0</v>
      </c>
      <c r="N202" s="466">
        <f>INDEX([1]!KoefRostTarif,3,N203-8)</f>
        <v>0</v>
      </c>
      <c r="O202" s="490">
        <f>INDEX([1]!KoefRostTarif,3,O203-8)</f>
        <v>0</v>
      </c>
      <c r="P202" s="466">
        <f>INDEX([1]!KoefRostTarif,3,P203-8)</f>
        <v>0</v>
      </c>
      <c r="Q202" s="466">
        <f>INDEX([1]!KoefRostTarif,3,Q203-8)</f>
        <v>0</v>
      </c>
      <c r="R202" s="466">
        <f>INDEX([1]!KoefRostTarif,3,R203-8)</f>
        <v>0</v>
      </c>
      <c r="S202" s="466">
        <f>INDEX([1]!KoefRostTarif,3,S203-8)</f>
        <v>0</v>
      </c>
      <c r="T202" s="466">
        <f>INDEX([1]!KoefRostTarif,3,T203-8)</f>
        <v>0</v>
      </c>
      <c r="U202" s="466">
        <f>INDEX([1]!KoefRostTarif,3,U203-8)</f>
        <v>0</v>
      </c>
      <c r="V202" s="466">
        <f>INDEX([1]!KoefRostTarif,3,V203-8)</f>
        <v>0</v>
      </c>
      <c r="W202" s="466">
        <f>INDEX([1]!KoefRostTarif,3,W203-8)</f>
        <v>0</v>
      </c>
      <c r="X202" s="466">
        <f>INDEX([1]!KoefRostTarif,3,X203-8)</f>
        <v>0</v>
      </c>
      <c r="Y202" s="466">
        <f>INDEX([1]!KoefRostTarif,3,Y203-8)</f>
        <v>0</v>
      </c>
      <c r="Z202" s="466">
        <f>INDEX([1]!KoefRostTarif,3,Z203-8)</f>
        <v>0</v>
      </c>
      <c r="AA202" s="466">
        <f>INDEX([1]!KoefRostTarif,3,AA203-8)</f>
        <v>0</v>
      </c>
      <c r="AB202" s="466">
        <f>INDEX([1]!KoefRostTarif,3,AB203-8)</f>
        <v>0.13</v>
      </c>
      <c r="AC202" s="466">
        <f>INDEX([1]!KoefRostTarif,3,AC203-8)</f>
        <v>0.13</v>
      </c>
    </row>
    <row r="203" spans="1:29" x14ac:dyDescent="0.2">
      <c r="B203" s="250" t="s">
        <v>200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 s="112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  <c r="AA203">
        <v>24</v>
      </c>
      <c r="AB203">
        <v>25</v>
      </c>
      <c r="AC203">
        <v>26</v>
      </c>
    </row>
    <row r="204" spans="1:29" x14ac:dyDescent="0.2">
      <c r="A204" s="309" t="s">
        <v>112</v>
      </c>
      <c r="B204" s="198"/>
      <c r="C204" s="464">
        <v>2005</v>
      </c>
      <c r="D204" s="198">
        <v>2006</v>
      </c>
      <c r="E204" s="198">
        <v>2007</v>
      </c>
      <c r="F204" s="198">
        <v>2008</v>
      </c>
      <c r="G204" s="198">
        <v>2009</v>
      </c>
      <c r="H204" s="198">
        <v>2010</v>
      </c>
      <c r="I204" s="198">
        <v>2011</v>
      </c>
      <c r="J204" s="198">
        <v>2012</v>
      </c>
      <c r="K204" s="198">
        <v>2013</v>
      </c>
      <c r="L204" s="293">
        <v>2014</v>
      </c>
      <c r="M204" s="293">
        <v>2015</v>
      </c>
      <c r="N204" s="293">
        <v>2016</v>
      </c>
      <c r="O204" s="293">
        <v>2017</v>
      </c>
      <c r="P204" s="198">
        <v>2018</v>
      </c>
      <c r="Q204" s="198">
        <v>2019</v>
      </c>
      <c r="R204" s="198">
        <v>2020</v>
      </c>
      <c r="S204" s="198">
        <v>2021</v>
      </c>
      <c r="T204" s="198">
        <v>2022</v>
      </c>
      <c r="U204" s="198">
        <v>2023</v>
      </c>
      <c r="V204" s="198">
        <v>2024</v>
      </c>
      <c r="W204" s="198">
        <v>2025</v>
      </c>
      <c r="X204" s="198">
        <v>2026</v>
      </c>
      <c r="Y204" s="198">
        <v>2027</v>
      </c>
      <c r="Z204" s="198">
        <v>2028</v>
      </c>
      <c r="AA204" s="198">
        <v>2029</v>
      </c>
      <c r="AB204" s="198">
        <v>2030</v>
      </c>
      <c r="AC204" s="198">
        <v>2031</v>
      </c>
    </row>
    <row r="205" spans="1:29" x14ac:dyDescent="0.2">
      <c r="A205" s="198">
        <f>[1]!NScenRostTarif_3</f>
        <v>1</v>
      </c>
      <c r="B205" t="s">
        <v>180</v>
      </c>
      <c r="C205" s="465">
        <v>1</v>
      </c>
      <c r="D205" s="465">
        <v>1</v>
      </c>
      <c r="E205" s="465">
        <v>1</v>
      </c>
      <c r="F205" s="465">
        <v>1</v>
      </c>
      <c r="G205" s="465">
        <v>1</v>
      </c>
      <c r="H205" s="465">
        <v>1</v>
      </c>
      <c r="I205" s="465">
        <v>1</v>
      </c>
      <c r="J205" s="465">
        <v>1</v>
      </c>
      <c r="K205" s="465">
        <v>1</v>
      </c>
      <c r="L205" s="326">
        <f>L206*(1+L202)</f>
        <v>11</v>
      </c>
      <c r="M205" s="326">
        <f t="shared" ref="M205:AB205" si="56">M206*(1+M202)</f>
        <v>15</v>
      </c>
      <c r="N205" s="326">
        <f t="shared" si="56"/>
        <v>16.5</v>
      </c>
      <c r="O205" s="485">
        <f t="shared" si="56"/>
        <v>17</v>
      </c>
      <c r="P205" s="326">
        <f t="shared" si="56"/>
        <v>14</v>
      </c>
      <c r="Q205" s="326">
        <f t="shared" si="56"/>
        <v>11</v>
      </c>
      <c r="R205" s="326">
        <f t="shared" si="56"/>
        <v>9</v>
      </c>
      <c r="S205" s="326">
        <f t="shared" si="56"/>
        <v>7</v>
      </c>
      <c r="T205" s="326">
        <f t="shared" si="56"/>
        <v>6</v>
      </c>
      <c r="U205" s="326">
        <f t="shared" si="56"/>
        <v>9</v>
      </c>
      <c r="V205" s="326">
        <f t="shared" si="56"/>
        <v>10</v>
      </c>
      <c r="W205" s="326">
        <f t="shared" si="56"/>
        <v>9</v>
      </c>
      <c r="X205" s="326">
        <f t="shared" si="56"/>
        <v>8.32</v>
      </c>
      <c r="Y205" s="326">
        <f t="shared" si="56"/>
        <v>7</v>
      </c>
      <c r="Z205" s="326">
        <f t="shared" si="56"/>
        <v>6</v>
      </c>
      <c r="AA205" s="326">
        <f t="shared" si="56"/>
        <v>6</v>
      </c>
      <c r="AB205" s="326">
        <f t="shared" si="56"/>
        <v>6.7799999999999994</v>
      </c>
      <c r="AC205" s="326">
        <f t="shared" ref="AC205" si="57">AC206*(1+AC202)</f>
        <v>6.7799999999999994</v>
      </c>
    </row>
    <row r="206" spans="1:29" x14ac:dyDescent="0.2">
      <c r="A206" s="240"/>
      <c r="B206" t="s">
        <v>181</v>
      </c>
      <c r="C206" s="465">
        <v>1</v>
      </c>
      <c r="D206" s="465">
        <v>1</v>
      </c>
      <c r="E206" s="465">
        <v>1</v>
      </c>
      <c r="F206" s="465">
        <v>1</v>
      </c>
      <c r="G206" s="465">
        <v>1</v>
      </c>
      <c r="H206" s="465">
        <v>1</v>
      </c>
      <c r="I206" s="465">
        <v>1</v>
      </c>
      <c r="J206" s="465">
        <v>1</v>
      </c>
      <c r="K206" s="465">
        <v>1</v>
      </c>
      <c r="L206" s="326">
        <f>INDEX(ScenInflPotrS,[1]!NscenInfl,L123)</f>
        <v>11</v>
      </c>
      <c r="M206" s="326">
        <f>INDEX(ScenInflPotrS,[1]!NscenInfl,M123)</f>
        <v>15</v>
      </c>
      <c r="N206" s="326">
        <f>INDEX(ScenInflPotrS,[1]!NscenInfl,N123)</f>
        <v>16.5</v>
      </c>
      <c r="O206" s="485">
        <f>INDEX(ScenInflPotrS,[1]!NscenInfl,O123)</f>
        <v>17</v>
      </c>
      <c r="P206" s="326">
        <f>INDEX(ScenInflPotrS,[1]!NscenInfl,P123)</f>
        <v>14</v>
      </c>
      <c r="Q206" s="326">
        <f>INDEX(ScenInflPotrS,[1]!NscenInfl,Q123)</f>
        <v>11</v>
      </c>
      <c r="R206" s="326">
        <f>INDEX(ScenInflPotrS,[1]!NscenInfl,R123)</f>
        <v>9</v>
      </c>
      <c r="S206" s="326">
        <f>INDEX(ScenInflPotrS,[1]!NscenInfl,S123)</f>
        <v>7</v>
      </c>
      <c r="T206" s="326">
        <f>INDEX(ScenInflPotrS,[1]!NscenInfl,T123)</f>
        <v>6</v>
      </c>
      <c r="U206" s="326">
        <f>INDEX(ScenInflPotrS,[1]!NscenInfl,U123)</f>
        <v>9</v>
      </c>
      <c r="V206" s="326">
        <f>INDEX(ScenInflPotrS,[1]!NscenInfl,V123)</f>
        <v>10</v>
      </c>
      <c r="W206" s="326">
        <f>INDEX(ScenInflPotrS,[1]!NscenInfl,W123)</f>
        <v>9</v>
      </c>
      <c r="X206" s="326">
        <f>INDEX(ScenInflPotrS,[1]!NscenInfl,X123)</f>
        <v>8.32</v>
      </c>
      <c r="Y206" s="326">
        <f>INDEX(ScenInflPotrS,[1]!NscenInfl,Y123)</f>
        <v>7</v>
      </c>
      <c r="Z206" s="326">
        <f>INDEX(ScenInflPotrS,[1]!NscenInfl,Z123)</f>
        <v>6</v>
      </c>
      <c r="AA206" s="326">
        <f>INDEX(ScenInflPotrS,[1]!NscenInfl,AA123)</f>
        <v>6</v>
      </c>
      <c r="AB206" s="326">
        <f>INDEX(ScenInflPotrS,[1]!NscenInfl,AB123)</f>
        <v>6</v>
      </c>
      <c r="AC206" s="326">
        <f>INDEX(ScenInflPotrS,[1]!NscenInfl,AC123)</f>
        <v>6</v>
      </c>
    </row>
    <row r="207" spans="1:29" x14ac:dyDescent="0.2">
      <c r="A207" s="240"/>
      <c r="B207" t="s">
        <v>182</v>
      </c>
      <c r="C207" s="465">
        <v>1</v>
      </c>
      <c r="D207" s="465">
        <v>1</v>
      </c>
      <c r="E207" s="465">
        <v>1</v>
      </c>
      <c r="F207" s="465">
        <v>1</v>
      </c>
      <c r="G207" s="465">
        <v>1</v>
      </c>
      <c r="H207" s="465">
        <v>1</v>
      </c>
      <c r="I207" s="465">
        <v>1</v>
      </c>
      <c r="J207" s="465">
        <v>1</v>
      </c>
      <c r="K207" s="465">
        <v>1</v>
      </c>
      <c r="L207" s="326">
        <f>L206*(1-L202)</f>
        <v>11</v>
      </c>
      <c r="M207" s="326">
        <f t="shared" ref="M207:AB207" si="58">M206*(1-M202)</f>
        <v>15</v>
      </c>
      <c r="N207" s="326">
        <f t="shared" si="58"/>
        <v>16.5</v>
      </c>
      <c r="O207" s="485">
        <f t="shared" si="58"/>
        <v>17</v>
      </c>
      <c r="P207" s="326">
        <f t="shared" si="58"/>
        <v>14</v>
      </c>
      <c r="Q207" s="326">
        <f t="shared" si="58"/>
        <v>11</v>
      </c>
      <c r="R207" s="326">
        <f t="shared" si="58"/>
        <v>9</v>
      </c>
      <c r="S207" s="326">
        <f t="shared" si="58"/>
        <v>7</v>
      </c>
      <c r="T207" s="326">
        <f t="shared" si="58"/>
        <v>6</v>
      </c>
      <c r="U207" s="326">
        <f t="shared" si="58"/>
        <v>9</v>
      </c>
      <c r="V207" s="326">
        <f t="shared" si="58"/>
        <v>10</v>
      </c>
      <c r="W207" s="326">
        <f t="shared" si="58"/>
        <v>9</v>
      </c>
      <c r="X207" s="326">
        <f t="shared" si="58"/>
        <v>8.32</v>
      </c>
      <c r="Y207" s="326">
        <f t="shared" si="58"/>
        <v>7</v>
      </c>
      <c r="Z207" s="326">
        <f t="shared" si="58"/>
        <v>6</v>
      </c>
      <c r="AA207" s="326">
        <f t="shared" si="58"/>
        <v>6</v>
      </c>
      <c r="AB207" s="326">
        <f t="shared" si="58"/>
        <v>5.22</v>
      </c>
      <c r="AC207" s="326">
        <f t="shared" ref="AC207" si="59">AC206*(1-AC202)</f>
        <v>5.22</v>
      </c>
    </row>
    <row r="210" spans="1:29" x14ac:dyDescent="0.2">
      <c r="K210" s="250" t="s">
        <v>202</v>
      </c>
    </row>
    <row r="211" spans="1:29" x14ac:dyDescent="0.2">
      <c r="L211" s="466">
        <f>INDEX([1]!KoefRostTarif,4,L212-8)</f>
        <v>0</v>
      </c>
      <c r="M211" s="466">
        <f>INDEX([1]!KoefRostTarif,4,M212-8)</f>
        <v>0</v>
      </c>
      <c r="N211" s="466">
        <f>INDEX([1]!KoefRostTarif,4,N212-8)</f>
        <v>0</v>
      </c>
      <c r="O211" s="490">
        <f>INDEX([1]!KoefRostTarif,4,O212-8)</f>
        <v>0</v>
      </c>
      <c r="P211" s="466">
        <f>INDEX([1]!KoefRostTarif,4,P212-8)</f>
        <v>0</v>
      </c>
      <c r="Q211" s="466">
        <f>INDEX([1]!KoefRostTarif,4,Q212-8)</f>
        <v>0</v>
      </c>
      <c r="R211" s="466">
        <f>INDEX([1]!KoefRostTarif,4,R212-8)</f>
        <v>0</v>
      </c>
      <c r="S211" s="466">
        <f>INDEX([1]!KoefRostTarif,4,S212-8)</f>
        <v>0</v>
      </c>
      <c r="T211" s="466">
        <f>INDEX([1]!KoefRostTarif,4,T212-8)</f>
        <v>0</v>
      </c>
      <c r="U211" s="466">
        <f>INDEX([1]!KoefRostTarif,4,U212-8)</f>
        <v>0</v>
      </c>
      <c r="V211" s="466">
        <f>INDEX([1]!KoefRostTarif,4,V212-8)</f>
        <v>0</v>
      </c>
      <c r="W211" s="466">
        <f>INDEX([1]!KoefRostTarif,4,W212-8)</f>
        <v>0</v>
      </c>
      <c r="X211" s="466">
        <f>INDEX([1]!KoefRostTarif,4,X212-8)</f>
        <v>0</v>
      </c>
      <c r="Y211" s="466">
        <f>INDEX([1]!KoefRostTarif,4,Y212-8)</f>
        <v>0</v>
      </c>
      <c r="Z211" s="466">
        <f>INDEX([1]!KoefRostTarif,4,Z212-8)</f>
        <v>0</v>
      </c>
      <c r="AA211" s="466">
        <f>INDEX([1]!KoefRostTarif,4,AA212-8)</f>
        <v>0</v>
      </c>
      <c r="AB211" s="466">
        <f>INDEX([1]!KoefRostTarif,4,AB212-8)</f>
        <v>0.14000000000000001</v>
      </c>
      <c r="AC211" s="466">
        <f>INDEX([1]!KoefRostTarif,4,AC212-8)</f>
        <v>0.14000000000000001</v>
      </c>
    </row>
    <row r="212" spans="1:29" x14ac:dyDescent="0.2">
      <c r="B212" s="250" t="s">
        <v>203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 s="112">
        <v>12</v>
      </c>
      <c r="P212">
        <v>13</v>
      </c>
      <c r="Q212">
        <v>14</v>
      </c>
      <c r="R212">
        <v>15</v>
      </c>
      <c r="S212">
        <v>16</v>
      </c>
      <c r="T212">
        <v>17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</row>
    <row r="213" spans="1:29" x14ac:dyDescent="0.2">
      <c r="A213" s="309" t="s">
        <v>112</v>
      </c>
      <c r="B213" s="198"/>
      <c r="C213" s="464">
        <v>2005</v>
      </c>
      <c r="D213" s="198">
        <v>2006</v>
      </c>
      <c r="E213" s="198">
        <v>2007</v>
      </c>
      <c r="F213" s="198">
        <v>2008</v>
      </c>
      <c r="G213" s="198">
        <v>2009</v>
      </c>
      <c r="H213" s="198">
        <v>2010</v>
      </c>
      <c r="I213" s="198">
        <v>2011</v>
      </c>
      <c r="J213" s="198">
        <v>2012</v>
      </c>
      <c r="K213" s="198">
        <v>2013</v>
      </c>
      <c r="L213" s="293">
        <v>2014</v>
      </c>
      <c r="M213" s="293">
        <v>2015</v>
      </c>
      <c r="N213" s="293">
        <v>2016</v>
      </c>
      <c r="O213" s="293">
        <v>2017</v>
      </c>
      <c r="P213" s="198">
        <v>2018</v>
      </c>
      <c r="Q213" s="198">
        <v>2019</v>
      </c>
      <c r="R213" s="198">
        <v>2020</v>
      </c>
      <c r="S213" s="198">
        <v>2021</v>
      </c>
      <c r="T213" s="198">
        <v>2022</v>
      </c>
      <c r="U213" s="198">
        <v>2023</v>
      </c>
      <c r="V213" s="198">
        <v>2024</v>
      </c>
      <c r="W213" s="198">
        <v>2025</v>
      </c>
      <c r="X213" s="198">
        <v>2026</v>
      </c>
      <c r="Y213" s="198">
        <v>2027</v>
      </c>
      <c r="Z213" s="198">
        <v>2028</v>
      </c>
      <c r="AA213" s="198">
        <v>2029</v>
      </c>
      <c r="AB213" s="198">
        <v>2030</v>
      </c>
      <c r="AC213" s="198">
        <v>2031</v>
      </c>
    </row>
    <row r="214" spans="1:29" x14ac:dyDescent="0.2">
      <c r="A214" s="198">
        <f>[1]!NScenRostTarif_4</f>
        <v>1</v>
      </c>
      <c r="B214" t="s">
        <v>180</v>
      </c>
      <c r="C214" s="465">
        <v>1</v>
      </c>
      <c r="D214" s="465">
        <v>1</v>
      </c>
      <c r="E214" s="465">
        <v>1</v>
      </c>
      <c r="F214" s="465">
        <v>1</v>
      </c>
      <c r="G214" s="465">
        <v>1</v>
      </c>
      <c r="H214" s="465">
        <v>1</v>
      </c>
      <c r="I214" s="465">
        <v>1</v>
      </c>
      <c r="J214" s="465">
        <v>1</v>
      </c>
      <c r="K214" s="465">
        <v>1</v>
      </c>
      <c r="L214" s="326">
        <f>L215*(1+L211)</f>
        <v>11</v>
      </c>
      <c r="M214" s="326">
        <f t="shared" ref="M214:AB214" si="60">M215*(1+M211)</f>
        <v>15</v>
      </c>
      <c r="N214" s="326">
        <f t="shared" si="60"/>
        <v>16.5</v>
      </c>
      <c r="O214" s="485">
        <f t="shared" si="60"/>
        <v>17</v>
      </c>
      <c r="P214" s="326">
        <f t="shared" si="60"/>
        <v>14</v>
      </c>
      <c r="Q214" s="326">
        <f t="shared" si="60"/>
        <v>11</v>
      </c>
      <c r="R214" s="326">
        <f t="shared" si="60"/>
        <v>9</v>
      </c>
      <c r="S214" s="326">
        <f t="shared" si="60"/>
        <v>7</v>
      </c>
      <c r="T214" s="326">
        <f t="shared" si="60"/>
        <v>6</v>
      </c>
      <c r="U214" s="326">
        <f t="shared" si="60"/>
        <v>9</v>
      </c>
      <c r="V214" s="326">
        <f t="shared" si="60"/>
        <v>10</v>
      </c>
      <c r="W214" s="326">
        <f t="shared" si="60"/>
        <v>9</v>
      </c>
      <c r="X214" s="326">
        <f t="shared" si="60"/>
        <v>8.32</v>
      </c>
      <c r="Y214" s="326">
        <f t="shared" si="60"/>
        <v>7</v>
      </c>
      <c r="Z214" s="326">
        <f t="shared" si="60"/>
        <v>6</v>
      </c>
      <c r="AA214" s="326">
        <f t="shared" si="60"/>
        <v>6</v>
      </c>
      <c r="AB214" s="326">
        <f t="shared" si="60"/>
        <v>6.8400000000000007</v>
      </c>
      <c r="AC214" s="326">
        <f t="shared" ref="AC214" si="61">AC215*(1+AC211)</f>
        <v>6.8400000000000007</v>
      </c>
    </row>
    <row r="215" spans="1:29" x14ac:dyDescent="0.2">
      <c r="A215" s="240"/>
      <c r="B215" t="s">
        <v>181</v>
      </c>
      <c r="C215" s="465">
        <v>1</v>
      </c>
      <c r="D215" s="465">
        <v>1</v>
      </c>
      <c r="E215" s="465">
        <v>1</v>
      </c>
      <c r="F215" s="465">
        <v>1</v>
      </c>
      <c r="G215" s="465">
        <v>1</v>
      </c>
      <c r="H215" s="465">
        <v>1</v>
      </c>
      <c r="I215" s="465">
        <v>1</v>
      </c>
      <c r="J215" s="465">
        <v>1</v>
      </c>
      <c r="K215" s="465">
        <v>1</v>
      </c>
      <c r="L215" s="326">
        <f>INDEX(ScenInflPotrS,[1]!NscenInfl,L123)</f>
        <v>11</v>
      </c>
      <c r="M215" s="326">
        <f>INDEX(ScenInflPotrS,[1]!NscenInfl,M123)</f>
        <v>15</v>
      </c>
      <c r="N215" s="326">
        <f>INDEX(ScenInflPotrS,[1]!NscenInfl,N123)</f>
        <v>16.5</v>
      </c>
      <c r="O215" s="326">
        <f>INDEX(ScenInflPotrS,[1]!NscenInfl,O123)</f>
        <v>17</v>
      </c>
      <c r="P215" s="326">
        <f>INDEX(ScenInflPotrS,[1]!NscenInfl,P123)</f>
        <v>14</v>
      </c>
      <c r="Q215" s="326">
        <f>INDEX(ScenInflPotrS,[1]!NscenInfl,Q123)</f>
        <v>11</v>
      </c>
      <c r="R215" s="326">
        <f>INDEX(ScenInflPotrS,[1]!NscenInfl,R123)</f>
        <v>9</v>
      </c>
      <c r="S215" s="326">
        <f>INDEX(ScenInflPotrS,[1]!NscenInfl,S123)</f>
        <v>7</v>
      </c>
      <c r="T215" s="326">
        <f>INDEX(ScenInflPotrS,[1]!NscenInfl,T123)</f>
        <v>6</v>
      </c>
      <c r="U215" s="326">
        <f>INDEX(ScenInflPotrS,[1]!NscenInfl,U123)</f>
        <v>9</v>
      </c>
      <c r="V215" s="326">
        <f>INDEX(ScenInflPotrS,[1]!NscenInfl,V123)</f>
        <v>10</v>
      </c>
      <c r="W215" s="326">
        <f>INDEX(ScenInflPotrS,[1]!NscenInfl,W123)</f>
        <v>9</v>
      </c>
      <c r="X215" s="326">
        <f>INDEX(ScenInflPotrS,[1]!NscenInfl,X123)</f>
        <v>8.32</v>
      </c>
      <c r="Y215" s="326">
        <f>INDEX(ScenInflPotrS,[1]!NscenInfl,Y123)</f>
        <v>7</v>
      </c>
      <c r="Z215" s="326">
        <f>INDEX(ScenInflPotrS,[1]!NscenInfl,Z123)</f>
        <v>6</v>
      </c>
      <c r="AA215" s="326">
        <f>INDEX(ScenInflPotrS,[1]!NscenInfl,AA123)</f>
        <v>6</v>
      </c>
      <c r="AB215" s="326">
        <f>INDEX(ScenInflPotrS,[1]!NscenInfl,AB123)</f>
        <v>6</v>
      </c>
      <c r="AC215" s="326">
        <f>INDEX(ScenInflPotrS,[1]!NscenInfl,AC123)</f>
        <v>6</v>
      </c>
    </row>
    <row r="216" spans="1:29" x14ac:dyDescent="0.2">
      <c r="A216" s="240"/>
      <c r="B216" t="s">
        <v>182</v>
      </c>
      <c r="C216" s="465">
        <v>1</v>
      </c>
      <c r="D216" s="465">
        <v>1</v>
      </c>
      <c r="E216" s="465">
        <v>1</v>
      </c>
      <c r="F216" s="465">
        <v>1</v>
      </c>
      <c r="G216" s="465">
        <v>1</v>
      </c>
      <c r="H216" s="465">
        <v>1</v>
      </c>
      <c r="I216" s="465">
        <v>1</v>
      </c>
      <c r="J216" s="465">
        <v>1</v>
      </c>
      <c r="K216" s="465">
        <v>1</v>
      </c>
      <c r="L216" s="326">
        <f>L215*(1-L211)</f>
        <v>11</v>
      </c>
      <c r="M216" s="326">
        <f t="shared" ref="M216:AB216" si="62">M215*(1-M211)</f>
        <v>15</v>
      </c>
      <c r="N216" s="326">
        <f t="shared" si="62"/>
        <v>16.5</v>
      </c>
      <c r="O216" s="485">
        <f t="shared" si="62"/>
        <v>17</v>
      </c>
      <c r="P216" s="326">
        <f t="shared" si="62"/>
        <v>14</v>
      </c>
      <c r="Q216" s="326">
        <f t="shared" si="62"/>
        <v>11</v>
      </c>
      <c r="R216" s="326">
        <f t="shared" si="62"/>
        <v>9</v>
      </c>
      <c r="S216" s="326">
        <f t="shared" si="62"/>
        <v>7</v>
      </c>
      <c r="T216" s="326">
        <f t="shared" si="62"/>
        <v>6</v>
      </c>
      <c r="U216" s="326">
        <f t="shared" si="62"/>
        <v>9</v>
      </c>
      <c r="V216" s="326">
        <f t="shared" si="62"/>
        <v>10</v>
      </c>
      <c r="W216" s="326">
        <f t="shared" si="62"/>
        <v>9</v>
      </c>
      <c r="X216" s="326">
        <f t="shared" si="62"/>
        <v>8.32</v>
      </c>
      <c r="Y216" s="326">
        <f t="shared" si="62"/>
        <v>7</v>
      </c>
      <c r="Z216" s="326">
        <f t="shared" si="62"/>
        <v>6</v>
      </c>
      <c r="AA216" s="326">
        <f t="shared" si="62"/>
        <v>6</v>
      </c>
      <c r="AB216" s="326">
        <f t="shared" si="62"/>
        <v>5.16</v>
      </c>
      <c r="AC216" s="326">
        <f t="shared" ref="AC216" si="63">AC215*(1-AC211)</f>
        <v>5.16</v>
      </c>
    </row>
    <row r="219" spans="1:29" x14ac:dyDescent="0.2">
      <c r="K219" s="250" t="s">
        <v>204</v>
      </c>
    </row>
    <row r="220" spans="1:29" x14ac:dyDescent="0.2">
      <c r="L220" s="466">
        <f>INDEX([1]!KoefRostTarif,5,L221-8)</f>
        <v>0</v>
      </c>
      <c r="M220" s="466">
        <f>INDEX([1]!KoefRostTarif,5,M221-8)</f>
        <v>0</v>
      </c>
      <c r="N220" s="466">
        <f>INDEX([1]!KoefRostTarif,5,N221-8)</f>
        <v>0</v>
      </c>
      <c r="O220" s="490">
        <f>INDEX([1]!KoefRostTarif,5,O221-8)</f>
        <v>0</v>
      </c>
      <c r="P220" s="466">
        <f>INDEX([1]!KoefRostTarif,5,P221-8)</f>
        <v>0</v>
      </c>
      <c r="Q220" s="466">
        <f>INDEX([1]!KoefRostTarif,5,Q221-8)</f>
        <v>0</v>
      </c>
      <c r="R220" s="466">
        <f>INDEX([1]!KoefRostTarif,5,R221-8)</f>
        <v>0</v>
      </c>
      <c r="S220" s="466">
        <f>INDEX([1]!KoefRostTarif,5,S221-8)</f>
        <v>0</v>
      </c>
      <c r="T220" s="466">
        <f>INDEX([1]!KoefRostTarif,5,T221-8)</f>
        <v>0</v>
      </c>
      <c r="U220" s="466">
        <f>INDEX([1]!KoefRostTarif,5,U221-8)</f>
        <v>0</v>
      </c>
      <c r="V220" s="466">
        <f>INDEX([1]!KoefRostTarif,5,V221-8)</f>
        <v>0</v>
      </c>
      <c r="W220" s="466">
        <f>INDEX([1]!KoefRostTarif,5,W221-8)</f>
        <v>0</v>
      </c>
      <c r="X220" s="466">
        <f>INDEX([1]!KoefRostTarif,5,X221-8)</f>
        <v>0</v>
      </c>
      <c r="Y220" s="466">
        <f>INDEX([1]!KoefRostTarif,5,Y221-8)</f>
        <v>0</v>
      </c>
      <c r="Z220" s="466">
        <f>INDEX([1]!KoefRostTarif,5,Z221-8)</f>
        <v>0</v>
      </c>
      <c r="AA220" s="466">
        <f>INDEX([1]!KoefRostTarif,5,AA221-8)</f>
        <v>0</v>
      </c>
      <c r="AB220" s="466">
        <f>INDEX([1]!KoefRostTarif,5,AB221-8)</f>
        <v>0.15</v>
      </c>
      <c r="AC220" s="466">
        <f>INDEX([1]!KoefRostTarif,5,AC221-8)</f>
        <v>0.15</v>
      </c>
    </row>
    <row r="221" spans="1:29" x14ac:dyDescent="0.2">
      <c r="B221" s="250" t="s">
        <v>205</v>
      </c>
      <c r="D221">
        <v>1</v>
      </c>
      <c r="E221">
        <v>2</v>
      </c>
      <c r="F221">
        <v>3</v>
      </c>
      <c r="G221">
        <v>4</v>
      </c>
      <c r="H221">
        <v>5</v>
      </c>
      <c r="I221">
        <v>6</v>
      </c>
      <c r="J221">
        <v>7</v>
      </c>
      <c r="K221">
        <v>8</v>
      </c>
      <c r="L221">
        <v>9</v>
      </c>
      <c r="M221">
        <v>10</v>
      </c>
      <c r="N221">
        <v>11</v>
      </c>
      <c r="O221" s="112">
        <v>12</v>
      </c>
      <c r="P221">
        <v>13</v>
      </c>
      <c r="Q221">
        <v>14</v>
      </c>
      <c r="R221">
        <v>15</v>
      </c>
      <c r="S221">
        <v>16</v>
      </c>
      <c r="T221">
        <v>17</v>
      </c>
      <c r="U221">
        <v>18</v>
      </c>
      <c r="V221">
        <v>19</v>
      </c>
      <c r="W221">
        <v>20</v>
      </c>
      <c r="X221">
        <v>21</v>
      </c>
      <c r="Y221">
        <v>22</v>
      </c>
      <c r="Z221">
        <v>23</v>
      </c>
      <c r="AA221">
        <v>24</v>
      </c>
      <c r="AB221">
        <v>25</v>
      </c>
      <c r="AC221">
        <v>26</v>
      </c>
    </row>
    <row r="222" spans="1:29" x14ac:dyDescent="0.2">
      <c r="A222" s="309" t="s">
        <v>112</v>
      </c>
      <c r="B222" s="198"/>
      <c r="C222" s="464">
        <v>2005</v>
      </c>
      <c r="D222" s="198">
        <v>2006</v>
      </c>
      <c r="E222" s="198">
        <v>2007</v>
      </c>
      <c r="F222" s="198">
        <v>2008</v>
      </c>
      <c r="G222" s="198">
        <v>2009</v>
      </c>
      <c r="H222" s="198">
        <v>2010</v>
      </c>
      <c r="I222" s="198">
        <v>2011</v>
      </c>
      <c r="J222" s="198">
        <v>2012</v>
      </c>
      <c r="K222" s="198">
        <v>2013</v>
      </c>
      <c r="L222" s="293">
        <v>2014</v>
      </c>
      <c r="M222" s="293">
        <v>2015</v>
      </c>
      <c r="N222" s="293">
        <v>2016</v>
      </c>
      <c r="O222" s="293">
        <v>2017</v>
      </c>
      <c r="P222" s="198">
        <v>2018</v>
      </c>
      <c r="Q222" s="198">
        <v>2019</v>
      </c>
      <c r="R222" s="198">
        <v>2020</v>
      </c>
      <c r="S222" s="198">
        <v>2021</v>
      </c>
      <c r="T222" s="198">
        <v>2022</v>
      </c>
      <c r="U222" s="198">
        <v>2023</v>
      </c>
      <c r="V222" s="198">
        <v>2024</v>
      </c>
      <c r="W222" s="198">
        <v>2025</v>
      </c>
      <c r="X222" s="198">
        <v>2026</v>
      </c>
      <c r="Y222" s="198">
        <v>2027</v>
      </c>
      <c r="Z222" s="198">
        <v>2028</v>
      </c>
      <c r="AA222" s="198">
        <v>2029</v>
      </c>
      <c r="AB222" s="198">
        <v>2030</v>
      </c>
      <c r="AC222" s="198">
        <v>2031</v>
      </c>
    </row>
    <row r="223" spans="1:29" x14ac:dyDescent="0.2">
      <c r="A223" s="198">
        <f>[1]!NScenRostTarif_5</f>
        <v>1</v>
      </c>
      <c r="B223" t="s">
        <v>180</v>
      </c>
      <c r="C223" s="465">
        <v>1</v>
      </c>
      <c r="D223" s="465">
        <v>1</v>
      </c>
      <c r="E223" s="465">
        <v>1</v>
      </c>
      <c r="F223" s="465">
        <v>1</v>
      </c>
      <c r="G223" s="465">
        <v>1</v>
      </c>
      <c r="H223" s="465">
        <v>1</v>
      </c>
      <c r="I223" s="465">
        <v>1</v>
      </c>
      <c r="J223" s="465">
        <v>1</v>
      </c>
      <c r="K223" s="465">
        <v>1</v>
      </c>
      <c r="L223" s="326">
        <f>L224*(1+L220)</f>
        <v>11</v>
      </c>
      <c r="M223" s="326">
        <f t="shared" ref="M223:AB223" si="64">M224*(1+M220)</f>
        <v>15</v>
      </c>
      <c r="N223" s="326">
        <f t="shared" si="64"/>
        <v>16.5</v>
      </c>
      <c r="O223" s="485">
        <f t="shared" si="64"/>
        <v>17</v>
      </c>
      <c r="P223" s="326">
        <f t="shared" si="64"/>
        <v>14</v>
      </c>
      <c r="Q223" s="326">
        <f t="shared" si="64"/>
        <v>11</v>
      </c>
      <c r="R223" s="326">
        <f t="shared" si="64"/>
        <v>9</v>
      </c>
      <c r="S223" s="326">
        <f t="shared" si="64"/>
        <v>7</v>
      </c>
      <c r="T223" s="326">
        <f t="shared" si="64"/>
        <v>6</v>
      </c>
      <c r="U223" s="326">
        <f t="shared" si="64"/>
        <v>9</v>
      </c>
      <c r="V223" s="326">
        <f t="shared" si="64"/>
        <v>10</v>
      </c>
      <c r="W223" s="326">
        <f t="shared" si="64"/>
        <v>9</v>
      </c>
      <c r="X223" s="326">
        <f t="shared" si="64"/>
        <v>8.32</v>
      </c>
      <c r="Y223" s="326">
        <f t="shared" si="64"/>
        <v>7</v>
      </c>
      <c r="Z223" s="326">
        <f t="shared" si="64"/>
        <v>6</v>
      </c>
      <c r="AA223" s="326">
        <f t="shared" si="64"/>
        <v>6</v>
      </c>
      <c r="AB223" s="326">
        <f t="shared" si="64"/>
        <v>6.8999999999999995</v>
      </c>
      <c r="AC223" s="326">
        <f t="shared" ref="AC223" si="65">AC224*(1+AC220)</f>
        <v>6.8999999999999995</v>
      </c>
    </row>
    <row r="224" spans="1:29" x14ac:dyDescent="0.2">
      <c r="A224" s="240"/>
      <c r="B224" t="s">
        <v>181</v>
      </c>
      <c r="C224" s="465">
        <v>1</v>
      </c>
      <c r="D224" s="465">
        <v>1</v>
      </c>
      <c r="E224" s="465">
        <v>1</v>
      </c>
      <c r="F224" s="465">
        <v>1</v>
      </c>
      <c r="G224" s="465">
        <v>1</v>
      </c>
      <c r="H224" s="465">
        <v>1</v>
      </c>
      <c r="I224" s="465">
        <v>1</v>
      </c>
      <c r="J224" s="465">
        <v>1</v>
      </c>
      <c r="K224" s="465">
        <v>1</v>
      </c>
      <c r="L224" s="326">
        <f>INDEX(ScenInflPotrS,[1]!NscenInfl,L123)</f>
        <v>11</v>
      </c>
      <c r="M224" s="326">
        <f>INDEX(ScenInflPotrS,[1]!NscenInfl,M123)</f>
        <v>15</v>
      </c>
      <c r="N224" s="326">
        <f>INDEX(ScenInflPotrS,[1]!NscenInfl,N123)</f>
        <v>16.5</v>
      </c>
      <c r="O224" s="485">
        <f>INDEX(ScenInflPotrS,[1]!NscenInfl,O123)</f>
        <v>17</v>
      </c>
      <c r="P224" s="326">
        <f>INDEX(ScenInflPotrS,[1]!NscenInfl,P123)</f>
        <v>14</v>
      </c>
      <c r="Q224" s="326">
        <f>INDEX(ScenInflPotrS,[1]!NscenInfl,Q123)</f>
        <v>11</v>
      </c>
      <c r="R224" s="326">
        <f>INDEX(ScenInflPotrS,[1]!NscenInfl,R123)</f>
        <v>9</v>
      </c>
      <c r="S224" s="326">
        <f>INDEX(ScenInflPotrS,[1]!NscenInfl,S123)</f>
        <v>7</v>
      </c>
      <c r="T224" s="326">
        <f>INDEX(ScenInflPotrS,[1]!NscenInfl,T123)</f>
        <v>6</v>
      </c>
      <c r="U224" s="326">
        <f>INDEX(ScenInflPotrS,[1]!NscenInfl,U123)</f>
        <v>9</v>
      </c>
      <c r="V224" s="326">
        <f>INDEX(ScenInflPotrS,[1]!NscenInfl,V123)</f>
        <v>10</v>
      </c>
      <c r="W224" s="326">
        <f>INDEX(ScenInflPotrS,[1]!NscenInfl,W123)</f>
        <v>9</v>
      </c>
      <c r="X224" s="326">
        <f>INDEX(ScenInflPotrS,[1]!NscenInfl,X123)</f>
        <v>8.32</v>
      </c>
      <c r="Y224" s="326">
        <f>INDEX(ScenInflPotrS,[1]!NscenInfl,Y123)</f>
        <v>7</v>
      </c>
      <c r="Z224" s="326">
        <f>INDEX(ScenInflPotrS,[1]!NscenInfl,Z123)</f>
        <v>6</v>
      </c>
      <c r="AA224" s="326">
        <f>INDEX(ScenInflPotrS,[1]!NscenInfl,AA123)</f>
        <v>6</v>
      </c>
      <c r="AB224" s="326">
        <f>INDEX(ScenInflPotrS,[1]!NscenInfl,AB123)</f>
        <v>6</v>
      </c>
      <c r="AC224" s="326">
        <f>INDEX(ScenInflPotrS,[1]!NscenInfl,AC123)</f>
        <v>6</v>
      </c>
    </row>
    <row r="225" spans="1:29" x14ac:dyDescent="0.2">
      <c r="A225" s="240"/>
      <c r="B225" t="s">
        <v>182</v>
      </c>
      <c r="C225" s="465">
        <v>1</v>
      </c>
      <c r="D225" s="465">
        <v>1</v>
      </c>
      <c r="E225" s="465">
        <v>1</v>
      </c>
      <c r="F225" s="465">
        <v>1</v>
      </c>
      <c r="G225" s="465">
        <v>1</v>
      </c>
      <c r="H225" s="465">
        <v>1</v>
      </c>
      <c r="I225" s="465">
        <v>1</v>
      </c>
      <c r="J225" s="465">
        <v>1</v>
      </c>
      <c r="K225" s="465">
        <v>1</v>
      </c>
      <c r="L225" s="326">
        <f>L224*(1-L220)</f>
        <v>11</v>
      </c>
      <c r="M225" s="326">
        <f t="shared" ref="M225:AB225" si="66">M224*(1-M220)</f>
        <v>15</v>
      </c>
      <c r="N225" s="326">
        <f t="shared" si="66"/>
        <v>16.5</v>
      </c>
      <c r="O225" s="485">
        <f t="shared" si="66"/>
        <v>17</v>
      </c>
      <c r="P225" s="326">
        <f t="shared" si="66"/>
        <v>14</v>
      </c>
      <c r="Q225" s="326">
        <f t="shared" si="66"/>
        <v>11</v>
      </c>
      <c r="R225" s="326">
        <f t="shared" si="66"/>
        <v>9</v>
      </c>
      <c r="S225" s="326">
        <f t="shared" si="66"/>
        <v>7</v>
      </c>
      <c r="T225" s="326">
        <f t="shared" si="66"/>
        <v>6</v>
      </c>
      <c r="U225" s="326">
        <f t="shared" si="66"/>
        <v>9</v>
      </c>
      <c r="V225" s="326">
        <f t="shared" si="66"/>
        <v>10</v>
      </c>
      <c r="W225" s="326">
        <f t="shared" si="66"/>
        <v>9</v>
      </c>
      <c r="X225" s="326">
        <f t="shared" si="66"/>
        <v>8.32</v>
      </c>
      <c r="Y225" s="326">
        <f t="shared" si="66"/>
        <v>7</v>
      </c>
      <c r="Z225" s="326">
        <f t="shared" si="66"/>
        <v>6</v>
      </c>
      <c r="AA225" s="326">
        <f t="shared" si="66"/>
        <v>6</v>
      </c>
      <c r="AB225" s="326">
        <f t="shared" si="66"/>
        <v>5.0999999999999996</v>
      </c>
      <c r="AC225" s="326">
        <f t="shared" ref="AC225" si="67">AC224*(1-AC220)</f>
        <v>5.0999999999999996</v>
      </c>
    </row>
    <row r="228" spans="1:29" x14ac:dyDescent="0.2">
      <c r="K228" s="250" t="s">
        <v>206</v>
      </c>
    </row>
    <row r="229" spans="1:29" x14ac:dyDescent="0.2">
      <c r="L229" s="466">
        <f>INDEX([1]!KoefRostTarif,6,L230-8)</f>
        <v>0</v>
      </c>
      <c r="M229" s="466">
        <f>INDEX([1]!KoefRostTarif,6,M230-8)</f>
        <v>0</v>
      </c>
      <c r="N229" s="466">
        <f>INDEX([1]!KoefRostTarif,6,N230-8)</f>
        <v>0</v>
      </c>
      <c r="O229" s="490">
        <f>INDEX([1]!KoefRostTarif,6,O230-8)</f>
        <v>0</v>
      </c>
      <c r="P229" s="466">
        <f>INDEX([1]!KoefRostTarif,6,P230-8)</f>
        <v>0</v>
      </c>
      <c r="Q229" s="466">
        <f>INDEX([1]!KoefRostTarif,6,Q230-8)</f>
        <v>0</v>
      </c>
      <c r="R229" s="466">
        <f>INDEX([1]!KoefRostTarif,6,R230-8)</f>
        <v>0</v>
      </c>
      <c r="S229" s="466">
        <f>INDEX([1]!KoefRostTarif,6,S230-8)</f>
        <v>0</v>
      </c>
      <c r="T229" s="466">
        <f>INDEX([1]!KoefRostTarif,6,T230-8)</f>
        <v>0</v>
      </c>
      <c r="U229" s="466">
        <f>INDEX([1]!KoefRostTarif,6,U230-8)</f>
        <v>0</v>
      </c>
      <c r="V229" s="466">
        <f>INDEX([1]!KoefRostTarif,6,V230-8)</f>
        <v>0</v>
      </c>
      <c r="W229" s="466">
        <f>INDEX([1]!KoefRostTarif,6,W230-8)</f>
        <v>0</v>
      </c>
      <c r="X229" s="466">
        <f>INDEX([1]!KoefRostTarif,6,X230-8)</f>
        <v>0</v>
      </c>
      <c r="Y229" s="466">
        <f>INDEX([1]!KoefRostTarif,6,Y230-8)</f>
        <v>0</v>
      </c>
      <c r="Z229" s="466">
        <f>INDEX([1]!KoefRostTarif,6,Z230-8)</f>
        <v>0</v>
      </c>
      <c r="AA229" s="466">
        <f>INDEX([1]!KoefRostTarif,6,AA230-8)</f>
        <v>0</v>
      </c>
      <c r="AB229" s="466">
        <f>INDEX([1]!KoefRostTarif,6,AB230-8)</f>
        <v>0.16</v>
      </c>
      <c r="AC229" s="466">
        <f>INDEX([1]!KoefRostTarif,6,AC230-8)</f>
        <v>0.16</v>
      </c>
    </row>
    <row r="230" spans="1:29" x14ac:dyDescent="0.2">
      <c r="B230" s="250" t="s">
        <v>207</v>
      </c>
      <c r="D230">
        <v>1</v>
      </c>
      <c r="E230">
        <v>2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8</v>
      </c>
      <c r="L230">
        <v>9</v>
      </c>
      <c r="M230">
        <v>10</v>
      </c>
      <c r="N230">
        <v>11</v>
      </c>
      <c r="O230" s="112">
        <v>12</v>
      </c>
      <c r="P230">
        <v>13</v>
      </c>
      <c r="Q230">
        <v>14</v>
      </c>
      <c r="R230">
        <v>15</v>
      </c>
      <c r="S230">
        <v>16</v>
      </c>
      <c r="T230">
        <v>17</v>
      </c>
      <c r="U230">
        <v>18</v>
      </c>
      <c r="V230">
        <v>19</v>
      </c>
      <c r="W230">
        <v>20</v>
      </c>
      <c r="X230">
        <v>21</v>
      </c>
      <c r="Y230">
        <v>22</v>
      </c>
      <c r="Z230">
        <v>23</v>
      </c>
      <c r="AA230">
        <v>24</v>
      </c>
      <c r="AB230">
        <v>25</v>
      </c>
      <c r="AC230">
        <v>26</v>
      </c>
    </row>
    <row r="231" spans="1:29" x14ac:dyDescent="0.2">
      <c r="A231" s="309" t="s">
        <v>112</v>
      </c>
      <c r="B231" s="198"/>
      <c r="C231" s="464">
        <v>2005</v>
      </c>
      <c r="D231" s="198">
        <v>2006</v>
      </c>
      <c r="E231" s="198">
        <v>2007</v>
      </c>
      <c r="F231" s="198">
        <v>2008</v>
      </c>
      <c r="G231" s="198">
        <v>2009</v>
      </c>
      <c r="H231" s="198">
        <v>2010</v>
      </c>
      <c r="I231" s="198">
        <v>2011</v>
      </c>
      <c r="J231" s="198">
        <v>2012</v>
      </c>
      <c r="K231" s="198">
        <v>2013</v>
      </c>
      <c r="L231" s="293">
        <v>2014</v>
      </c>
      <c r="M231" s="293">
        <v>2015</v>
      </c>
      <c r="N231" s="293">
        <v>2016</v>
      </c>
      <c r="O231" s="293">
        <v>2017</v>
      </c>
      <c r="P231" s="198">
        <v>2018</v>
      </c>
      <c r="Q231" s="198">
        <v>2019</v>
      </c>
      <c r="R231" s="198">
        <v>2020</v>
      </c>
      <c r="S231" s="198">
        <v>2021</v>
      </c>
      <c r="T231" s="198">
        <v>2022</v>
      </c>
      <c r="U231" s="198">
        <v>2023</v>
      </c>
      <c r="V231" s="198">
        <v>2024</v>
      </c>
      <c r="W231" s="198">
        <v>2025</v>
      </c>
      <c r="X231" s="198">
        <v>2026</v>
      </c>
      <c r="Y231" s="198">
        <v>2027</v>
      </c>
      <c r="Z231" s="198">
        <v>2028</v>
      </c>
      <c r="AA231" s="198">
        <v>2029</v>
      </c>
      <c r="AB231" s="198">
        <v>2030</v>
      </c>
      <c r="AC231" s="198">
        <v>2031</v>
      </c>
    </row>
    <row r="232" spans="1:29" x14ac:dyDescent="0.2">
      <c r="A232" s="198">
        <f>[1]!NScenRostTarif_6</f>
        <v>1</v>
      </c>
      <c r="B232" t="s">
        <v>180</v>
      </c>
      <c r="C232" s="465">
        <v>1</v>
      </c>
      <c r="D232" s="465">
        <v>1</v>
      </c>
      <c r="E232" s="465">
        <v>1</v>
      </c>
      <c r="F232" s="465">
        <v>1</v>
      </c>
      <c r="G232" s="465">
        <v>1</v>
      </c>
      <c r="H232" s="465">
        <v>1</v>
      </c>
      <c r="I232" s="465">
        <v>1</v>
      </c>
      <c r="J232" s="465">
        <v>1</v>
      </c>
      <c r="K232" s="465">
        <v>1</v>
      </c>
      <c r="L232" s="326">
        <f>L233*(1+L229)</f>
        <v>11</v>
      </c>
      <c r="M232" s="326">
        <f t="shared" ref="M232:AB232" si="68">M233*(1+M229)</f>
        <v>15</v>
      </c>
      <c r="N232" s="326">
        <f t="shared" si="68"/>
        <v>16.5</v>
      </c>
      <c r="O232" s="485">
        <f t="shared" si="68"/>
        <v>17</v>
      </c>
      <c r="P232" s="326">
        <f t="shared" si="68"/>
        <v>14</v>
      </c>
      <c r="Q232" s="326">
        <f t="shared" si="68"/>
        <v>11</v>
      </c>
      <c r="R232" s="326">
        <f t="shared" si="68"/>
        <v>9</v>
      </c>
      <c r="S232" s="326">
        <f t="shared" si="68"/>
        <v>7</v>
      </c>
      <c r="T232" s="326">
        <f t="shared" si="68"/>
        <v>6</v>
      </c>
      <c r="U232" s="326">
        <f t="shared" si="68"/>
        <v>9</v>
      </c>
      <c r="V232" s="326">
        <f t="shared" si="68"/>
        <v>10</v>
      </c>
      <c r="W232" s="326">
        <f t="shared" si="68"/>
        <v>9</v>
      </c>
      <c r="X232" s="326">
        <f t="shared" si="68"/>
        <v>8.32</v>
      </c>
      <c r="Y232" s="326">
        <f t="shared" si="68"/>
        <v>7</v>
      </c>
      <c r="Z232" s="326">
        <f t="shared" si="68"/>
        <v>6</v>
      </c>
      <c r="AA232" s="326">
        <f t="shared" si="68"/>
        <v>6</v>
      </c>
      <c r="AB232" s="326">
        <f t="shared" si="68"/>
        <v>6.9599999999999991</v>
      </c>
      <c r="AC232" s="326">
        <f t="shared" ref="AC232" si="69">AC233*(1+AC229)</f>
        <v>6.9599999999999991</v>
      </c>
    </row>
    <row r="233" spans="1:29" x14ac:dyDescent="0.2">
      <c r="A233" s="240"/>
      <c r="B233" t="s">
        <v>181</v>
      </c>
      <c r="C233" s="465">
        <v>1</v>
      </c>
      <c r="D233" s="465">
        <v>1</v>
      </c>
      <c r="E233" s="465">
        <v>1</v>
      </c>
      <c r="F233" s="465">
        <v>1</v>
      </c>
      <c r="G233" s="465">
        <v>1</v>
      </c>
      <c r="H233" s="465">
        <v>1</v>
      </c>
      <c r="I233" s="465">
        <v>1</v>
      </c>
      <c r="J233" s="465">
        <v>1</v>
      </c>
      <c r="K233" s="465">
        <v>1</v>
      </c>
      <c r="L233" s="326">
        <f>INDEX(ScenInflPotrS,[1]!NscenInfl,L123)</f>
        <v>11</v>
      </c>
      <c r="M233" s="326">
        <f>INDEX(ScenInflPotrS,[1]!NscenInfl,M123)</f>
        <v>15</v>
      </c>
      <c r="N233" s="326">
        <f>INDEX(ScenInflPotrS,[1]!NscenInfl,N123)</f>
        <v>16.5</v>
      </c>
      <c r="O233" s="485">
        <f>INDEX(ScenInflPotrS,[1]!NscenInfl,O123)</f>
        <v>17</v>
      </c>
      <c r="P233" s="326">
        <f>INDEX(ScenInflPotrS,[1]!NscenInfl,P123)</f>
        <v>14</v>
      </c>
      <c r="Q233" s="326">
        <f>INDEX(ScenInflPotrS,[1]!NscenInfl,Q123)</f>
        <v>11</v>
      </c>
      <c r="R233" s="326">
        <f>INDEX(ScenInflPotrS,[1]!NscenInfl,R123)</f>
        <v>9</v>
      </c>
      <c r="S233" s="326">
        <f>INDEX(ScenInflPotrS,[1]!NscenInfl,S123)</f>
        <v>7</v>
      </c>
      <c r="T233" s="326">
        <f>INDEX(ScenInflPotrS,[1]!NscenInfl,T123)</f>
        <v>6</v>
      </c>
      <c r="U233" s="326">
        <f>INDEX(ScenInflPotrS,[1]!NscenInfl,U123)</f>
        <v>9</v>
      </c>
      <c r="V233" s="326">
        <f>INDEX(ScenInflPotrS,[1]!NscenInfl,V123)</f>
        <v>10</v>
      </c>
      <c r="W233" s="326">
        <f>INDEX(ScenInflPotrS,[1]!NscenInfl,W123)</f>
        <v>9</v>
      </c>
      <c r="X233" s="326">
        <f>INDEX(ScenInflPotrS,[1]!NscenInfl,X123)</f>
        <v>8.32</v>
      </c>
      <c r="Y233" s="326">
        <f>INDEX(ScenInflPotrS,[1]!NscenInfl,Y123)</f>
        <v>7</v>
      </c>
      <c r="Z233" s="326">
        <f>INDEX(ScenInflPotrS,[1]!NscenInfl,Z123)</f>
        <v>6</v>
      </c>
      <c r="AA233" s="326">
        <f>INDEX(ScenInflPotrS,[1]!NscenInfl,AA123)</f>
        <v>6</v>
      </c>
      <c r="AB233" s="326">
        <f>INDEX(ScenInflPotrS,[1]!NscenInfl,AB123)</f>
        <v>6</v>
      </c>
      <c r="AC233" s="326">
        <f>INDEX(ScenInflPotrS,[1]!NscenInfl,AC123)</f>
        <v>6</v>
      </c>
    </row>
    <row r="234" spans="1:29" x14ac:dyDescent="0.2">
      <c r="A234" s="240"/>
      <c r="B234" t="s">
        <v>182</v>
      </c>
      <c r="C234" s="465">
        <v>1</v>
      </c>
      <c r="D234" s="465">
        <v>1</v>
      </c>
      <c r="E234" s="465">
        <v>1</v>
      </c>
      <c r="F234" s="465">
        <v>1</v>
      </c>
      <c r="G234" s="465">
        <v>1</v>
      </c>
      <c r="H234" s="465">
        <v>1</v>
      </c>
      <c r="I234" s="465">
        <v>1</v>
      </c>
      <c r="J234" s="465">
        <v>1</v>
      </c>
      <c r="K234" s="465">
        <v>1</v>
      </c>
      <c r="L234" s="326">
        <f>L233*(1-L229)</f>
        <v>11</v>
      </c>
      <c r="M234" s="326">
        <f t="shared" ref="M234:AB234" si="70">M233*(1-M229)</f>
        <v>15</v>
      </c>
      <c r="N234" s="326">
        <f t="shared" si="70"/>
        <v>16.5</v>
      </c>
      <c r="O234" s="485">
        <f t="shared" si="70"/>
        <v>17</v>
      </c>
      <c r="P234" s="326">
        <f t="shared" si="70"/>
        <v>14</v>
      </c>
      <c r="Q234" s="326">
        <f t="shared" si="70"/>
        <v>11</v>
      </c>
      <c r="R234" s="326">
        <f t="shared" si="70"/>
        <v>9</v>
      </c>
      <c r="S234" s="326">
        <f t="shared" si="70"/>
        <v>7</v>
      </c>
      <c r="T234" s="326">
        <f t="shared" si="70"/>
        <v>6</v>
      </c>
      <c r="U234" s="326">
        <f t="shared" si="70"/>
        <v>9</v>
      </c>
      <c r="V234" s="326">
        <f t="shared" si="70"/>
        <v>10</v>
      </c>
      <c r="W234" s="326">
        <f t="shared" si="70"/>
        <v>9</v>
      </c>
      <c r="X234" s="326">
        <f t="shared" si="70"/>
        <v>8.32</v>
      </c>
      <c r="Y234" s="326">
        <f t="shared" si="70"/>
        <v>7</v>
      </c>
      <c r="Z234" s="326">
        <f t="shared" si="70"/>
        <v>6</v>
      </c>
      <c r="AA234" s="326">
        <f t="shared" si="70"/>
        <v>6</v>
      </c>
      <c r="AB234" s="326">
        <f t="shared" si="70"/>
        <v>5.04</v>
      </c>
      <c r="AC234" s="326">
        <f t="shared" ref="AC234" si="71">AC233*(1-AC229)</f>
        <v>5.04</v>
      </c>
    </row>
    <row r="237" spans="1:29" x14ac:dyDescent="0.2">
      <c r="K237" s="250" t="s">
        <v>208</v>
      </c>
    </row>
    <row r="238" spans="1:29" x14ac:dyDescent="0.2">
      <c r="L238" s="466">
        <f>INDEX([1]!KoefRostTarif,7,L239-8)</f>
        <v>0</v>
      </c>
      <c r="M238" s="466">
        <f>INDEX([1]!KoefRostTarif,7,M239-8)</f>
        <v>0</v>
      </c>
      <c r="N238" s="466">
        <f>INDEX([1]!KoefRostTarif,7,N239-8)</f>
        <v>0</v>
      </c>
      <c r="O238" s="490">
        <f>INDEX([1]!KoefRostTarif,7,O239-8)</f>
        <v>0</v>
      </c>
      <c r="P238" s="466">
        <f>INDEX([1]!KoefRostTarif,7,P239-8)</f>
        <v>0</v>
      </c>
      <c r="Q238" s="466">
        <f>INDEX([1]!KoefRostTarif,7,Q239-8)</f>
        <v>0</v>
      </c>
      <c r="R238" s="466">
        <f>INDEX([1]!KoefRostTarif,7,R239-8)</f>
        <v>0</v>
      </c>
      <c r="S238" s="466">
        <f>INDEX([1]!KoefRostTarif,7,S239-8)</f>
        <v>0</v>
      </c>
      <c r="T238" s="466">
        <f>INDEX([1]!KoefRostTarif,7,T239-8)</f>
        <v>0</v>
      </c>
      <c r="U238" s="466">
        <f>INDEX([1]!KoefRostTarif,7,U239-8)</f>
        <v>0</v>
      </c>
      <c r="V238" s="466">
        <f>INDEX([1]!KoefRostTarif,7,V239-8)</f>
        <v>0</v>
      </c>
      <c r="W238" s="466">
        <f>INDEX([1]!KoefRostTarif,7,W239-8)</f>
        <v>0</v>
      </c>
      <c r="X238" s="466">
        <f>INDEX([1]!KoefRostTarif,7,X239-8)</f>
        <v>0</v>
      </c>
      <c r="Y238" s="466">
        <f>INDEX([1]!KoefRostTarif,7,Y239-8)</f>
        <v>0</v>
      </c>
      <c r="Z238" s="466">
        <f>INDEX([1]!KoefRostTarif,7,Z239-8)</f>
        <v>0</v>
      </c>
      <c r="AA238" s="466">
        <f>INDEX([1]!KoefRostTarif,7,AA239-8)</f>
        <v>0</v>
      </c>
      <c r="AB238" s="466">
        <f>INDEX([1]!KoefRostTarif,7,AB239-8)</f>
        <v>0.17</v>
      </c>
      <c r="AC238" s="466">
        <f>INDEX([1]!KoefRostTarif,7,AC239-8)</f>
        <v>0.17</v>
      </c>
    </row>
    <row r="239" spans="1:29" x14ac:dyDescent="0.2">
      <c r="B239" s="250" t="s">
        <v>209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 s="112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  <c r="AA239">
        <v>24</v>
      </c>
      <c r="AB239">
        <v>25</v>
      </c>
      <c r="AC239">
        <v>26</v>
      </c>
    </row>
    <row r="240" spans="1:29" x14ac:dyDescent="0.2">
      <c r="A240" s="309" t="s">
        <v>112</v>
      </c>
      <c r="B240" s="198"/>
      <c r="C240" s="464">
        <v>2005</v>
      </c>
      <c r="D240" s="198">
        <v>2006</v>
      </c>
      <c r="E240" s="198">
        <v>2007</v>
      </c>
      <c r="F240" s="198">
        <v>2008</v>
      </c>
      <c r="G240" s="198">
        <v>2009</v>
      </c>
      <c r="H240" s="198">
        <v>2010</v>
      </c>
      <c r="I240" s="198">
        <v>2011</v>
      </c>
      <c r="J240" s="198">
        <v>2012</v>
      </c>
      <c r="K240" s="198">
        <v>2013</v>
      </c>
      <c r="L240" s="293">
        <v>2014</v>
      </c>
      <c r="M240" s="293">
        <v>2015</v>
      </c>
      <c r="N240" s="293">
        <v>2016</v>
      </c>
      <c r="O240" s="293">
        <v>2017</v>
      </c>
      <c r="P240" s="198">
        <v>2018</v>
      </c>
      <c r="Q240" s="198">
        <v>2019</v>
      </c>
      <c r="R240" s="198">
        <v>2020</v>
      </c>
      <c r="S240" s="198">
        <v>2021</v>
      </c>
      <c r="T240" s="198">
        <v>2022</v>
      </c>
      <c r="U240" s="198">
        <v>2023</v>
      </c>
      <c r="V240" s="198">
        <v>2024</v>
      </c>
      <c r="W240" s="198">
        <v>2025</v>
      </c>
      <c r="X240" s="198">
        <v>2026</v>
      </c>
      <c r="Y240" s="198">
        <v>2027</v>
      </c>
      <c r="Z240" s="198">
        <v>2028</v>
      </c>
      <c r="AA240" s="198">
        <v>2029</v>
      </c>
      <c r="AB240" s="198">
        <v>2030</v>
      </c>
      <c r="AC240" s="198">
        <v>2031</v>
      </c>
    </row>
    <row r="241" spans="1:29" x14ac:dyDescent="0.2">
      <c r="A241" s="198">
        <f>[1]!NScenRostTarif_7</f>
        <v>1</v>
      </c>
      <c r="B241" t="s">
        <v>180</v>
      </c>
      <c r="C241" s="465">
        <v>1</v>
      </c>
      <c r="D241" s="465">
        <v>1</v>
      </c>
      <c r="E241" s="465">
        <v>1</v>
      </c>
      <c r="F241" s="465">
        <v>1</v>
      </c>
      <c r="G241" s="465">
        <v>1</v>
      </c>
      <c r="H241" s="465">
        <v>1</v>
      </c>
      <c r="I241" s="465">
        <v>1</v>
      </c>
      <c r="J241" s="465">
        <v>1</v>
      </c>
      <c r="K241" s="465">
        <v>1</v>
      </c>
      <c r="L241" s="326">
        <f>L242*(1+L238)</f>
        <v>11</v>
      </c>
      <c r="M241" s="326">
        <f t="shared" ref="M241:AB241" si="72">M242*(1+M238)</f>
        <v>15</v>
      </c>
      <c r="N241" s="326">
        <f t="shared" si="72"/>
        <v>16.5</v>
      </c>
      <c r="O241" s="485">
        <f t="shared" si="72"/>
        <v>17</v>
      </c>
      <c r="P241" s="326">
        <f t="shared" si="72"/>
        <v>14</v>
      </c>
      <c r="Q241" s="326">
        <f t="shared" si="72"/>
        <v>11</v>
      </c>
      <c r="R241" s="326">
        <f t="shared" si="72"/>
        <v>9</v>
      </c>
      <c r="S241" s="326">
        <f t="shared" si="72"/>
        <v>7</v>
      </c>
      <c r="T241" s="326">
        <f t="shared" si="72"/>
        <v>6</v>
      </c>
      <c r="U241" s="326">
        <f t="shared" si="72"/>
        <v>9</v>
      </c>
      <c r="V241" s="326">
        <f t="shared" si="72"/>
        <v>10</v>
      </c>
      <c r="W241" s="326">
        <f t="shared" si="72"/>
        <v>9</v>
      </c>
      <c r="X241" s="326">
        <f t="shared" si="72"/>
        <v>8.32</v>
      </c>
      <c r="Y241" s="326">
        <f t="shared" si="72"/>
        <v>7</v>
      </c>
      <c r="Z241" s="326">
        <f t="shared" si="72"/>
        <v>6</v>
      </c>
      <c r="AA241" s="326">
        <f t="shared" si="72"/>
        <v>6</v>
      </c>
      <c r="AB241" s="326">
        <f t="shared" si="72"/>
        <v>7.02</v>
      </c>
      <c r="AC241" s="326">
        <f t="shared" ref="AC241" si="73">AC242*(1+AC238)</f>
        <v>7.02</v>
      </c>
    </row>
    <row r="242" spans="1:29" x14ac:dyDescent="0.2">
      <c r="A242" s="240"/>
      <c r="B242" t="s">
        <v>181</v>
      </c>
      <c r="C242" s="465">
        <v>1</v>
      </c>
      <c r="D242" s="465">
        <v>1</v>
      </c>
      <c r="E242" s="465">
        <v>1</v>
      </c>
      <c r="F242" s="465">
        <v>1</v>
      </c>
      <c r="G242" s="465">
        <v>1</v>
      </c>
      <c r="H242" s="465">
        <v>1</v>
      </c>
      <c r="I242" s="465">
        <v>1</v>
      </c>
      <c r="J242" s="465">
        <v>1</v>
      </c>
      <c r="K242" s="465">
        <v>1</v>
      </c>
      <c r="L242" s="326">
        <f>INDEX(ScenInflPotrS,[1]!NscenInfl,L123)</f>
        <v>11</v>
      </c>
      <c r="M242" s="326">
        <f>INDEX(ScenInflPotrS,[1]!NscenInfl,M123)</f>
        <v>15</v>
      </c>
      <c r="N242" s="326">
        <f>INDEX(ScenInflPotrS,[1]!NscenInfl,N123)</f>
        <v>16.5</v>
      </c>
      <c r="O242" s="485">
        <f>INDEX(ScenInflPotrS,[1]!NscenInfl,O123)</f>
        <v>17</v>
      </c>
      <c r="P242" s="326">
        <f>INDEX(ScenInflPotrS,[1]!NscenInfl,P123)</f>
        <v>14</v>
      </c>
      <c r="Q242" s="326">
        <f>INDEX(ScenInflPotrS,[1]!NscenInfl,Q123)</f>
        <v>11</v>
      </c>
      <c r="R242" s="326">
        <f>INDEX(ScenInflPotrS,[1]!NscenInfl,R123)</f>
        <v>9</v>
      </c>
      <c r="S242" s="326">
        <f>INDEX(ScenInflPotrS,[1]!NscenInfl,S123)</f>
        <v>7</v>
      </c>
      <c r="T242" s="326">
        <f>INDEX(ScenInflPotrS,[1]!NscenInfl,T123)</f>
        <v>6</v>
      </c>
      <c r="U242" s="326">
        <f>INDEX(ScenInflPotrS,[1]!NscenInfl,U123)</f>
        <v>9</v>
      </c>
      <c r="V242" s="326">
        <f>INDEX(ScenInflPotrS,[1]!NscenInfl,V123)</f>
        <v>10</v>
      </c>
      <c r="W242" s="326">
        <f>INDEX(ScenInflPotrS,[1]!NscenInfl,W123)</f>
        <v>9</v>
      </c>
      <c r="X242" s="326">
        <f>INDEX(ScenInflPotrS,[1]!NscenInfl,X123)</f>
        <v>8.32</v>
      </c>
      <c r="Y242" s="326">
        <f>INDEX(ScenInflPotrS,[1]!NscenInfl,Y123)</f>
        <v>7</v>
      </c>
      <c r="Z242" s="326">
        <f>INDEX(ScenInflPotrS,[1]!NscenInfl,Z123)</f>
        <v>6</v>
      </c>
      <c r="AA242" s="326">
        <f>INDEX(ScenInflPotrS,[1]!NscenInfl,AA123)</f>
        <v>6</v>
      </c>
      <c r="AB242" s="326">
        <f>INDEX(ScenInflPotrS,[1]!NscenInfl,AB123)</f>
        <v>6</v>
      </c>
      <c r="AC242" s="326">
        <f>INDEX(ScenInflPotrS,[1]!NscenInfl,AC123)</f>
        <v>6</v>
      </c>
    </row>
    <row r="243" spans="1:29" x14ac:dyDescent="0.2">
      <c r="A243" s="240"/>
      <c r="B243" t="s">
        <v>182</v>
      </c>
      <c r="C243" s="465">
        <v>1</v>
      </c>
      <c r="D243" s="465">
        <v>1</v>
      </c>
      <c r="E243" s="465">
        <v>1</v>
      </c>
      <c r="F243" s="465">
        <v>1</v>
      </c>
      <c r="G243" s="465">
        <v>1</v>
      </c>
      <c r="H243" s="465">
        <v>1</v>
      </c>
      <c r="I243" s="465">
        <v>1</v>
      </c>
      <c r="J243" s="465">
        <v>1</v>
      </c>
      <c r="K243" s="465">
        <v>1</v>
      </c>
      <c r="L243" s="326">
        <f>L242*(1-L238)</f>
        <v>11</v>
      </c>
      <c r="M243" s="326">
        <f t="shared" ref="M243:AB243" si="74">M242*(1-M238)</f>
        <v>15</v>
      </c>
      <c r="N243" s="326">
        <f t="shared" si="74"/>
        <v>16.5</v>
      </c>
      <c r="O243" s="485">
        <f t="shared" si="74"/>
        <v>17</v>
      </c>
      <c r="P243" s="326">
        <f t="shared" si="74"/>
        <v>14</v>
      </c>
      <c r="Q243" s="326">
        <f t="shared" si="74"/>
        <v>11</v>
      </c>
      <c r="R243" s="326">
        <f t="shared" si="74"/>
        <v>9</v>
      </c>
      <c r="S243" s="326">
        <f t="shared" si="74"/>
        <v>7</v>
      </c>
      <c r="T243" s="326">
        <f t="shared" si="74"/>
        <v>6</v>
      </c>
      <c r="U243" s="326">
        <f t="shared" si="74"/>
        <v>9</v>
      </c>
      <c r="V243" s="326">
        <f t="shared" si="74"/>
        <v>10</v>
      </c>
      <c r="W243" s="326">
        <f t="shared" si="74"/>
        <v>9</v>
      </c>
      <c r="X243" s="326">
        <f t="shared" si="74"/>
        <v>8.32</v>
      </c>
      <c r="Y243" s="326">
        <f t="shared" si="74"/>
        <v>7</v>
      </c>
      <c r="Z243" s="326">
        <f t="shared" si="74"/>
        <v>6</v>
      </c>
      <c r="AA243" s="326">
        <f t="shared" si="74"/>
        <v>6</v>
      </c>
      <c r="AB243" s="326">
        <f t="shared" si="74"/>
        <v>4.9799999999999995</v>
      </c>
      <c r="AC243" s="326">
        <f t="shared" ref="AC243" si="75">AC242*(1-AC238)</f>
        <v>4.9799999999999995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5">
    <tabColor theme="3"/>
  </sheetPr>
  <dimension ref="A1"/>
  <sheetViews>
    <sheetView workbookViewId="0">
      <selection activeCell="U64" sqref="U6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6"/>
  <dimension ref="B1:AE40"/>
  <sheetViews>
    <sheetView zoomScaleNormal="100" workbookViewId="0">
      <selection activeCell="H30" sqref="H30"/>
    </sheetView>
  </sheetViews>
  <sheetFormatPr defaultRowHeight="12.75" x14ac:dyDescent="0.2"/>
  <cols>
    <col min="2" max="2" width="17.42578125" customWidth="1"/>
    <col min="4" max="4" width="20.5703125" customWidth="1"/>
    <col min="5" max="5" width="12" customWidth="1"/>
    <col min="6" max="6" width="11.85546875" customWidth="1"/>
    <col min="7" max="13" width="10.42578125" bestFit="1" customWidth="1"/>
    <col min="14" max="14" width="10.5703125" style="271" bestFit="1" customWidth="1"/>
    <col min="15" max="20" width="10.5703125" bestFit="1" customWidth="1"/>
    <col min="21" max="23" width="11.5703125" bestFit="1" customWidth="1"/>
    <col min="24" max="24" width="10.140625" customWidth="1"/>
    <col min="25" max="30" width="10.28515625" bestFit="1" customWidth="1"/>
    <col min="31" max="31" width="12.28515625" customWidth="1"/>
  </cols>
  <sheetData>
    <row r="1" spans="2:31" ht="14.25" customHeight="1" x14ac:dyDescent="0.2">
      <c r="B1" s="198" t="s">
        <v>60</v>
      </c>
    </row>
    <row r="2" spans="2:31" ht="14.25" customHeight="1" x14ac:dyDescent="0.2">
      <c r="B2" s="198"/>
    </row>
    <row r="3" spans="2:31" x14ac:dyDescent="0.2">
      <c r="B3" s="198"/>
    </row>
    <row r="4" spans="2:31" ht="14.25" x14ac:dyDescent="0.2">
      <c r="B4" s="173" t="s">
        <v>154</v>
      </c>
      <c r="F4">
        <v>2006</v>
      </c>
    </row>
    <row r="5" spans="2:31" x14ac:dyDescent="0.2">
      <c r="D5" s="177"/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</row>
    <row r="6" spans="2:31" x14ac:dyDescent="0.2">
      <c r="B6">
        <v>1</v>
      </c>
      <c r="D6" t="s">
        <v>4</v>
      </c>
      <c r="E6" s="232">
        <f t="shared" ref="E6:E12" si="0">1+INDEX(infl,$B6,E$5)*0.01</f>
        <v>1.1679999999999999</v>
      </c>
      <c r="F6" s="232">
        <f t="shared" ref="F6:X6" si="1">(1+INDEX(infl,$B6,F$5)*0.01)*E6</f>
        <v>1.3700639999999999</v>
      </c>
      <c r="G6" s="232">
        <f t="shared" si="1"/>
        <v>1.6002347519999998</v>
      </c>
      <c r="H6" s="232">
        <f t="shared" si="1"/>
        <v>1.8642734860799999</v>
      </c>
      <c r="I6" s="232">
        <f t="shared" si="1"/>
        <v>2.1625572438527998</v>
      </c>
      <c r="J6" s="232">
        <f t="shared" si="1"/>
        <v>2.5258668608200701</v>
      </c>
      <c r="K6" s="232">
        <f t="shared" si="1"/>
        <v>2.9628418277419422</v>
      </c>
      <c r="L6" s="232">
        <f t="shared" si="1"/>
        <v>3.4902276730800077</v>
      </c>
      <c r="M6" s="232">
        <f t="shared" si="1"/>
        <v>4.1289393372536489</v>
      </c>
      <c r="N6" s="272">
        <f t="shared" si="1"/>
        <v>4.9051799326573349</v>
      </c>
      <c r="O6" s="232">
        <f t="shared" si="1"/>
        <v>5.8518796596602005</v>
      </c>
      <c r="P6" s="232">
        <f t="shared" si="1"/>
        <v>7.0105518322729203</v>
      </c>
      <c r="Q6" s="232">
        <f t="shared" si="1"/>
        <v>8.4336938542243232</v>
      </c>
      <c r="R6" s="232">
        <f t="shared" si="1"/>
        <v>10.187902175902982</v>
      </c>
      <c r="S6" s="232">
        <f t="shared" si="1"/>
        <v>12.357925339370318</v>
      </c>
      <c r="T6" s="232">
        <f t="shared" si="1"/>
        <v>15.051953063353047</v>
      </c>
      <c r="U6" s="232">
        <f t="shared" si="1"/>
        <v>18.408538596480778</v>
      </c>
      <c r="V6" s="232">
        <f t="shared" si="1"/>
        <v>22.605685396478396</v>
      </c>
      <c r="W6" s="232">
        <f t="shared" si="1"/>
        <v>27.872810093857865</v>
      </c>
      <c r="X6" s="232">
        <f t="shared" si="1"/>
        <v>34.506538896196034</v>
      </c>
      <c r="Y6" s="232">
        <f t="shared" ref="Y6:Y12" si="2">(1+INDEX(infl,$B6,Y$5)*0.01)*X6</f>
        <v>42.891627847971677</v>
      </c>
      <c r="Z6" s="232">
        <f t="shared" ref="Z6:Z12" si="3">(1+INDEX(infl,$B6,Z$5)*0.01)*Y6</f>
        <v>53.528751554268652</v>
      </c>
      <c r="AA6" s="232">
        <f t="shared" ref="AA6:AA12" si="4">(1+INDEX(infl,$B6,AA$5)*0.01)*Z6</f>
        <v>67.071525697498629</v>
      </c>
      <c r="AB6" s="232">
        <f t="shared" ref="AB6:AB12" si="5">(1+INDEX(infl,$B6,AB$5)*0.01)*AA6</f>
        <v>84.37597932745328</v>
      </c>
      <c r="AC6" s="232">
        <f t="shared" ref="AC6:AC12" si="6">(1+INDEX(infl,$B6,AC$5)*0.01)*AB6</f>
        <v>106.56686189057348</v>
      </c>
      <c r="AD6" s="232">
        <f t="shared" ref="AD6:AE12" si="7">(1+INDEX(infl,$B6,AD$5)*0.01)*AC6</f>
        <v>135.12678087724717</v>
      </c>
      <c r="AE6" s="232">
        <f t="shared" si="7"/>
        <v>172.01639205673567</v>
      </c>
    </row>
    <row r="7" spans="2:31" x14ac:dyDescent="0.2">
      <c r="B7">
        <v>2</v>
      </c>
      <c r="D7" t="s">
        <v>18</v>
      </c>
      <c r="E7" s="232">
        <f t="shared" si="0"/>
        <v>1.329</v>
      </c>
      <c r="F7" s="232">
        <f t="shared" ref="F7:X7" si="8">(1+INDEX(infl,$B7,F$5)*0.01)*E7</f>
        <v>1.7090939999999999</v>
      </c>
      <c r="G7" s="232">
        <f t="shared" si="8"/>
        <v>2.2713859259999998</v>
      </c>
      <c r="H7" s="232">
        <f t="shared" si="8"/>
        <v>2.0079051585839998</v>
      </c>
      <c r="I7" s="232">
        <f t="shared" si="8"/>
        <v>2.180585002222224</v>
      </c>
      <c r="J7" s="232">
        <f t="shared" si="8"/>
        <v>2.9939432080511135</v>
      </c>
      <c r="K7" s="232">
        <f t="shared" si="8"/>
        <v>4.1256537406944345</v>
      </c>
      <c r="L7" s="232">
        <f t="shared" si="8"/>
        <v>5.7057791233804025</v>
      </c>
      <c r="M7" s="232">
        <f t="shared" si="8"/>
        <v>7.9196214232519981</v>
      </c>
      <c r="N7" s="272">
        <f t="shared" si="8"/>
        <v>11.032032642590034</v>
      </c>
      <c r="O7" s="232">
        <f t="shared" si="8"/>
        <v>15.422781634340867</v>
      </c>
      <c r="P7" s="232">
        <f t="shared" si="8"/>
        <v>21.638162632980237</v>
      </c>
      <c r="Q7" s="232">
        <f t="shared" si="8"/>
        <v>30.466532987236171</v>
      </c>
      <c r="R7" s="232">
        <f t="shared" si="8"/>
        <v>43.049211110964713</v>
      </c>
      <c r="S7" s="232">
        <f t="shared" si="8"/>
        <v>61.04378135534796</v>
      </c>
      <c r="T7" s="232">
        <f t="shared" si="8"/>
        <v>86.865300868660157</v>
      </c>
      <c r="U7" s="232">
        <f t="shared" si="8"/>
        <v>124.0436496404467</v>
      </c>
      <c r="V7" s="232">
        <f t="shared" si="8"/>
        <v>177.75454993476012</v>
      </c>
      <c r="W7" s="232">
        <f t="shared" si="8"/>
        <v>255.61104280618505</v>
      </c>
      <c r="X7" s="232">
        <f t="shared" si="8"/>
        <v>368.84673476932505</v>
      </c>
      <c r="Y7" s="232">
        <f t="shared" si="2"/>
        <v>534.09007194598269</v>
      </c>
      <c r="Z7" s="232">
        <f t="shared" si="3"/>
        <v>776.03287453751273</v>
      </c>
      <c r="AA7" s="232">
        <f t="shared" si="4"/>
        <v>1131.4559310756936</v>
      </c>
      <c r="AB7" s="232">
        <f t="shared" si="5"/>
        <v>1655.3200271637397</v>
      </c>
      <c r="AC7" s="232">
        <f t="shared" si="6"/>
        <v>2430.0097998763699</v>
      </c>
      <c r="AD7" s="232">
        <f t="shared" si="7"/>
        <v>3579.4044352178926</v>
      </c>
      <c r="AE7" s="232">
        <f t="shared" si="7"/>
        <v>5290.359755252045</v>
      </c>
    </row>
    <row r="8" spans="2:31" x14ac:dyDescent="0.2">
      <c r="B8">
        <v>3</v>
      </c>
      <c r="D8" t="s">
        <v>19</v>
      </c>
      <c r="E8" s="232">
        <f t="shared" si="0"/>
        <v>1.109</v>
      </c>
      <c r="F8" s="232">
        <f t="shared" ref="F8:X8" si="9">(1+INDEX(infl,$B8,F$5)*0.01)*E8</f>
        <v>1.524875</v>
      </c>
      <c r="G8" s="232">
        <f t="shared" si="9"/>
        <v>1.691086375</v>
      </c>
      <c r="H8" s="232">
        <f t="shared" si="9"/>
        <v>1.9836443178750001</v>
      </c>
      <c r="I8" s="232">
        <f t="shared" si="9"/>
        <v>2.9834010540840001</v>
      </c>
      <c r="J8" s="232">
        <f t="shared" si="9"/>
        <v>3.2369901436811399</v>
      </c>
      <c r="K8" s="232">
        <f t="shared" si="9"/>
        <v>3.5283192566124426</v>
      </c>
      <c r="L8" s="232">
        <f t="shared" si="9"/>
        <v>3.8635095859906246</v>
      </c>
      <c r="M8" s="232">
        <f t="shared" si="9"/>
        <v>4.2498605445896871</v>
      </c>
      <c r="N8" s="272">
        <f t="shared" si="9"/>
        <v>4.6960959017716037</v>
      </c>
      <c r="O8" s="232">
        <f t="shared" si="9"/>
        <v>5.2126664509664806</v>
      </c>
      <c r="P8" s="232">
        <f t="shared" si="9"/>
        <v>5.8121230928276262</v>
      </c>
      <c r="Q8" s="232">
        <f t="shared" si="9"/>
        <v>6.5095778639669417</v>
      </c>
      <c r="R8" s="232">
        <f t="shared" si="9"/>
        <v>7.3232750969628091</v>
      </c>
      <c r="S8" s="232">
        <f t="shared" si="9"/>
        <v>8.2753008595679738</v>
      </c>
      <c r="T8" s="232">
        <f t="shared" si="9"/>
        <v>9.3924664756096501</v>
      </c>
      <c r="U8" s="232">
        <f t="shared" si="9"/>
        <v>10.707411782195003</v>
      </c>
      <c r="V8" s="232">
        <f t="shared" si="9"/>
        <v>12.259986490613278</v>
      </c>
      <c r="W8" s="232">
        <f t="shared" si="9"/>
        <v>14.098984464205268</v>
      </c>
      <c r="X8" s="232">
        <f t="shared" si="9"/>
        <v>16.284327056157085</v>
      </c>
      <c r="Y8" s="232">
        <f t="shared" si="2"/>
        <v>18.889819385142218</v>
      </c>
      <c r="Z8" s="232">
        <f t="shared" si="3"/>
        <v>22.006639583690685</v>
      </c>
      <c r="AA8" s="232">
        <f t="shared" si="4"/>
        <v>25.747768312918101</v>
      </c>
      <c r="AB8" s="232">
        <f t="shared" si="5"/>
        <v>30.253627767678768</v>
      </c>
      <c r="AC8" s="232">
        <f t="shared" si="6"/>
        <v>35.699280765860948</v>
      </c>
      <c r="AD8" s="232">
        <f t="shared" si="7"/>
        <v>42.303647707545224</v>
      </c>
      <c r="AE8" s="232">
        <f t="shared" si="7"/>
        <v>50.341340771978814</v>
      </c>
    </row>
    <row r="9" spans="2:31" x14ac:dyDescent="0.2">
      <c r="B9">
        <v>4</v>
      </c>
      <c r="D9" t="s">
        <v>20</v>
      </c>
      <c r="E9" s="232">
        <f t="shared" si="0"/>
        <v>1.032</v>
      </c>
      <c r="F9" s="232">
        <f t="shared" ref="F9:X9" si="10">(1+INDEX(infl,$B9,F$5)*0.01)*E9</f>
        <v>1.2064080000000001</v>
      </c>
      <c r="G9" s="232">
        <f t="shared" si="10"/>
        <v>1.2450130560000001</v>
      </c>
      <c r="H9" s="232">
        <f t="shared" si="10"/>
        <v>1.476585484416</v>
      </c>
      <c r="I9" s="232">
        <f t="shared" si="10"/>
        <v>1.743847457095296</v>
      </c>
      <c r="J9" s="232">
        <f t="shared" si="10"/>
        <v>1.9949614909170188</v>
      </c>
      <c r="K9" s="232">
        <f t="shared" si="10"/>
        <v>2.2922107530636548</v>
      </c>
      <c r="L9" s="232">
        <f t="shared" si="10"/>
        <v>2.6452112090354576</v>
      </c>
      <c r="M9" s="232">
        <f t="shared" si="10"/>
        <v>3.0657997912720956</v>
      </c>
      <c r="N9" s="272">
        <f t="shared" si="10"/>
        <v>3.568590957040719</v>
      </c>
      <c r="O9" s="232">
        <f t="shared" si="10"/>
        <v>4.1716828287806011</v>
      </c>
      <c r="P9" s="232">
        <f t="shared" si="10"/>
        <v>4.8975556409884256</v>
      </c>
      <c r="Q9" s="232">
        <f t="shared" si="10"/>
        <v>5.7742181007253537</v>
      </c>
      <c r="R9" s="232">
        <f t="shared" si="10"/>
        <v>6.8366742312588187</v>
      </c>
      <c r="S9" s="232">
        <f t="shared" si="10"/>
        <v>8.1288056609667354</v>
      </c>
      <c r="T9" s="232">
        <f t="shared" si="10"/>
        <v>9.7057939591942812</v>
      </c>
      <c r="U9" s="232">
        <f t="shared" si="10"/>
        <v>11.637246957073943</v>
      </c>
      <c r="V9" s="232">
        <f t="shared" si="10"/>
        <v>14.011245336317026</v>
      </c>
      <c r="W9" s="232">
        <f t="shared" si="10"/>
        <v>16.939595611607285</v>
      </c>
      <c r="X9" s="232">
        <f t="shared" si="10"/>
        <v>20.564669072491242</v>
      </c>
      <c r="Y9" s="232">
        <f t="shared" si="2"/>
        <v>25.068331599366825</v>
      </c>
      <c r="Z9" s="232">
        <f t="shared" si="3"/>
        <v>30.683637877624992</v>
      </c>
      <c r="AA9" s="232">
        <f t="shared" si="4"/>
        <v>37.71019095160112</v>
      </c>
      <c r="AB9" s="232">
        <f t="shared" si="5"/>
        <v>46.534375634275783</v>
      </c>
      <c r="AC9" s="232">
        <f t="shared" si="6"/>
        <v>57.656091410867688</v>
      </c>
      <c r="AD9" s="232">
        <f t="shared" si="7"/>
        <v>71.72417771511941</v>
      </c>
      <c r="AE9" s="232">
        <f t="shared" si="7"/>
        <v>89.583497966184154</v>
      </c>
    </row>
    <row r="10" spans="2:31" x14ac:dyDescent="0.2">
      <c r="B10">
        <v>5</v>
      </c>
      <c r="D10" t="s">
        <v>21</v>
      </c>
      <c r="E10" s="232">
        <f t="shared" si="0"/>
        <v>1.032</v>
      </c>
      <c r="F10" s="232">
        <f t="shared" ref="F10:X10" si="11">(1+INDEX(infl,$B10,F$5)*0.01)*E10</f>
        <v>1.2064080000000001</v>
      </c>
      <c r="G10" s="232">
        <f t="shared" si="11"/>
        <v>1.2450130560000001</v>
      </c>
      <c r="H10" s="232">
        <f t="shared" si="11"/>
        <v>1.476585484416</v>
      </c>
      <c r="I10" s="232">
        <f t="shared" si="11"/>
        <v>1.743847457095296</v>
      </c>
      <c r="J10" s="232">
        <f t="shared" si="11"/>
        <v>1.9949614909170188</v>
      </c>
      <c r="K10" s="232">
        <f t="shared" si="11"/>
        <v>2.2922107530636548</v>
      </c>
      <c r="L10" s="232">
        <f t="shared" si="11"/>
        <v>2.6452112090354576</v>
      </c>
      <c r="M10" s="232">
        <f t="shared" si="11"/>
        <v>3.0657997912720956</v>
      </c>
      <c r="N10" s="272">
        <f t="shared" si="11"/>
        <v>3.568590957040719</v>
      </c>
      <c r="O10" s="232">
        <f t="shared" si="11"/>
        <v>4.1716828287806011</v>
      </c>
      <c r="P10" s="232">
        <f t="shared" si="11"/>
        <v>4.8975556409884256</v>
      </c>
      <c r="Q10" s="232">
        <f t="shared" si="11"/>
        <v>5.7742181007253537</v>
      </c>
      <c r="R10" s="232">
        <f t="shared" si="11"/>
        <v>6.8366742312588187</v>
      </c>
      <c r="S10" s="232">
        <f t="shared" si="11"/>
        <v>8.1288056609667354</v>
      </c>
      <c r="T10" s="232">
        <f t="shared" si="11"/>
        <v>9.7057939591942812</v>
      </c>
      <c r="U10" s="232">
        <f t="shared" si="11"/>
        <v>11.637246957073943</v>
      </c>
      <c r="V10" s="232">
        <f t="shared" si="11"/>
        <v>14.011245336317026</v>
      </c>
      <c r="W10" s="232">
        <f t="shared" si="11"/>
        <v>16.939595611607285</v>
      </c>
      <c r="X10" s="232">
        <f t="shared" si="11"/>
        <v>20.564669072491242</v>
      </c>
      <c r="Y10" s="232">
        <f t="shared" si="2"/>
        <v>25.068331599366825</v>
      </c>
      <c r="Z10" s="232">
        <f t="shared" si="3"/>
        <v>30.683637877624992</v>
      </c>
      <c r="AA10" s="232">
        <f t="shared" si="4"/>
        <v>37.71019095160112</v>
      </c>
      <c r="AB10" s="232">
        <f t="shared" si="5"/>
        <v>46.534375634275783</v>
      </c>
      <c r="AC10" s="232">
        <f t="shared" si="6"/>
        <v>57.656091410867688</v>
      </c>
      <c r="AD10" s="232">
        <f t="shared" si="7"/>
        <v>71.72417771511941</v>
      </c>
      <c r="AE10" s="232">
        <f t="shared" si="7"/>
        <v>89.583497966184154</v>
      </c>
    </row>
    <row r="11" spans="2:31" x14ac:dyDescent="0.2">
      <c r="B11">
        <v>6</v>
      </c>
      <c r="D11" t="s">
        <v>6</v>
      </c>
      <c r="E11" s="232">
        <f t="shared" si="0"/>
        <v>1.282</v>
      </c>
      <c r="F11" s="232">
        <f t="shared" ref="F11:X11" si="12">(1+INDEX(infl,$B11,F$5)*0.01)*E11</f>
        <v>1.33328</v>
      </c>
      <c r="G11" s="232">
        <f t="shared" si="12"/>
        <v>1.7092649600000001</v>
      </c>
      <c r="H11" s="232">
        <f t="shared" si="12"/>
        <v>1.81011159264</v>
      </c>
      <c r="I11" s="232">
        <f t="shared" si="12"/>
        <v>2.2916012762822402</v>
      </c>
      <c r="J11" s="232">
        <f t="shared" si="12"/>
        <v>2.3305584979790379</v>
      </c>
      <c r="K11" s="232">
        <f t="shared" si="12"/>
        <v>2.3818307849345768</v>
      </c>
      <c r="L11" s="232">
        <f t="shared" si="12"/>
        <v>2.4461402161278101</v>
      </c>
      <c r="M11" s="232">
        <f t="shared" si="12"/>
        <v>2.5244167030439</v>
      </c>
      <c r="N11" s="272">
        <f t="shared" si="12"/>
        <v>2.617820121056524</v>
      </c>
      <c r="O11" s="232">
        <f t="shared" si="12"/>
        <v>2.7277685661408979</v>
      </c>
      <c r="P11" s="232">
        <f t="shared" si="12"/>
        <v>2.8559736887495197</v>
      </c>
      <c r="Q11" s="232">
        <f t="shared" si="12"/>
        <v>3.0044843205644951</v>
      </c>
      <c r="R11" s="232">
        <f t="shared" si="12"/>
        <v>3.1757399268366711</v>
      </c>
      <c r="S11" s="232">
        <f t="shared" si="12"/>
        <v>3.3726358023005449</v>
      </c>
      <c r="T11" s="232">
        <f t="shared" si="12"/>
        <v>3.5986024010546811</v>
      </c>
      <c r="U11" s="232">
        <f t="shared" si="12"/>
        <v>3.8577017739306183</v>
      </c>
      <c r="V11" s="232">
        <f t="shared" si="12"/>
        <v>4.154744810523276</v>
      </c>
      <c r="W11" s="232">
        <f t="shared" si="12"/>
        <v>4.495433884986185</v>
      </c>
      <c r="X11" s="232">
        <f t="shared" si="12"/>
        <v>4.8865366329799826</v>
      </c>
      <c r="Y11" s="232">
        <f t="shared" si="2"/>
        <v>5.3360980032141416</v>
      </c>
      <c r="Z11" s="232">
        <f t="shared" si="3"/>
        <v>5.8536995095259137</v>
      </c>
      <c r="AA11" s="232">
        <f t="shared" si="4"/>
        <v>6.450776859497557</v>
      </c>
      <c r="AB11" s="232">
        <f t="shared" si="5"/>
        <v>7.1410099834637952</v>
      </c>
      <c r="AC11" s="232">
        <f t="shared" si="6"/>
        <v>7.9408031016117411</v>
      </c>
      <c r="AD11" s="232">
        <f t="shared" si="7"/>
        <v>8.8698770645003151</v>
      </c>
      <c r="AE11" s="232">
        <f t="shared" si="7"/>
        <v>9.9520020663693529</v>
      </c>
    </row>
    <row r="12" spans="2:31" x14ac:dyDescent="0.2">
      <c r="B12">
        <v>7</v>
      </c>
      <c r="D12" t="s">
        <v>7</v>
      </c>
      <c r="E12" s="232">
        <f t="shared" si="0"/>
        <v>1.077</v>
      </c>
      <c r="F12" s="232">
        <f t="shared" ref="F12:X12" si="13">(1+INDEX(infl,$B12,F$5)*0.01)*E12</f>
        <v>1.5734969999999999</v>
      </c>
      <c r="G12" s="232">
        <f t="shared" si="13"/>
        <v>1.6946562689999998</v>
      </c>
      <c r="H12" s="232">
        <f t="shared" si="13"/>
        <v>2.0522287417589999</v>
      </c>
      <c r="I12" s="232">
        <f t="shared" si="13"/>
        <v>2.5406591822976421</v>
      </c>
      <c r="J12" s="232">
        <f t="shared" si="13"/>
        <v>2.6880174148709055</v>
      </c>
      <c r="K12" s="232">
        <f t="shared" si="13"/>
        <v>2.8573625120077724</v>
      </c>
      <c r="L12" s="232">
        <f t="shared" si="13"/>
        <v>3.0516631628243012</v>
      </c>
      <c r="M12" s="232">
        <f t="shared" si="13"/>
        <v>3.274434573710475</v>
      </c>
      <c r="N12" s="272">
        <f t="shared" si="13"/>
        <v>3.5298404704598925</v>
      </c>
      <c r="O12" s="232">
        <f t="shared" si="13"/>
        <v>3.8228172295080634</v>
      </c>
      <c r="P12" s="232">
        <f t="shared" si="13"/>
        <v>4.1592251457047729</v>
      </c>
      <c r="Q12" s="232">
        <f t="shared" si="13"/>
        <v>4.5460330842553169</v>
      </c>
      <c r="R12" s="232">
        <f t="shared" si="13"/>
        <v>4.9915443265123383</v>
      </c>
      <c r="S12" s="232">
        <f t="shared" si="13"/>
        <v>5.5056733921431089</v>
      </c>
      <c r="T12" s="232">
        <f t="shared" si="13"/>
        <v>6.1002861184945649</v>
      </c>
      <c r="U12" s="232">
        <f t="shared" si="13"/>
        <v>6.7896184498844505</v>
      </c>
      <c r="V12" s="232">
        <f t="shared" si="13"/>
        <v>7.5907934269708166</v>
      </c>
      <c r="W12" s="232">
        <f t="shared" si="13"/>
        <v>8.5244610184882266</v>
      </c>
      <c r="X12" s="232">
        <f t="shared" si="13"/>
        <v>9.6155920288547208</v>
      </c>
      <c r="Y12" s="232">
        <f t="shared" si="2"/>
        <v>10.894465768692399</v>
      </c>
      <c r="Z12" s="232">
        <f t="shared" si="3"/>
        <v>12.397902044771948</v>
      </c>
      <c r="AA12" s="232">
        <f t="shared" si="4"/>
        <v>14.170802037174337</v>
      </c>
      <c r="AB12" s="232">
        <f t="shared" si="5"/>
        <v>16.26808073867614</v>
      </c>
      <c r="AC12" s="232">
        <f t="shared" si="6"/>
        <v>18.757097091693591</v>
      </c>
      <c r="AD12" s="232">
        <f t="shared" si="7"/>
        <v>21.720718432181176</v>
      </c>
      <c r="AE12" s="232">
        <f t="shared" si="7"/>
        <v>25.261195536626708</v>
      </c>
    </row>
    <row r="15" spans="2:31" x14ac:dyDescent="0.2">
      <c r="E15" s="178"/>
      <c r="F15" s="178"/>
      <c r="G15" s="178"/>
      <c r="H15" s="178"/>
      <c r="I15" s="178"/>
      <c r="J15" s="178"/>
      <c r="K15" s="178"/>
      <c r="L15" s="178"/>
      <c r="M15" s="178"/>
      <c r="N15" s="273"/>
      <c r="O15" s="178"/>
      <c r="P15" s="178"/>
      <c r="Q15" s="178"/>
      <c r="R15" s="178"/>
      <c r="S15" s="178"/>
      <c r="T15" s="178"/>
      <c r="U15" s="178"/>
      <c r="V15" s="178"/>
      <c r="W15" s="178"/>
      <c r="X15" s="178"/>
    </row>
    <row r="18" spans="2:31" x14ac:dyDescent="0.2">
      <c r="B18" s="44" t="s">
        <v>30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273"/>
      <c r="O18" s="178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2:31" ht="14.25" x14ac:dyDescent="0.2">
      <c r="B19" s="173" t="s">
        <v>145</v>
      </c>
      <c r="C19" s="178"/>
      <c r="D19" s="178"/>
      <c r="E19" s="178"/>
      <c r="F19" s="178"/>
      <c r="G19" s="178"/>
      <c r="H19" s="178"/>
      <c r="I19" s="178"/>
      <c r="J19" s="178"/>
      <c r="K19" s="178"/>
      <c r="L19" s="204"/>
      <c r="M19" s="178"/>
      <c r="N19" s="273"/>
      <c r="O19" s="178"/>
      <c r="P19" s="178"/>
      <c r="Q19" s="178"/>
      <c r="R19" s="178"/>
      <c r="S19" s="178"/>
      <c r="T19" s="178"/>
      <c r="U19" s="178"/>
      <c r="V19" s="178"/>
    </row>
    <row r="20" spans="2:31" x14ac:dyDescent="0.2">
      <c r="B20" s="177"/>
      <c r="L20" s="112"/>
    </row>
    <row r="21" spans="2:31" x14ac:dyDescent="0.2">
      <c r="B21" s="177"/>
      <c r="C21" s="177"/>
      <c r="D21" s="177"/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 s="112">
        <v>8</v>
      </c>
      <c r="M21">
        <v>9</v>
      </c>
      <c r="N21" s="27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2:31" x14ac:dyDescent="0.2">
      <c r="B22" t="s">
        <v>31</v>
      </c>
      <c r="E22" s="189">
        <f t="shared" ref="E22:AD22" si="14">E6</f>
        <v>1.1679999999999999</v>
      </c>
      <c r="F22" s="189">
        <f t="shared" si="14"/>
        <v>1.3700639999999999</v>
      </c>
      <c r="G22" s="189">
        <f t="shared" si="14"/>
        <v>1.6002347519999998</v>
      </c>
      <c r="H22" s="189">
        <f t="shared" si="14"/>
        <v>1.8642734860799999</v>
      </c>
      <c r="I22" s="189">
        <f t="shared" si="14"/>
        <v>2.1625572438527998</v>
      </c>
      <c r="J22" s="189">
        <f t="shared" si="14"/>
        <v>2.5258668608200701</v>
      </c>
      <c r="K22" s="189">
        <f t="shared" si="14"/>
        <v>2.9628418277419422</v>
      </c>
      <c r="L22" s="314">
        <f t="shared" si="14"/>
        <v>3.4902276730800077</v>
      </c>
      <c r="M22" s="189">
        <f t="shared" si="14"/>
        <v>4.1289393372536489</v>
      </c>
      <c r="N22" s="274">
        <f t="shared" si="14"/>
        <v>4.9051799326573349</v>
      </c>
      <c r="O22" s="189">
        <f t="shared" si="14"/>
        <v>5.8518796596602005</v>
      </c>
      <c r="P22" s="189">
        <f t="shared" si="14"/>
        <v>7.0105518322729203</v>
      </c>
      <c r="Q22" s="189">
        <f t="shared" si="14"/>
        <v>8.4336938542243232</v>
      </c>
      <c r="R22" s="189">
        <f t="shared" si="14"/>
        <v>10.187902175902982</v>
      </c>
      <c r="S22" s="189">
        <f t="shared" si="14"/>
        <v>12.357925339370318</v>
      </c>
      <c r="T22" s="189">
        <f t="shared" si="14"/>
        <v>15.051953063353047</v>
      </c>
      <c r="U22" s="189">
        <f t="shared" si="14"/>
        <v>18.408538596480778</v>
      </c>
      <c r="V22" s="189">
        <f t="shared" si="14"/>
        <v>22.605685396478396</v>
      </c>
      <c r="W22" s="189">
        <f t="shared" si="14"/>
        <v>27.872810093857865</v>
      </c>
      <c r="X22" s="189">
        <f t="shared" si="14"/>
        <v>34.506538896196034</v>
      </c>
      <c r="Y22" s="189">
        <f t="shared" si="14"/>
        <v>42.891627847971677</v>
      </c>
      <c r="Z22" s="189">
        <f t="shared" si="14"/>
        <v>53.528751554268652</v>
      </c>
      <c r="AA22" s="189">
        <f t="shared" si="14"/>
        <v>67.071525697498629</v>
      </c>
      <c r="AB22" s="189">
        <f t="shared" si="14"/>
        <v>84.37597932745328</v>
      </c>
      <c r="AC22" s="189">
        <f t="shared" si="14"/>
        <v>106.56686189057348</v>
      </c>
      <c r="AD22" s="189">
        <f t="shared" si="14"/>
        <v>135.12678087724717</v>
      </c>
      <c r="AE22" s="189">
        <f t="shared" ref="AE22" si="15">AE6</f>
        <v>172.01639205673567</v>
      </c>
    </row>
    <row r="23" spans="2:31" x14ac:dyDescent="0.2">
      <c r="L23" s="112"/>
    </row>
    <row r="24" spans="2:31" x14ac:dyDescent="0.2">
      <c r="B24" s="198" t="s">
        <v>116</v>
      </c>
      <c r="L24" s="112"/>
      <c r="O24" s="112"/>
    </row>
    <row r="25" spans="2:31" x14ac:dyDescent="0.2">
      <c r="E25" s="347">
        <v>2005</v>
      </c>
      <c r="F25">
        <v>2006</v>
      </c>
      <c r="G25">
        <v>2007</v>
      </c>
      <c r="H25">
        <v>2008</v>
      </c>
      <c r="I25">
        <v>2009</v>
      </c>
      <c r="J25">
        <v>2010</v>
      </c>
      <c r="K25">
        <v>2011</v>
      </c>
      <c r="L25" s="112">
        <v>2012</v>
      </c>
      <c r="M25" s="112">
        <v>2013</v>
      </c>
    </row>
    <row r="26" spans="2:31" x14ac:dyDescent="0.2">
      <c r="E26" s="347"/>
      <c r="L26" s="112"/>
      <c r="M26" s="112"/>
    </row>
    <row r="27" spans="2:31" x14ac:dyDescent="0.2">
      <c r="B27" t="s">
        <v>80</v>
      </c>
      <c r="E27" s="347">
        <v>10.9</v>
      </c>
      <c r="F27">
        <v>9</v>
      </c>
      <c r="G27">
        <v>10.9</v>
      </c>
      <c r="H27">
        <v>12.6</v>
      </c>
      <c r="I27">
        <v>11.4</v>
      </c>
      <c r="J27">
        <v>9</v>
      </c>
      <c r="K27">
        <v>7.2</v>
      </c>
      <c r="L27" s="112">
        <v>8.92</v>
      </c>
      <c r="M27" s="112">
        <v>8.32</v>
      </c>
    </row>
    <row r="28" spans="2:31" ht="20.25" x14ac:dyDescent="0.3">
      <c r="B28" t="s">
        <v>81</v>
      </c>
      <c r="E28" s="348">
        <v>10</v>
      </c>
      <c r="F28">
        <v>7.3</v>
      </c>
      <c r="G28">
        <v>12.9</v>
      </c>
      <c r="H28">
        <v>19.2</v>
      </c>
      <c r="I28">
        <v>7.6</v>
      </c>
      <c r="J28">
        <v>15.2</v>
      </c>
      <c r="K28">
        <v>17.8</v>
      </c>
      <c r="L28" s="112">
        <v>12.37</v>
      </c>
      <c r="M28" s="112">
        <v>10.72</v>
      </c>
    </row>
    <row r="29" spans="2:31" x14ac:dyDescent="0.2">
      <c r="E29" s="347"/>
      <c r="L29" s="112"/>
    </row>
    <row r="30" spans="2:31" x14ac:dyDescent="0.2">
      <c r="E30" s="347"/>
      <c r="L30" s="112"/>
    </row>
    <row r="31" spans="2:31" x14ac:dyDescent="0.2">
      <c r="B31" t="s">
        <v>82</v>
      </c>
      <c r="E31" s="347"/>
      <c r="M31" s="112"/>
      <c r="N31"/>
      <c r="O31" s="271"/>
    </row>
    <row r="32" spans="2:31" x14ac:dyDescent="0.2">
      <c r="E32" s="347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 s="112">
        <v>2013</v>
      </c>
      <c r="N32">
        <v>2014</v>
      </c>
      <c r="O32" s="271">
        <v>2015</v>
      </c>
      <c r="P32">
        <v>2016</v>
      </c>
      <c r="Q32">
        <v>2017</v>
      </c>
      <c r="R32">
        <v>2018</v>
      </c>
      <c r="S32">
        <v>2019</v>
      </c>
      <c r="T32">
        <v>2020</v>
      </c>
      <c r="U32">
        <v>2021</v>
      </c>
      <c r="V32">
        <v>2022</v>
      </c>
      <c r="W32">
        <v>2023</v>
      </c>
      <c r="X32">
        <v>2024</v>
      </c>
      <c r="Y32">
        <v>2025</v>
      </c>
      <c r="Z32">
        <v>2026</v>
      </c>
      <c r="AA32">
        <v>2027</v>
      </c>
      <c r="AB32">
        <v>2028</v>
      </c>
      <c r="AC32">
        <v>2029</v>
      </c>
      <c r="AD32">
        <v>2030</v>
      </c>
      <c r="AE32">
        <v>2031</v>
      </c>
    </row>
    <row r="33" spans="4:30" x14ac:dyDescent="0.2">
      <c r="D33">
        <v>1</v>
      </c>
      <c r="E33" s="349">
        <v>1</v>
      </c>
      <c r="F33" s="241">
        <f>E33*((гипотезы!$E15*F27+(1-гипотезы!$E15)*F28)*0.01+1)</f>
        <v>1.08405</v>
      </c>
      <c r="G33" s="241">
        <f>F33*((гипотезы!$E15*G27+(1-гипотезы!$E15)*G28)*0.01+1)</f>
        <v>1.2097998000000001</v>
      </c>
      <c r="H33" s="241">
        <f>G33*((гипотезы!$E15*H27+(1-гипотезы!$E15)*H28)*0.01+1)</f>
        <v>1.3901809501800002</v>
      </c>
      <c r="I33" s="241">
        <f>H33*((гипотезы!$E15*I27+(1-гипотезы!$E15)*I28)*0.01+1)</f>
        <v>1.5301721718631263</v>
      </c>
      <c r="J33" s="241">
        <f>I33*((гипотезы!$E15*J27+(1-гипотезы!$E15)*J28)*0.01+1)</f>
        <v>1.7010924034602373</v>
      </c>
      <c r="K33" s="241">
        <f>J33*((гипотезы!$E15*K27+(1-гипотезы!$E15)*K28)*0.01+1)</f>
        <v>1.8866815846777492</v>
      </c>
      <c r="L33" s="241">
        <f>K33*((гипотезы!$E15*L27+(1-гипотезы!$E15)*L28)*0.01+1)</f>
        <v>2.0777552621659883</v>
      </c>
      <c r="M33" s="241">
        <f>L33*((гипотезы!$E15*M27+(1-гипотезы!$E15)*M28)*0.01+1)</f>
        <v>2.2680776441803925</v>
      </c>
      <c r="N33" s="241"/>
      <c r="O33" s="315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</row>
    <row r="35" spans="4:30" x14ac:dyDescent="0.2">
      <c r="F35" s="299">
        <f>Сценарии!G31</f>
        <v>1.08405</v>
      </c>
      <c r="G35" s="299">
        <f>Сценарии!H31</f>
        <v>1.2097998000000001</v>
      </c>
      <c r="H35" s="299">
        <f>Сценарии!I31</f>
        <v>1.3901809501800002</v>
      </c>
      <c r="I35" s="299">
        <f>Сценарии!J31</f>
        <v>1.5301721718631263</v>
      </c>
      <c r="J35" s="299">
        <f>Сценарии!K31</f>
        <v>1.7010924034602373</v>
      </c>
      <c r="K35" s="299">
        <f>Сценарии!L31</f>
        <v>1.8866815846777492</v>
      </c>
      <c r="L35" s="299">
        <f>Сценарии!M31</f>
        <v>2.0777552621659883</v>
      </c>
      <c r="M35" s="299">
        <f>Сценарии!N31</f>
        <v>2.2680776441803925</v>
      </c>
    </row>
    <row r="40" spans="4:30" x14ac:dyDescent="0.2">
      <c r="G40" s="299"/>
      <c r="H40" s="299"/>
      <c r="I40" s="299"/>
      <c r="J40" s="299"/>
      <c r="K40" s="299"/>
      <c r="L40" s="299"/>
      <c r="M40" s="299"/>
      <c r="N40" s="300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7"/>
  <dimension ref="A3:AB53"/>
  <sheetViews>
    <sheetView topLeftCell="A31" workbookViewId="0">
      <pane xSplit="2" topLeftCell="C1" activePane="topRight" state="frozen"/>
      <selection activeCell="A7" sqref="A7"/>
      <selection pane="topRight" activeCell="C17" sqref="C17"/>
    </sheetView>
  </sheetViews>
  <sheetFormatPr defaultRowHeight="12.75" x14ac:dyDescent="0.2"/>
  <cols>
    <col min="1" max="1" width="12.7109375" customWidth="1"/>
    <col min="2" max="2" width="43" customWidth="1"/>
    <col min="3" max="3" width="24.7109375" customWidth="1"/>
    <col min="4" max="10" width="20.7109375" bestFit="1" customWidth="1"/>
    <col min="11" max="11" width="20.7109375" style="244" bestFit="1" customWidth="1"/>
    <col min="12" max="12" width="21" customWidth="1"/>
    <col min="13" max="15" width="19.28515625" bestFit="1" customWidth="1"/>
    <col min="16" max="16" width="20.28515625" bestFit="1" customWidth="1"/>
    <col min="17" max="28" width="19.28515625" bestFit="1" customWidth="1"/>
  </cols>
  <sheetData>
    <row r="3" spans="1:28" ht="18" x14ac:dyDescent="0.25">
      <c r="A3" s="175" t="s">
        <v>118</v>
      </c>
    </row>
    <row r="4" spans="1:28" x14ac:dyDescent="0.2">
      <c r="B4" s="177"/>
    </row>
    <row r="5" spans="1:28" x14ac:dyDescent="0.2">
      <c r="B5" s="295" t="s">
        <v>117</v>
      </c>
      <c r="C5" s="384">
        <v>2005</v>
      </c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 s="244">
        <v>2013</v>
      </c>
      <c r="L5">
        <v>2014</v>
      </c>
      <c r="M5">
        <v>2015</v>
      </c>
      <c r="N5">
        <v>2016</v>
      </c>
      <c r="O5">
        <v>2017</v>
      </c>
      <c r="P5">
        <v>2018</v>
      </c>
      <c r="Q5">
        <v>2019</v>
      </c>
      <c r="R5">
        <v>2020</v>
      </c>
      <c r="S5">
        <v>2021</v>
      </c>
      <c r="T5">
        <v>2022</v>
      </c>
      <c r="U5">
        <v>2023</v>
      </c>
      <c r="V5">
        <v>2024</v>
      </c>
      <c r="W5">
        <v>2025</v>
      </c>
      <c r="X5">
        <v>2026</v>
      </c>
      <c r="Y5">
        <v>2027</v>
      </c>
      <c r="Z5">
        <v>2028</v>
      </c>
      <c r="AA5">
        <v>2029</v>
      </c>
      <c r="AB5">
        <v>2030</v>
      </c>
    </row>
    <row r="6" spans="1:28" x14ac:dyDescent="0.2">
      <c r="C6" s="384"/>
    </row>
    <row r="7" spans="1:28" x14ac:dyDescent="0.2">
      <c r="B7" t="s">
        <v>102</v>
      </c>
      <c r="C7" s="385">
        <v>33585776.235210001</v>
      </c>
      <c r="D7" s="206">
        <v>42459297.298890002</v>
      </c>
      <c r="E7" s="206">
        <v>33123724.957800001</v>
      </c>
      <c r="F7" s="206">
        <v>44036354.095799997</v>
      </c>
      <c r="G7" s="206">
        <v>47257870.135480002</v>
      </c>
      <c r="H7" s="206">
        <v>50506086.618670002</v>
      </c>
      <c r="I7" s="206">
        <v>56402159.260959998</v>
      </c>
      <c r="J7" s="206">
        <v>61824877.457449995</v>
      </c>
      <c r="K7" s="206">
        <v>71205722.240079999</v>
      </c>
      <c r="L7" s="495">
        <f>73815251422.77*0.001</f>
        <v>73815251.422770008</v>
      </c>
      <c r="M7" s="188">
        <f>75996864537.45*0.001</f>
        <v>75996864.537450001</v>
      </c>
    </row>
    <row r="8" spans="1:28" x14ac:dyDescent="0.2">
      <c r="B8" t="s">
        <v>103</v>
      </c>
      <c r="C8" s="385">
        <f>C7/индексы_цен!E33</f>
        <v>33585776.235210001</v>
      </c>
      <c r="D8" s="206">
        <f>D7/индексы_цен!F33</f>
        <v>39167286.839988932</v>
      </c>
      <c r="E8" s="206">
        <f>E7/индексы_цен!G33</f>
        <v>27379509.368244231</v>
      </c>
      <c r="F8" s="206">
        <f>F7/индексы_цен!H33</f>
        <v>31676706.611537285</v>
      </c>
      <c r="G8" s="206">
        <f>G7/индексы_цен!I33</f>
        <v>30884021.422203209</v>
      </c>
      <c r="H8" s="206">
        <f>H7/индексы_цен!J33</f>
        <v>29690383.964994628</v>
      </c>
      <c r="I8" s="206">
        <f>I7/индексы_цен!K33</f>
        <v>29894901.036304787</v>
      </c>
      <c r="J8" s="206">
        <f>J7/индексы_цен!L33</f>
        <v>29755611.059312005</v>
      </c>
      <c r="K8" s="245">
        <f>K7/индексы_цен!M33</f>
        <v>31394746.305438485</v>
      </c>
      <c r="L8" s="245" t="s">
        <v>227</v>
      </c>
    </row>
    <row r="9" spans="1:28" s="316" customFormat="1" x14ac:dyDescent="0.2">
      <c r="B9" s="316" t="s">
        <v>84</v>
      </c>
      <c r="C9" s="392">
        <v>13314182.053560002</v>
      </c>
      <c r="D9" s="392">
        <v>16709238.932039998</v>
      </c>
      <c r="E9" s="392">
        <v>19374981.762139998</v>
      </c>
      <c r="F9" s="392">
        <v>23529017.37799</v>
      </c>
      <c r="G9" s="392">
        <v>24880386.637880005</v>
      </c>
      <c r="H9" s="392">
        <v>27975769.610169999</v>
      </c>
      <c r="I9" s="392">
        <v>29060796.29377</v>
      </c>
      <c r="J9" s="392">
        <v>37764372.420560002</v>
      </c>
      <c r="K9" s="392">
        <v>42168282.307270013</v>
      </c>
      <c r="L9" s="188">
        <f>46558709338.96*0.001</f>
        <v>46558709.338959999</v>
      </c>
      <c r="M9" s="188">
        <f>47877681399.63*0.001</f>
        <v>47877681.399629995</v>
      </c>
    </row>
    <row r="10" spans="1:28" x14ac:dyDescent="0.2">
      <c r="B10" t="s">
        <v>85</v>
      </c>
      <c r="C10" s="386">
        <f>C9/индексы_цен!E33</f>
        <v>13314182.053560002</v>
      </c>
      <c r="D10" s="235">
        <f>D9/индексы_цен!F33</f>
        <v>15413716.094312992</v>
      </c>
      <c r="E10" s="235">
        <f>E9/индексы_цен!G33</f>
        <v>16015031.381340943</v>
      </c>
      <c r="F10" s="235">
        <f>F9/индексы_цен!H33</f>
        <v>16925147.316213381</v>
      </c>
      <c r="G10" s="235">
        <f>G9/индексы_цен!I33</f>
        <v>16259860.880613083</v>
      </c>
      <c r="H10" s="235">
        <f>H9/индексы_цен!J33</f>
        <v>16445767.174824685</v>
      </c>
      <c r="I10" s="235">
        <f>I9/индексы_цен!K33</f>
        <v>15403127.125308573</v>
      </c>
      <c r="J10" s="235">
        <f>J9/индексы_цен!L33</f>
        <v>18175563.363122925</v>
      </c>
      <c r="K10" s="246">
        <f>K9/индексы_цен!M33</f>
        <v>18592080.573373944</v>
      </c>
    </row>
    <row r="11" spans="1:28" x14ac:dyDescent="0.2">
      <c r="C11" s="235"/>
      <c r="D11" s="200"/>
      <c r="E11" s="200"/>
      <c r="F11" s="200"/>
      <c r="G11" s="200"/>
      <c r="H11" s="200"/>
      <c r="I11" s="200"/>
      <c r="J11" s="200"/>
      <c r="K11" s="246"/>
    </row>
    <row r="12" spans="1:28" x14ac:dyDescent="0.2">
      <c r="C12" s="235"/>
      <c r="D12" s="235"/>
      <c r="E12" s="235"/>
      <c r="F12" s="235"/>
      <c r="G12" s="235"/>
      <c r="H12" s="235"/>
      <c r="I12" s="235"/>
      <c r="J12" s="235"/>
      <c r="K12" s="246"/>
    </row>
    <row r="13" spans="1:28" ht="18" x14ac:dyDescent="0.25">
      <c r="A13" s="175" t="s">
        <v>119</v>
      </c>
      <c r="C13" s="236"/>
      <c r="D13" s="236"/>
      <c r="E13" s="236"/>
      <c r="F13" s="235"/>
      <c r="G13" s="235"/>
      <c r="H13" s="235"/>
      <c r="I13" s="235"/>
      <c r="J13" s="235"/>
      <c r="K13" s="246"/>
    </row>
    <row r="14" spans="1:28" x14ac:dyDescent="0.2">
      <c r="B14" s="295" t="s">
        <v>120</v>
      </c>
      <c r="C14">
        <v>2005</v>
      </c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 s="244">
        <v>2013</v>
      </c>
      <c r="L14">
        <v>2014</v>
      </c>
      <c r="M14" s="244">
        <v>2015</v>
      </c>
    </row>
    <row r="15" spans="1:28" ht="25.5" x14ac:dyDescent="0.2">
      <c r="B15" s="237" t="s">
        <v>66</v>
      </c>
      <c r="C15" s="236">
        <f t="shared" ref="C15:M15" si="0">C9/C7</f>
        <v>0.39642323465497098</v>
      </c>
      <c r="D15" s="236">
        <f t="shared" ref="D15:J15" si="1">D9/D7</f>
        <v>0.39353545619034119</v>
      </c>
      <c r="E15" s="236">
        <f t="shared" si="1"/>
        <v>0.58492762474099591</v>
      </c>
      <c r="F15" s="236">
        <f t="shared" si="1"/>
        <v>0.53430893317832817</v>
      </c>
      <c r="G15" s="236">
        <f t="shared" si="1"/>
        <v>0.52648133668640407</v>
      </c>
      <c r="H15" s="236">
        <f t="shared" si="1"/>
        <v>0.55390887481328877</v>
      </c>
      <c r="I15" s="236">
        <f t="shared" si="1"/>
        <v>0.51524261968965213</v>
      </c>
      <c r="J15" s="236">
        <f t="shared" si="1"/>
        <v>0.61082809984622677</v>
      </c>
      <c r="K15" s="247">
        <f t="shared" si="0"/>
        <v>0.59220356146509945</v>
      </c>
      <c r="L15" s="247">
        <f t="shared" si="0"/>
        <v>0.63074647097385483</v>
      </c>
      <c r="M15" s="247">
        <f t="shared" si="0"/>
        <v>0.6299954832483472</v>
      </c>
    </row>
    <row r="16" spans="1:28" ht="25.5" x14ac:dyDescent="0.2">
      <c r="B16" s="238" t="s">
        <v>65</v>
      </c>
      <c r="C16" s="236">
        <v>0.13579489067873832</v>
      </c>
      <c r="D16" s="236">
        <v>0.11172724844159473</v>
      </c>
      <c r="E16" s="236">
        <v>0.13573479664114674</v>
      </c>
      <c r="F16" s="236">
        <v>0.13794820292692037</v>
      </c>
      <c r="G16" s="236">
        <v>0.1242709411341147</v>
      </c>
      <c r="H16" s="236">
        <v>7.5545430406379357E-2</v>
      </c>
      <c r="I16" s="236">
        <v>0.11873292280190223</v>
      </c>
      <c r="J16" s="236">
        <v>8.9371092293924356E-2</v>
      </c>
      <c r="K16" s="236">
        <v>9.0331799967419746E-2</v>
      </c>
      <c r="L16" s="292">
        <f t="shared" ref="L16:L22" si="2">AVERAGE(C16:K16)</f>
        <v>0.11327303614357118</v>
      </c>
    </row>
    <row r="17" spans="1:28" x14ac:dyDescent="0.2">
      <c r="B17" s="238" t="s">
        <v>67</v>
      </c>
      <c r="C17" s="236">
        <v>6.0733387335182867E-2</v>
      </c>
      <c r="D17" s="236">
        <v>5.8612156355731235E-2</v>
      </c>
      <c r="E17" s="236">
        <v>6.1626432980348748E-2</v>
      </c>
      <c r="F17" s="236">
        <v>7.7480558432726873E-2</v>
      </c>
      <c r="G17" s="236">
        <v>8.9713942914843442E-2</v>
      </c>
      <c r="H17" s="236">
        <v>6.6875812682553437E-2</v>
      </c>
      <c r="I17" s="236">
        <v>7.8732871351859884E-2</v>
      </c>
      <c r="J17" s="236">
        <v>7.3990820111940969E-2</v>
      </c>
      <c r="K17" s="236">
        <v>9.8939101068641622E-2</v>
      </c>
      <c r="L17" s="292">
        <f t="shared" si="2"/>
        <v>7.407834258153656E-2</v>
      </c>
    </row>
    <row r="18" spans="1:28" x14ac:dyDescent="0.2">
      <c r="B18" s="238" t="s">
        <v>68</v>
      </c>
      <c r="C18" s="236">
        <v>0.33935828851700911</v>
      </c>
      <c r="D18" s="236">
        <v>0.3628664241770917</v>
      </c>
      <c r="E18" s="236">
        <v>0.34414771833176294</v>
      </c>
      <c r="F18" s="236">
        <v>0.34491827604971093</v>
      </c>
      <c r="G18" s="236">
        <v>0.32616863716557887</v>
      </c>
      <c r="H18" s="236">
        <v>0.46871006594839915</v>
      </c>
      <c r="I18" s="236">
        <v>0.33373051146568689</v>
      </c>
      <c r="J18" s="236">
        <v>0.35572737952521211</v>
      </c>
      <c r="K18" s="236">
        <v>0.33970562382927172</v>
      </c>
      <c r="L18" s="292">
        <f t="shared" si="2"/>
        <v>0.35725921388996928</v>
      </c>
    </row>
    <row r="19" spans="1:28" x14ac:dyDescent="0.2">
      <c r="B19" s="238" t="s">
        <v>69</v>
      </c>
      <c r="C19" s="236">
        <v>0.38078707148851088</v>
      </c>
      <c r="D19" s="236">
        <v>0.38170077584385403</v>
      </c>
      <c r="E19" s="236">
        <v>0.37624968920356938</v>
      </c>
      <c r="F19" s="236">
        <v>0.32993079389417157</v>
      </c>
      <c r="G19" s="236">
        <v>0.3485049248450437</v>
      </c>
      <c r="H19" s="236">
        <v>0.29750658212006287</v>
      </c>
      <c r="I19" s="236">
        <v>0.36325290258591658</v>
      </c>
      <c r="J19" s="236">
        <v>0.40808756366648152</v>
      </c>
      <c r="K19" s="236">
        <v>0.4091115139258531</v>
      </c>
      <c r="L19" s="292">
        <f t="shared" si="2"/>
        <v>0.36612575750816262</v>
      </c>
    </row>
    <row r="20" spans="1:28" x14ac:dyDescent="0.2">
      <c r="B20" s="238" t="s">
        <v>70</v>
      </c>
      <c r="C20" s="236">
        <v>1.2339364798310824E-2</v>
      </c>
      <c r="D20" s="236">
        <v>1.4757152120027492E-2</v>
      </c>
      <c r="E20" s="236">
        <v>1.3015630344631952E-2</v>
      </c>
      <c r="F20" s="236">
        <v>4.6444946936553898E-2</v>
      </c>
      <c r="G20" s="236">
        <v>4.013882523953792E-2</v>
      </c>
      <c r="H20" s="236">
        <v>3.6685637190009855E-2</v>
      </c>
      <c r="I20" s="236">
        <v>3.7457364277501209E-2</v>
      </c>
      <c r="J20" s="236">
        <v>1.4526084761873167E-2</v>
      </c>
      <c r="K20" s="236">
        <v>5.9337641850510346E-4</v>
      </c>
      <c r="L20" s="292">
        <f t="shared" si="2"/>
        <v>2.3995375787439051E-2</v>
      </c>
    </row>
    <row r="21" spans="1:28" x14ac:dyDescent="0.2">
      <c r="B21" s="238" t="s">
        <v>71</v>
      </c>
      <c r="C21" s="236">
        <v>4.418933146273795E-2</v>
      </c>
      <c r="D21" s="236">
        <v>4.4601977021882948E-2</v>
      </c>
      <c r="E21" s="236">
        <v>4.5483774666153019E-2</v>
      </c>
      <c r="F21" s="236">
        <v>4.2576686933263649E-2</v>
      </c>
      <c r="G21" s="236">
        <v>4.3644095445316E-2</v>
      </c>
      <c r="H21" s="236">
        <v>4.2627289260577864E-2</v>
      </c>
      <c r="I21" s="236">
        <v>4.9167029350338579E-2</v>
      </c>
      <c r="J21" s="236">
        <v>4.3871552894600749E-2</v>
      </c>
      <c r="K21" s="236">
        <v>4.5569225343302898E-2</v>
      </c>
      <c r="L21" s="292">
        <f t="shared" si="2"/>
        <v>4.4636773597574848E-2</v>
      </c>
    </row>
    <row r="22" spans="1:28" x14ac:dyDescent="0.2">
      <c r="B22" s="238" t="s">
        <v>72</v>
      </c>
      <c r="C22" s="236">
        <v>2.6797665719509992E-2</v>
      </c>
      <c r="D22" s="236">
        <v>2.5734266039817898E-2</v>
      </c>
      <c r="E22" s="236">
        <v>2.3741957832387257E-2</v>
      </c>
      <c r="F22" s="236">
        <v>2.070053482665276E-2</v>
      </c>
      <c r="G22" s="236">
        <v>2.7558633255565203E-2</v>
      </c>
      <c r="H22" s="236">
        <v>1.2049182392017549E-2</v>
      </c>
      <c r="I22" s="236">
        <v>1.8926398166794606E-2</v>
      </c>
      <c r="J22" s="236">
        <v>1.4425506745967041E-2</v>
      </c>
      <c r="K22" s="236">
        <v>1.5749359447005552E-2</v>
      </c>
      <c r="L22" s="292">
        <f t="shared" si="2"/>
        <v>2.0631500491746432E-2</v>
      </c>
    </row>
    <row r="23" spans="1:28" x14ac:dyDescent="0.2">
      <c r="C23" s="236"/>
      <c r="D23" s="236"/>
      <c r="E23" s="236"/>
      <c r="F23" s="236"/>
      <c r="G23" s="236"/>
      <c r="H23" s="236"/>
      <c r="I23" s="236"/>
      <c r="J23" s="236"/>
      <c r="K23" s="247"/>
      <c r="L23" s="292"/>
    </row>
    <row r="24" spans="1:28" x14ac:dyDescent="0.2">
      <c r="A24" s="239"/>
      <c r="C24" s="183"/>
      <c r="D24" s="183"/>
      <c r="E24" s="183"/>
      <c r="F24" s="183"/>
      <c r="G24" s="183"/>
      <c r="H24" s="183"/>
      <c r="I24" s="183"/>
      <c r="J24" s="183"/>
      <c r="K24" s="249"/>
      <c r="L24" s="183"/>
      <c r="M24" s="183"/>
      <c r="N24" s="183"/>
      <c r="O24" s="183"/>
      <c r="P24" s="188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</row>
    <row r="25" spans="1:28" s="550" customFormat="1" x14ac:dyDescent="0.2">
      <c r="A25" s="239"/>
      <c r="C25" s="183"/>
      <c r="D25" s="183"/>
      <c r="E25" s="183"/>
      <c r="F25" s="183"/>
      <c r="G25" s="183"/>
      <c r="H25" s="183"/>
      <c r="I25" s="183"/>
      <c r="J25" s="183"/>
      <c r="K25" s="249"/>
      <c r="L25" s="183"/>
      <c r="M25" s="183"/>
      <c r="N25" s="183"/>
      <c r="O25" s="183"/>
      <c r="P25" s="188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</row>
    <row r="26" spans="1:28" s="550" customFormat="1" x14ac:dyDescent="0.2">
      <c r="A26" s="239"/>
      <c r="B26" s="198" t="s">
        <v>297</v>
      </c>
      <c r="C26"/>
      <c r="D26" s="183"/>
      <c r="E26" s="183"/>
      <c r="F26" s="183"/>
      <c r="G26" s="183"/>
      <c r="H26" s="183"/>
      <c r="I26" s="183"/>
      <c r="J26" s="183"/>
      <c r="K26" s="249"/>
      <c r="L26" s="183"/>
      <c r="M26" s="183"/>
      <c r="N26" s="183"/>
      <c r="O26" s="183"/>
      <c r="P26" s="188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s="550" customFormat="1" x14ac:dyDescent="0.2">
      <c r="A27" s="239"/>
      <c r="B27" s="550" t="s">
        <v>298</v>
      </c>
      <c r="C27" s="584">
        <v>2015</v>
      </c>
      <c r="D27" s="584">
        <v>2016</v>
      </c>
      <c r="E27" s="584">
        <v>2017</v>
      </c>
      <c r="F27" s="584">
        <v>2018</v>
      </c>
      <c r="G27" s="183"/>
      <c r="H27" s="183"/>
      <c r="I27" s="183"/>
      <c r="J27" s="183"/>
      <c r="K27" s="249"/>
      <c r="L27" s="183"/>
      <c r="M27" s="183"/>
      <c r="N27" s="183"/>
      <c r="O27" s="183"/>
      <c r="P27" s="188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</row>
    <row r="28" spans="1:28" s="550" customFormat="1" x14ac:dyDescent="0.2">
      <c r="A28" s="239"/>
      <c r="C28" s="184">
        <v>19256.599999999999</v>
      </c>
      <c r="D28" s="184">
        <v>17606.099999999999</v>
      </c>
      <c r="E28" s="184">
        <v>16507.5</v>
      </c>
      <c r="F28" s="184">
        <v>16915.3</v>
      </c>
      <c r="G28" s="183"/>
      <c r="H28" s="183"/>
      <c r="I28" s="183"/>
      <c r="J28" s="183"/>
      <c r="K28" s="249"/>
      <c r="L28" s="183"/>
      <c r="M28" s="183"/>
      <c r="N28" s="183"/>
      <c r="O28" s="183"/>
      <c r="P28" s="188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</row>
    <row r="29" spans="1:28" s="550" customFormat="1" x14ac:dyDescent="0.2">
      <c r="A29" s="239"/>
      <c r="C29" s="183"/>
      <c r="D29" s="183"/>
      <c r="E29" s="183"/>
      <c r="F29" s="183"/>
      <c r="G29" s="183"/>
      <c r="H29" s="183"/>
      <c r="I29" s="183"/>
      <c r="J29" s="183"/>
      <c r="K29" s="249"/>
      <c r="L29" s="183"/>
      <c r="M29" s="183"/>
      <c r="N29" s="183"/>
      <c r="O29" s="183"/>
      <c r="P29" s="188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spans="1:28" s="550" customFormat="1" x14ac:dyDescent="0.2">
      <c r="A30" s="239"/>
      <c r="C30" s="183"/>
      <c r="D30" s="183"/>
      <c r="E30" s="183"/>
      <c r="F30" s="183"/>
      <c r="G30" s="183"/>
      <c r="H30" s="183"/>
      <c r="I30" s="183"/>
      <c r="J30" s="183"/>
      <c r="K30" s="249"/>
      <c r="L30" s="183"/>
      <c r="M30" s="183"/>
      <c r="N30" s="183"/>
      <c r="O30" s="183"/>
      <c r="P30" s="188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</row>
    <row r="31" spans="1:28" s="550" customFormat="1" x14ac:dyDescent="0.2">
      <c r="A31" s="239"/>
      <c r="C31" s="183"/>
      <c r="D31" s="183"/>
      <c r="E31" s="183"/>
      <c r="F31" s="183"/>
      <c r="G31" s="183"/>
      <c r="H31" s="183"/>
      <c r="I31" s="183"/>
      <c r="J31" s="183"/>
      <c r="K31" s="249"/>
      <c r="L31" s="183"/>
      <c r="M31" s="183"/>
      <c r="N31" s="183"/>
      <c r="O31" s="183"/>
      <c r="P31" s="188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</row>
    <row r="32" spans="1:28" s="550" customFormat="1" x14ac:dyDescent="0.2">
      <c r="A32" s="239"/>
      <c r="C32" s="183"/>
      <c r="D32" s="183"/>
      <c r="E32" s="183"/>
      <c r="F32" s="183"/>
      <c r="G32" s="183"/>
      <c r="H32" s="183"/>
      <c r="I32" s="183"/>
      <c r="J32" s="183"/>
      <c r="K32" s="249"/>
      <c r="L32" s="183"/>
      <c r="M32" s="183"/>
      <c r="N32" s="183"/>
      <c r="O32" s="183"/>
      <c r="P32" s="188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</row>
    <row r="33" spans="1:28" s="550" customFormat="1" x14ac:dyDescent="0.2">
      <c r="A33" s="239"/>
      <c r="C33" s="183"/>
      <c r="D33" s="183"/>
      <c r="E33" s="183"/>
      <c r="F33" s="183"/>
      <c r="G33" s="183"/>
      <c r="H33" s="183"/>
      <c r="I33" s="183"/>
      <c r="J33" s="183"/>
      <c r="K33" s="249"/>
      <c r="L33" s="183"/>
      <c r="M33" s="183"/>
      <c r="N33" s="183"/>
      <c r="O33" s="183"/>
      <c r="P33" s="188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</row>
    <row r="34" spans="1:28" s="550" customFormat="1" x14ac:dyDescent="0.2">
      <c r="A34" s="239"/>
      <c r="C34" s="183"/>
      <c r="D34" s="183"/>
      <c r="E34" s="183"/>
      <c r="F34" s="183"/>
      <c r="G34" s="183"/>
      <c r="H34" s="183"/>
      <c r="I34" s="183"/>
      <c r="J34" s="183"/>
      <c r="K34" s="249"/>
      <c r="L34" s="183"/>
      <c r="M34" s="183"/>
      <c r="N34" s="183"/>
      <c r="O34" s="183"/>
      <c r="P34" s="188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</row>
    <row r="35" spans="1:28" s="550" customFormat="1" x14ac:dyDescent="0.2">
      <c r="A35" s="239"/>
      <c r="C35" s="183"/>
      <c r="D35" s="183"/>
      <c r="E35" s="183"/>
      <c r="F35" s="183"/>
      <c r="G35" s="183"/>
      <c r="H35" s="183"/>
      <c r="I35" s="183"/>
      <c r="J35" s="183"/>
      <c r="K35" s="249"/>
      <c r="L35" s="183"/>
      <c r="M35" s="183"/>
      <c r="N35" s="183"/>
      <c r="O35" s="183"/>
      <c r="P35" s="188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</row>
    <row r="36" spans="1:28" s="550" customFormat="1" x14ac:dyDescent="0.2">
      <c r="A36" s="239"/>
      <c r="C36" s="183"/>
      <c r="D36" s="183"/>
      <c r="E36" s="183"/>
      <c r="F36" s="183"/>
      <c r="G36" s="183"/>
      <c r="H36" s="183"/>
      <c r="I36" s="183"/>
      <c r="J36" s="183"/>
      <c r="K36" s="249"/>
      <c r="L36" s="183"/>
      <c r="M36" s="183"/>
      <c r="N36" s="183"/>
      <c r="O36" s="183"/>
      <c r="P36" s="188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8" s="550" customFormat="1" x14ac:dyDescent="0.2">
      <c r="A37" s="239"/>
      <c r="C37" s="183"/>
      <c r="D37" s="183"/>
      <c r="E37" s="183"/>
      <c r="F37" s="183"/>
      <c r="G37" s="183"/>
      <c r="H37" s="183"/>
      <c r="I37" s="183"/>
      <c r="J37" s="183"/>
      <c r="K37" s="249"/>
      <c r="L37" s="183"/>
      <c r="M37" s="183"/>
      <c r="N37" s="183"/>
      <c r="O37" s="183"/>
      <c r="P37" s="188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</row>
    <row r="38" spans="1:28" s="550" customFormat="1" x14ac:dyDescent="0.2">
      <c r="A38" s="239"/>
      <c r="C38" s="183"/>
      <c r="D38" s="183"/>
      <c r="E38" s="183"/>
      <c r="F38" s="183"/>
      <c r="G38" s="183"/>
      <c r="H38" s="183"/>
      <c r="I38" s="183"/>
      <c r="J38" s="183"/>
      <c r="K38" s="249"/>
      <c r="L38" s="183"/>
      <c r="M38" s="183"/>
      <c r="N38" s="183"/>
      <c r="O38" s="183"/>
      <c r="P38" s="188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</row>
    <row r="39" spans="1:28" s="550" customFormat="1" x14ac:dyDescent="0.2">
      <c r="A39" s="239"/>
      <c r="C39" s="183"/>
      <c r="D39" s="183"/>
      <c r="E39" s="183"/>
      <c r="F39" s="183"/>
      <c r="G39" s="183"/>
      <c r="H39" s="183"/>
      <c r="I39" s="183"/>
      <c r="J39" s="183"/>
      <c r="K39" s="249"/>
      <c r="L39" s="183"/>
      <c r="M39" s="183"/>
      <c r="N39" s="183"/>
      <c r="O39" s="183"/>
      <c r="P39" s="188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</row>
    <row r="40" spans="1:28" s="550" customFormat="1" x14ac:dyDescent="0.2">
      <c r="A40" s="239"/>
      <c r="C40" s="183"/>
      <c r="D40" s="183"/>
      <c r="E40" s="183"/>
      <c r="F40" s="183"/>
      <c r="G40" s="183"/>
      <c r="H40" s="183"/>
      <c r="I40" s="183"/>
      <c r="J40" s="183"/>
      <c r="K40" s="249"/>
      <c r="L40" s="183"/>
      <c r="M40" s="183"/>
      <c r="N40" s="183"/>
      <c r="O40" s="183"/>
      <c r="P40" s="188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</row>
    <row r="41" spans="1:28" s="550" customFormat="1" x14ac:dyDescent="0.2">
      <c r="A41" s="239"/>
      <c r="C41" s="183"/>
      <c r="D41" s="183"/>
      <c r="E41" s="183"/>
      <c r="F41" s="183"/>
      <c r="G41" s="183"/>
      <c r="H41" s="183"/>
      <c r="I41" s="183"/>
      <c r="J41" s="183"/>
      <c r="K41" s="249"/>
      <c r="L41" s="183"/>
      <c r="M41" s="183"/>
      <c r="N41" s="183"/>
      <c r="O41" s="183"/>
      <c r="P41" s="188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</row>
    <row r="42" spans="1:28" s="550" customFormat="1" x14ac:dyDescent="0.2">
      <c r="A42" s="239"/>
      <c r="C42" s="183"/>
      <c r="D42" s="183"/>
      <c r="E42" s="183"/>
      <c r="F42" s="183"/>
      <c r="G42" s="183"/>
      <c r="H42" s="183"/>
      <c r="I42" s="183"/>
      <c r="J42" s="183"/>
      <c r="K42" s="249"/>
      <c r="L42" s="183"/>
      <c r="M42" s="183"/>
      <c r="N42" s="183"/>
      <c r="O42" s="183"/>
      <c r="P42" s="188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</row>
    <row r="43" spans="1:28" s="550" customFormat="1" x14ac:dyDescent="0.2">
      <c r="A43" s="239"/>
      <c r="C43" s="183"/>
      <c r="D43" s="183"/>
      <c r="E43" s="183"/>
      <c r="F43" s="183"/>
      <c r="G43" s="183"/>
      <c r="H43" s="183"/>
      <c r="I43" s="183"/>
      <c r="J43" s="183"/>
      <c r="K43" s="249"/>
      <c r="L43" s="183"/>
      <c r="M43" s="183"/>
      <c r="N43" s="183"/>
      <c r="O43" s="183"/>
      <c r="P43" s="188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</row>
    <row r="44" spans="1:28" s="550" customFormat="1" x14ac:dyDescent="0.2">
      <c r="A44" s="239"/>
      <c r="C44" s="183"/>
      <c r="D44" s="183"/>
      <c r="E44" s="183"/>
      <c r="F44" s="183"/>
      <c r="G44" s="183"/>
      <c r="H44" s="183"/>
      <c r="I44" s="183"/>
      <c r="J44" s="183"/>
      <c r="K44" s="249"/>
      <c r="L44" s="183"/>
      <c r="M44" s="183"/>
      <c r="N44" s="183"/>
      <c r="O44" s="183"/>
      <c r="P44" s="188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</row>
    <row r="46" spans="1:28" ht="23.25" x14ac:dyDescent="0.2">
      <c r="A46" s="537" t="s">
        <v>228</v>
      </c>
    </row>
    <row r="48" spans="1:28" ht="14.25" x14ac:dyDescent="0.2">
      <c r="N48" s="538"/>
    </row>
    <row r="49" spans="3:14" ht="15.75" x14ac:dyDescent="0.25">
      <c r="N49" s="539"/>
    </row>
    <row r="51" spans="3:14" x14ac:dyDescent="0.2">
      <c r="N51" s="235"/>
    </row>
    <row r="53" spans="3:14" x14ac:dyDescent="0.2">
      <c r="C53" s="386"/>
      <c r="D53" s="235"/>
      <c r="E53" s="235"/>
      <c r="F53" s="235"/>
      <c r="G53" s="235"/>
      <c r="H53" s="235"/>
      <c r="I53" s="235"/>
      <c r="J53" s="235"/>
      <c r="K53" s="235"/>
      <c r="L53" s="235"/>
    </row>
  </sheetData>
  <conditionalFormatting sqref="D11:J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8">
    <tabColor theme="3" tint="-0.249977111117893"/>
  </sheetPr>
  <dimension ref="A2:AG177"/>
  <sheetViews>
    <sheetView topLeftCell="A12" workbookViewId="0">
      <pane xSplit="3" topLeftCell="D1" activePane="topRight" state="frozen"/>
      <selection activeCell="A52" sqref="A52"/>
      <selection pane="topRight" activeCell="C52" sqref="C52"/>
    </sheetView>
  </sheetViews>
  <sheetFormatPr defaultRowHeight="12.75" x14ac:dyDescent="0.2"/>
  <cols>
    <col min="3" max="3" width="65.140625" customWidth="1"/>
    <col min="4" max="5" width="18.28515625" customWidth="1"/>
    <col min="6" max="6" width="18.28515625" bestFit="1" customWidth="1"/>
    <col min="7" max="11" width="18.42578125" bestFit="1" customWidth="1"/>
    <col min="12" max="12" width="16.28515625" bestFit="1" customWidth="1"/>
    <col min="13" max="13" width="16.28515625" style="278" bestFit="1" customWidth="1"/>
    <col min="14" max="19" width="15.5703125" bestFit="1" customWidth="1"/>
    <col min="20" max="20" width="20.140625" customWidth="1"/>
    <col min="21" max="21" width="18.140625" customWidth="1"/>
    <col min="22" max="22" width="19.5703125" customWidth="1"/>
    <col min="23" max="28" width="18.28515625" bestFit="1" customWidth="1"/>
    <col min="29" max="29" width="15.5703125" bestFit="1" customWidth="1"/>
    <col min="30" max="30" width="17.5703125" customWidth="1"/>
  </cols>
  <sheetData>
    <row r="2" spans="1:31" x14ac:dyDescent="0.2">
      <c r="B2" s="592" t="s">
        <v>318</v>
      </c>
    </row>
    <row r="3" spans="1:3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</row>
    <row r="4" spans="1:31" x14ac:dyDescent="0.2">
      <c r="A4" s="322"/>
      <c r="B4" s="322"/>
      <c r="C4" s="332" t="s">
        <v>151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</row>
    <row r="5" spans="1:31" x14ac:dyDescent="0.2">
      <c r="A5" s="333" t="s">
        <v>127</v>
      </c>
      <c r="B5" s="322"/>
      <c r="C5" s="332"/>
      <c r="D5" s="322">
        <v>2005</v>
      </c>
      <c r="E5" s="322">
        <v>2006</v>
      </c>
      <c r="F5" s="322">
        <v>2007</v>
      </c>
      <c r="G5" s="322">
        <v>2008</v>
      </c>
      <c r="H5" s="322">
        <v>2009</v>
      </c>
      <c r="I5" s="322">
        <v>2010</v>
      </c>
      <c r="J5" s="322">
        <v>2011</v>
      </c>
      <c r="K5" s="322">
        <v>2012</v>
      </c>
      <c r="L5" s="322">
        <v>2013</v>
      </c>
      <c r="M5" s="322">
        <v>2014</v>
      </c>
      <c r="N5" s="322">
        <v>2015</v>
      </c>
      <c r="O5" s="322">
        <v>2016</v>
      </c>
      <c r="P5" s="322">
        <v>2017</v>
      </c>
      <c r="Q5" s="322">
        <v>2018</v>
      </c>
      <c r="R5" s="322">
        <v>2019</v>
      </c>
      <c r="S5" s="322">
        <v>2020</v>
      </c>
      <c r="T5" s="322">
        <v>2021</v>
      </c>
      <c r="U5" s="322">
        <v>2022</v>
      </c>
      <c r="V5" s="322">
        <v>2023</v>
      </c>
      <c r="W5" s="322">
        <v>2024</v>
      </c>
      <c r="X5" s="322">
        <v>2025</v>
      </c>
      <c r="Y5" s="322">
        <v>2026</v>
      </c>
      <c r="Z5" s="322">
        <v>2027</v>
      </c>
      <c r="AA5" s="322">
        <v>2028</v>
      </c>
      <c r="AB5" s="322">
        <v>2029</v>
      </c>
      <c r="AC5" s="322">
        <v>2030</v>
      </c>
      <c r="AD5" s="322">
        <v>2031</v>
      </c>
    </row>
    <row r="6" spans="1:31" x14ac:dyDescent="0.2">
      <c r="A6" s="322"/>
      <c r="B6" s="322"/>
      <c r="C6" s="332"/>
      <c r="D6" s="322">
        <v>1</v>
      </c>
      <c r="E6" s="322">
        <v>2</v>
      </c>
      <c r="F6" s="322">
        <v>3</v>
      </c>
      <c r="G6" s="322">
        <v>4</v>
      </c>
      <c r="H6" s="322">
        <v>5</v>
      </c>
      <c r="I6" s="322">
        <v>6</v>
      </c>
      <c r="J6" s="322">
        <v>7</v>
      </c>
      <c r="K6" s="322">
        <v>8</v>
      </c>
      <c r="L6" s="322">
        <v>9</v>
      </c>
      <c r="M6" s="322">
        <v>10</v>
      </c>
      <c r="N6" s="322">
        <v>11</v>
      </c>
      <c r="O6" s="322">
        <v>12</v>
      </c>
      <c r="P6" s="322">
        <v>13</v>
      </c>
      <c r="Q6" s="322">
        <v>14</v>
      </c>
      <c r="R6" s="322">
        <v>15</v>
      </c>
      <c r="S6" s="322">
        <v>16</v>
      </c>
      <c r="T6" s="322">
        <v>17</v>
      </c>
      <c r="U6" s="322">
        <v>18</v>
      </c>
      <c r="V6" s="322">
        <v>19</v>
      </c>
      <c r="W6" s="322">
        <v>20</v>
      </c>
      <c r="X6" s="322"/>
      <c r="Y6" s="322"/>
      <c r="Z6" s="322"/>
      <c r="AA6" s="322"/>
      <c r="AB6" s="322"/>
      <c r="AC6" s="322"/>
    </row>
    <row r="7" spans="1:31" x14ac:dyDescent="0.2">
      <c r="A7" s="322">
        <v>1</v>
      </c>
      <c r="B7" s="322"/>
      <c r="C7" s="322" t="str">
        <f t="shared" ref="C7:C13" si="0">VLOOKUP(A7,spotrnepr,2)</f>
        <v>жилой фонд</v>
      </c>
      <c r="D7" s="335">
        <f>'[2]Плата населения'!C3*0.001</f>
        <v>2714500</v>
      </c>
      <c r="E7" s="335">
        <f>'[2]Плата населения'!D3*0.001</f>
        <v>3092799.9999999995</v>
      </c>
      <c r="F7" s="335">
        <f>'[2]Плата населения'!E3*0.001</f>
        <v>3727800</v>
      </c>
      <c r="G7" s="335">
        <f>'[2]Плата населения'!F3*0.001</f>
        <v>4295700</v>
      </c>
      <c r="H7" s="335">
        <f>'[2]Плата населения'!G3*0.001</f>
        <v>5317700</v>
      </c>
      <c r="I7" s="335">
        <f>'[2]Плата населения'!H3*0.001</f>
        <v>6036900</v>
      </c>
      <c r="J7" s="335">
        <f>'[2]Плата населения'!I3*0.001</f>
        <v>6891300</v>
      </c>
      <c r="K7" s="335">
        <f>'[2]Плата населения'!J3*0.001</f>
        <v>7730500</v>
      </c>
      <c r="L7" s="335">
        <f>'[2]Плата населения'!K3*0.001</f>
        <v>8464897.5</v>
      </c>
      <c r="M7" s="335">
        <f>L7+L7*$O$15</f>
        <v>9311387.25</v>
      </c>
      <c r="N7" s="335">
        <f>M7+M7*$O$15</f>
        <v>10242525.975</v>
      </c>
      <c r="O7" s="335">
        <f t="shared" ref="O7:AD7" si="1">N7+N7*$O$15</f>
        <v>11266778.5725</v>
      </c>
      <c r="P7" s="335">
        <f t="shared" si="1"/>
        <v>12393456.429749999</v>
      </c>
      <c r="Q7" s="335">
        <f t="shared" si="1"/>
        <v>13632802.072725</v>
      </c>
      <c r="R7" s="335">
        <f t="shared" si="1"/>
        <v>14996082.2799975</v>
      </c>
      <c r="S7" s="335">
        <f t="shared" si="1"/>
        <v>16495690.50799725</v>
      </c>
      <c r="T7" s="335">
        <f t="shared" si="1"/>
        <v>18145259.558796976</v>
      </c>
      <c r="U7" s="335">
        <f t="shared" si="1"/>
        <v>19959785.514676675</v>
      </c>
      <c r="V7" s="335">
        <f t="shared" si="1"/>
        <v>21955764.066144343</v>
      </c>
      <c r="W7" s="335">
        <f t="shared" si="1"/>
        <v>24151340.472758777</v>
      </c>
      <c r="X7" s="335">
        <f t="shared" si="1"/>
        <v>26566474.520034656</v>
      </c>
      <c r="Y7" s="335">
        <f t="shared" si="1"/>
        <v>29223121.97203812</v>
      </c>
      <c r="Z7" s="335">
        <f t="shared" si="1"/>
        <v>32145434.169241931</v>
      </c>
      <c r="AA7" s="335">
        <f t="shared" si="1"/>
        <v>35359977.586166129</v>
      </c>
      <c r="AB7" s="335">
        <f t="shared" si="1"/>
        <v>38895975.34478274</v>
      </c>
      <c r="AC7" s="335">
        <f t="shared" si="1"/>
        <v>42785572.879261017</v>
      </c>
      <c r="AD7" s="335">
        <f t="shared" si="1"/>
        <v>47064130.167187117</v>
      </c>
    </row>
    <row r="8" spans="1:31" x14ac:dyDescent="0.2">
      <c r="A8" s="322">
        <v>2</v>
      </c>
      <c r="B8" s="322"/>
      <c r="C8" s="322" t="str">
        <f t="shared" si="0"/>
        <v>дошкольные учреждения</v>
      </c>
      <c r="D8" s="335">
        <f>'[2]Плата населения'!C4*0.001</f>
        <v>198000</v>
      </c>
      <c r="E8" s="335">
        <f>'[2]Плата населения'!D4*0.001</f>
        <v>200000</v>
      </c>
      <c r="F8" s="335">
        <f>'[2]Плата населения'!E4*0.001</f>
        <v>201700</v>
      </c>
      <c r="G8" s="335">
        <f>'[2]Плата населения'!F4*0.001</f>
        <v>212300</v>
      </c>
      <c r="H8" s="335">
        <f>'[2]Плата населения'!G4*0.001</f>
        <v>254100</v>
      </c>
      <c r="I8" s="335">
        <f>'[2]Плата населения'!H4*0.001</f>
        <v>284100</v>
      </c>
      <c r="J8" s="335">
        <f>'[2]Плата населения'!I4*0.001</f>
        <v>312100</v>
      </c>
      <c r="K8" s="335">
        <f>'[2]Плата населения'!J4*0.001</f>
        <v>359600</v>
      </c>
      <c r="L8" s="335">
        <f>'[2]Плата населения'!K4*0.001</f>
        <v>393762</v>
      </c>
      <c r="M8" s="335">
        <f t="shared" ref="M8:M13" si="2">L8+L8*$O$15</f>
        <v>433138.2</v>
      </c>
      <c r="N8" s="335">
        <f>M8+M8*$O$15</f>
        <v>476452.02</v>
      </c>
      <c r="O8" s="335">
        <f t="shared" ref="O8:AD8" si="3">N8+N8*$O$15</f>
        <v>524097.22200000001</v>
      </c>
      <c r="P8" s="335">
        <f t="shared" si="3"/>
        <v>576506.94420000003</v>
      </c>
      <c r="Q8" s="335">
        <f t="shared" si="3"/>
        <v>634157.63861999998</v>
      </c>
      <c r="R8" s="335">
        <f t="shared" si="3"/>
        <v>697573.40248199995</v>
      </c>
      <c r="S8" s="335">
        <f t="shared" si="3"/>
        <v>767330.74273019994</v>
      </c>
      <c r="T8" s="335">
        <f t="shared" si="3"/>
        <v>844063.81700321997</v>
      </c>
      <c r="U8" s="335">
        <f t="shared" si="3"/>
        <v>928470.198703542</v>
      </c>
      <c r="V8" s="335">
        <f t="shared" si="3"/>
        <v>1021317.2185738962</v>
      </c>
      <c r="W8" s="335">
        <f t="shared" si="3"/>
        <v>1123448.9404312859</v>
      </c>
      <c r="X8" s="335">
        <f t="shared" si="3"/>
        <v>1235793.8344744146</v>
      </c>
      <c r="Y8" s="335">
        <f t="shared" si="3"/>
        <v>1359373.2179218561</v>
      </c>
      <c r="Z8" s="335">
        <f t="shared" si="3"/>
        <v>1495310.5397140416</v>
      </c>
      <c r="AA8" s="335">
        <f t="shared" si="3"/>
        <v>1644841.5936854458</v>
      </c>
      <c r="AB8" s="335">
        <f t="shared" si="3"/>
        <v>1809325.7530539904</v>
      </c>
      <c r="AC8" s="335">
        <f t="shared" si="3"/>
        <v>1990258.3283593894</v>
      </c>
      <c r="AD8" s="335">
        <f t="shared" si="3"/>
        <v>2189284.1611953285</v>
      </c>
    </row>
    <row r="9" spans="1:31" x14ac:dyDescent="0.2">
      <c r="A9" s="322">
        <v>3</v>
      </c>
      <c r="B9" s="322"/>
      <c r="C9" s="322" t="str">
        <f t="shared" si="0"/>
        <v>общее полное образование</v>
      </c>
      <c r="D9" s="335">
        <f>'[2]Плата населения'!C5*0.001</f>
        <v>596000</v>
      </c>
      <c r="E9" s="335">
        <f>'[2]Плата населения'!D5*0.001</f>
        <v>778300</v>
      </c>
      <c r="F9" s="335">
        <f>'[2]Плата населения'!E5*0.001</f>
        <v>918800</v>
      </c>
      <c r="G9" s="335">
        <f>'[2]Плата населения'!F5*0.001</f>
        <v>1089600.0000000002</v>
      </c>
      <c r="H9" s="335">
        <f>'[2]Плата населения'!G5*0.001</f>
        <v>1211400</v>
      </c>
      <c r="I9" s="335">
        <f>'[2]Плата населения'!H5*0.001</f>
        <v>1213800.0000000002</v>
      </c>
      <c r="J9" s="335">
        <f>'[2]Плата населения'!I5*0.001</f>
        <v>1250800.0000000002</v>
      </c>
      <c r="K9" s="335">
        <f>'[2]Плата населения'!J5*0.001</f>
        <v>1448699.9999999998</v>
      </c>
      <c r="L9" s="335">
        <f>'[2]Плата населения'!K5*0.001</f>
        <v>1586326.4999999998</v>
      </c>
      <c r="M9" s="335">
        <f t="shared" si="2"/>
        <v>1744959.1499999997</v>
      </c>
      <c r="N9" s="335">
        <f t="shared" ref="N9:AD13" si="4">M9+M9*$O$15</f>
        <v>1919455.0649999997</v>
      </c>
      <c r="O9" s="335">
        <f t="shared" si="4"/>
        <v>2111400.5714999996</v>
      </c>
      <c r="P9" s="335">
        <f t="shared" si="4"/>
        <v>2322540.6286499994</v>
      </c>
      <c r="Q9" s="335">
        <f t="shared" si="4"/>
        <v>2554794.6915149991</v>
      </c>
      <c r="R9" s="335">
        <f t="shared" si="4"/>
        <v>2810274.1606664993</v>
      </c>
      <c r="S9" s="335">
        <f t="shared" si="4"/>
        <v>3091301.5767331491</v>
      </c>
      <c r="T9" s="335">
        <f t="shared" si="4"/>
        <v>3400431.7344064638</v>
      </c>
      <c r="U9" s="335">
        <f t="shared" si="4"/>
        <v>3740474.9078471102</v>
      </c>
      <c r="V9" s="335">
        <f t="shared" si="4"/>
        <v>4114522.3986318214</v>
      </c>
      <c r="W9" s="335">
        <f t="shared" si="4"/>
        <v>4525974.6384950038</v>
      </c>
      <c r="X9" s="335">
        <f t="shared" si="4"/>
        <v>4978572.1023445046</v>
      </c>
      <c r="Y9" s="335">
        <f t="shared" si="4"/>
        <v>5476429.3125789547</v>
      </c>
      <c r="Z9" s="335">
        <f t="shared" si="4"/>
        <v>6024072.2438368499</v>
      </c>
      <c r="AA9" s="335">
        <f t="shared" si="4"/>
        <v>6626479.4682205347</v>
      </c>
      <c r="AB9" s="335">
        <f t="shared" si="4"/>
        <v>7289127.4150425885</v>
      </c>
      <c r="AC9" s="335">
        <f t="shared" si="4"/>
        <v>8018040.1565468479</v>
      </c>
      <c r="AD9" s="335">
        <f t="shared" si="4"/>
        <v>8819844.1722015329</v>
      </c>
      <c r="AE9" t="s">
        <v>156</v>
      </c>
    </row>
    <row r="10" spans="1:31" x14ac:dyDescent="0.2">
      <c r="A10" s="322">
        <v>4</v>
      </c>
      <c r="B10" s="322"/>
      <c r="C10" s="322" t="str">
        <f t="shared" si="0"/>
        <v>больницы</v>
      </c>
      <c r="D10" s="335">
        <f>'[2]Плата населения'!C6*0.001</f>
        <v>102030</v>
      </c>
      <c r="E10" s="335">
        <f>'[2]Плата населения'!D6*0.001</f>
        <v>192760</v>
      </c>
      <c r="F10" s="335">
        <f>'[2]Плата населения'!E6*0.001</f>
        <v>299700</v>
      </c>
      <c r="G10" s="335">
        <f>'[2]Плата населения'!F6*0.001</f>
        <v>403000</v>
      </c>
      <c r="H10" s="335">
        <f>'[2]Плата населения'!G6*0.001</f>
        <v>478050</v>
      </c>
      <c r="I10" s="335">
        <f>'[2]Плата населения'!H6*0.001</f>
        <v>601650</v>
      </c>
      <c r="J10" s="335">
        <f>'[2]Плата населения'!I6*0.001</f>
        <v>684000</v>
      </c>
      <c r="K10" s="335">
        <f>'[2]Плата населения'!J6*0.001</f>
        <v>824900</v>
      </c>
      <c r="L10" s="335">
        <f>'[2]Плата населения'!K6*0.001</f>
        <v>903265.5</v>
      </c>
      <c r="M10" s="335">
        <f t="shared" si="2"/>
        <v>993592.05</v>
      </c>
      <c r="N10" s="335">
        <f t="shared" si="4"/>
        <v>1092951.2550000001</v>
      </c>
      <c r="O10" s="335">
        <f t="shared" si="4"/>
        <v>1202246.3805000002</v>
      </c>
      <c r="P10" s="335">
        <f t="shared" si="4"/>
        <v>1322471.0185500002</v>
      </c>
      <c r="Q10" s="335">
        <f t="shared" si="4"/>
        <v>1454718.1204050002</v>
      </c>
      <c r="R10" s="335">
        <f t="shared" si="4"/>
        <v>1600189.9324455003</v>
      </c>
      <c r="S10" s="335">
        <f t="shared" si="4"/>
        <v>1760208.9256900502</v>
      </c>
      <c r="T10" s="335">
        <f t="shared" si="4"/>
        <v>1936229.8182590553</v>
      </c>
      <c r="U10" s="335">
        <f t="shared" si="4"/>
        <v>2129852.8000849606</v>
      </c>
      <c r="V10" s="335">
        <f t="shared" si="4"/>
        <v>2342838.0800934569</v>
      </c>
      <c r="W10" s="335">
        <f t="shared" si="4"/>
        <v>2577121.8881028024</v>
      </c>
      <c r="X10" s="335">
        <f t="shared" si="4"/>
        <v>2834834.0769130825</v>
      </c>
      <c r="Y10" s="335">
        <f t="shared" si="4"/>
        <v>3118317.4846043908</v>
      </c>
      <c r="Z10" s="335">
        <f t="shared" si="4"/>
        <v>3430149.2330648298</v>
      </c>
      <c r="AA10" s="335">
        <f t="shared" si="4"/>
        <v>3773164.1563713127</v>
      </c>
      <c r="AB10" s="335">
        <f t="shared" si="4"/>
        <v>4150480.572008444</v>
      </c>
      <c r="AC10" s="335">
        <f t="shared" si="4"/>
        <v>4565528.6292092884</v>
      </c>
      <c r="AD10" s="335">
        <f t="shared" si="4"/>
        <v>5022081.4921302171</v>
      </c>
    </row>
    <row r="11" spans="1:31" x14ac:dyDescent="0.2">
      <c r="A11" s="322">
        <v>5</v>
      </c>
      <c r="B11" s="322"/>
      <c r="C11" s="322" t="str">
        <f t="shared" si="0"/>
        <v>поликлиники</v>
      </c>
      <c r="D11" s="335">
        <f>'[2]Плата населения'!C7*0.001</f>
        <v>238070</v>
      </c>
      <c r="E11" s="335">
        <f>'[2]Плата населения'!D7*0.001</f>
        <v>289140</v>
      </c>
      <c r="F11" s="335">
        <f>'[2]Плата населения'!E7*0.001</f>
        <v>299700</v>
      </c>
      <c r="G11" s="335">
        <f>'[2]Плата населения'!F7*0.001</f>
        <v>403000</v>
      </c>
      <c r="H11" s="335">
        <f>'[2]Плата населения'!G7*0.001</f>
        <v>478050</v>
      </c>
      <c r="I11" s="335">
        <f>'[2]Плата населения'!H7*0.001</f>
        <v>601650</v>
      </c>
      <c r="J11" s="335">
        <f>'[2]Плата населения'!I7*0.001</f>
        <v>684000</v>
      </c>
      <c r="K11" s="335">
        <f>'[2]Плата населения'!J7*0.001</f>
        <v>824900</v>
      </c>
      <c r="L11" s="335">
        <f>'[2]Плата населения'!K7*0.001</f>
        <v>903265.5</v>
      </c>
      <c r="M11" s="335">
        <f t="shared" si="2"/>
        <v>993592.05</v>
      </c>
      <c r="N11" s="335">
        <f t="shared" si="4"/>
        <v>1092951.2550000001</v>
      </c>
      <c r="O11" s="335">
        <f t="shared" si="4"/>
        <v>1202246.3805000002</v>
      </c>
      <c r="P11" s="335">
        <f t="shared" si="4"/>
        <v>1322471.0185500002</v>
      </c>
      <c r="Q11" s="335">
        <f t="shared" si="4"/>
        <v>1454718.1204050002</v>
      </c>
      <c r="R11" s="335">
        <f t="shared" si="4"/>
        <v>1600189.9324455003</v>
      </c>
      <c r="S11" s="335">
        <f t="shared" si="4"/>
        <v>1760208.9256900502</v>
      </c>
      <c r="T11" s="335">
        <f t="shared" si="4"/>
        <v>1936229.8182590553</v>
      </c>
      <c r="U11" s="335">
        <f t="shared" si="4"/>
        <v>2129852.8000849606</v>
      </c>
      <c r="V11" s="335">
        <f t="shared" si="4"/>
        <v>2342838.0800934569</v>
      </c>
      <c r="W11" s="335">
        <f t="shared" si="4"/>
        <v>2577121.8881028024</v>
      </c>
      <c r="X11" s="335">
        <f t="shared" si="4"/>
        <v>2834834.0769130825</v>
      </c>
      <c r="Y11" s="335">
        <f t="shared" si="4"/>
        <v>3118317.4846043908</v>
      </c>
      <c r="Z11" s="335">
        <f t="shared" si="4"/>
        <v>3430149.2330648298</v>
      </c>
      <c r="AA11" s="335">
        <f t="shared" si="4"/>
        <v>3773164.1563713127</v>
      </c>
      <c r="AB11" s="335">
        <f t="shared" si="4"/>
        <v>4150480.572008444</v>
      </c>
      <c r="AC11" s="335">
        <f t="shared" si="4"/>
        <v>4565528.6292092884</v>
      </c>
      <c r="AD11" s="335">
        <f t="shared" si="4"/>
        <v>5022081.4921302171</v>
      </c>
    </row>
    <row r="12" spans="1:31" x14ac:dyDescent="0.2">
      <c r="A12" s="322">
        <v>6</v>
      </c>
      <c r="B12" s="322"/>
      <c r="C12" s="322" t="str">
        <f t="shared" si="0"/>
        <v>культура</v>
      </c>
      <c r="D12" s="335">
        <f>'[2]Плата населения'!C8*0.001</f>
        <v>71800</v>
      </c>
      <c r="E12" s="335">
        <f>'[2]Плата населения'!D8*0.001</f>
        <v>83600</v>
      </c>
      <c r="F12" s="335">
        <f>'[2]Плата населения'!E8*0.001</f>
        <v>120700</v>
      </c>
      <c r="G12" s="335">
        <f>'[2]Плата населения'!F8*0.001</f>
        <v>136300</v>
      </c>
      <c r="H12" s="335">
        <f>'[2]Плата населения'!G8*0.001</f>
        <v>150900</v>
      </c>
      <c r="I12" s="335">
        <f>'[2]Плата населения'!H8*0.001</f>
        <v>229400</v>
      </c>
      <c r="J12" s="335">
        <f>'[2]Плата населения'!I8*0.001</f>
        <v>252500</v>
      </c>
      <c r="K12" s="335">
        <f>'[2]Плата населения'!J8*0.001</f>
        <v>277200</v>
      </c>
      <c r="L12" s="335">
        <f>'[2]Плата населения'!K8*0.001</f>
        <v>303534</v>
      </c>
      <c r="M12" s="335">
        <f t="shared" si="2"/>
        <v>333887.40000000002</v>
      </c>
      <c r="N12" s="335">
        <f t="shared" si="4"/>
        <v>367276.14</v>
      </c>
      <c r="O12" s="335">
        <f t="shared" si="4"/>
        <v>404003.75400000002</v>
      </c>
      <c r="P12" s="335">
        <f t="shared" si="4"/>
        <v>444404.12940000003</v>
      </c>
      <c r="Q12" s="335">
        <f t="shared" si="4"/>
        <v>488844.54234000004</v>
      </c>
      <c r="R12" s="335">
        <f t="shared" si="4"/>
        <v>537728.99657399999</v>
      </c>
      <c r="S12" s="335">
        <f t="shared" si="4"/>
        <v>591501.89623139997</v>
      </c>
      <c r="T12" s="335">
        <f t="shared" si="4"/>
        <v>650652.08585454</v>
      </c>
      <c r="U12" s="335">
        <f t="shared" si="4"/>
        <v>715717.29443999403</v>
      </c>
      <c r="V12" s="335">
        <f t="shared" si="4"/>
        <v>787289.02388399339</v>
      </c>
      <c r="W12" s="335">
        <f t="shared" si="4"/>
        <v>866017.92627239274</v>
      </c>
      <c r="X12" s="335">
        <f t="shared" si="4"/>
        <v>952619.71889963199</v>
      </c>
      <c r="Y12" s="335">
        <f t="shared" si="4"/>
        <v>1047881.6907895952</v>
      </c>
      <c r="Z12" s="335">
        <f t="shared" si="4"/>
        <v>1152669.8598685549</v>
      </c>
      <c r="AA12" s="335">
        <f t="shared" si="4"/>
        <v>1267936.8458554104</v>
      </c>
      <c r="AB12" s="335">
        <f t="shared" si="4"/>
        <v>1394730.5304409515</v>
      </c>
      <c r="AC12" s="335">
        <f t="shared" si="4"/>
        <v>1534203.5834850466</v>
      </c>
      <c r="AD12" s="335">
        <f t="shared" si="4"/>
        <v>1687623.9418335513</v>
      </c>
    </row>
    <row r="13" spans="1:31" x14ac:dyDescent="0.2">
      <c r="A13" s="322">
        <v>7</v>
      </c>
      <c r="B13" s="322"/>
      <c r="C13" s="322" t="str">
        <f t="shared" si="0"/>
        <v>физическая культура</v>
      </c>
      <c r="D13" s="335">
        <f>'[2]Плата населения'!C9*0.001</f>
        <v>14800</v>
      </c>
      <c r="E13" s="335">
        <f>'[2]Плата населения'!D9*0.001</f>
        <v>16000</v>
      </c>
      <c r="F13" s="335">
        <f>'[2]Плата населения'!E9*0.001</f>
        <v>23000</v>
      </c>
      <c r="G13" s="335">
        <f>'[2]Плата населения'!F9*0.001</f>
        <v>27100</v>
      </c>
      <c r="H13" s="335">
        <f>'[2]Плата населения'!G9*0.001</f>
        <v>32100</v>
      </c>
      <c r="I13" s="335">
        <f>'[2]Плата населения'!H9*0.001</f>
        <v>35800</v>
      </c>
      <c r="J13" s="335">
        <f>'[2]Плата населения'!I9*0.001</f>
        <v>62000</v>
      </c>
      <c r="K13" s="335">
        <f>'[2]Плата населения'!J9*0.001</f>
        <v>67400</v>
      </c>
      <c r="L13" s="335">
        <f>'[2]Плата населения'!K9*0.001</f>
        <v>73803</v>
      </c>
      <c r="M13" s="335">
        <f t="shared" si="2"/>
        <v>81183.3</v>
      </c>
      <c r="N13" s="335">
        <f t="shared" si="4"/>
        <v>89301.63</v>
      </c>
      <c r="O13" s="335">
        <f t="shared" si="4"/>
        <v>98231.793000000005</v>
      </c>
      <c r="P13" s="335">
        <f t="shared" si="4"/>
        <v>108054.97230000001</v>
      </c>
      <c r="Q13" s="335">
        <f t="shared" si="4"/>
        <v>118860.46953</v>
      </c>
      <c r="R13" s="335">
        <f t="shared" si="4"/>
        <v>130746.516483</v>
      </c>
      <c r="S13" s="335">
        <f t="shared" si="4"/>
        <v>143821.16813130002</v>
      </c>
      <c r="T13" s="335">
        <f t="shared" si="4"/>
        <v>158203.28494443002</v>
      </c>
      <c r="U13" s="335">
        <f t="shared" si="4"/>
        <v>174023.61343887303</v>
      </c>
      <c r="V13" s="335">
        <f t="shared" si="4"/>
        <v>191425.97478276034</v>
      </c>
      <c r="W13" s="335">
        <f t="shared" si="4"/>
        <v>210568.57226103637</v>
      </c>
      <c r="X13" s="335">
        <f t="shared" si="4"/>
        <v>231625.42948714001</v>
      </c>
      <c r="Y13" s="335">
        <f t="shared" si="4"/>
        <v>254787.972435854</v>
      </c>
      <c r="Z13" s="335">
        <f t="shared" si="4"/>
        <v>280266.76967943937</v>
      </c>
      <c r="AA13" s="335">
        <f t="shared" si="4"/>
        <v>308293.44664738333</v>
      </c>
      <c r="AB13" s="335">
        <f t="shared" si="4"/>
        <v>339122.79131212167</v>
      </c>
      <c r="AC13" s="335">
        <f t="shared" si="4"/>
        <v>373035.07044333383</v>
      </c>
      <c r="AD13" s="335">
        <f t="shared" si="4"/>
        <v>410338.57748766721</v>
      </c>
    </row>
    <row r="14" spans="1:31" x14ac:dyDescent="0.2">
      <c r="D14" s="178"/>
      <c r="E14" s="178"/>
      <c r="F14" s="178"/>
      <c r="G14" s="178"/>
      <c r="H14" s="178"/>
      <c r="I14" s="178"/>
      <c r="J14" s="178"/>
      <c r="K14" s="178"/>
      <c r="L14" s="178"/>
      <c r="M14" s="281"/>
      <c r="N14" s="178"/>
      <c r="O14" s="178"/>
      <c r="P14" s="178"/>
      <c r="Q14" s="178"/>
      <c r="R14" s="178"/>
      <c r="S14" s="178"/>
      <c r="T14" s="178"/>
      <c r="U14" s="178"/>
      <c r="V14" s="178"/>
      <c r="W14" s="178"/>
    </row>
    <row r="15" spans="1:31" x14ac:dyDescent="0.2">
      <c r="D15" s="211"/>
      <c r="E15" s="209"/>
      <c r="F15" s="178"/>
      <c r="G15" s="178"/>
      <c r="H15" s="178"/>
      <c r="I15" s="178"/>
      <c r="J15" s="178"/>
      <c r="K15" s="178"/>
      <c r="L15" s="178"/>
      <c r="M15" s="281"/>
      <c r="N15" s="178" t="s">
        <v>126</v>
      </c>
      <c r="O15" s="312">
        <v>0.1</v>
      </c>
      <c r="P15" s="178"/>
      <c r="Q15" s="178"/>
      <c r="R15" s="178"/>
      <c r="S15" s="178"/>
      <c r="T15" s="178"/>
      <c r="U15" s="178"/>
      <c r="V15" s="178"/>
      <c r="W15" s="178"/>
    </row>
    <row r="16" spans="1:31" x14ac:dyDescent="0.2">
      <c r="A16" s="322"/>
      <c r="B16" s="592" t="s">
        <v>318</v>
      </c>
      <c r="C16" s="322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22"/>
      <c r="Y16" s="322"/>
      <c r="Z16" s="322"/>
      <c r="AA16" s="322"/>
      <c r="AB16" s="322"/>
      <c r="AC16" s="322"/>
      <c r="AD16" s="322"/>
    </row>
    <row r="17" spans="1:31" x14ac:dyDescent="0.2">
      <c r="A17" s="322"/>
      <c r="B17" s="322"/>
      <c r="C17" s="332" t="s">
        <v>149</v>
      </c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</row>
    <row r="18" spans="1:31" x14ac:dyDescent="0.2">
      <c r="A18" s="333" t="s">
        <v>125</v>
      </c>
      <c r="B18" s="322"/>
      <c r="C18" s="332"/>
      <c r="D18" s="322">
        <v>2005</v>
      </c>
      <c r="E18" s="322">
        <v>2006</v>
      </c>
      <c r="F18" s="322">
        <v>2007</v>
      </c>
      <c r="G18" s="322">
        <v>2008</v>
      </c>
      <c r="H18" s="322">
        <v>2009</v>
      </c>
      <c r="I18" s="322">
        <v>2010</v>
      </c>
      <c r="J18" s="322">
        <v>2011</v>
      </c>
      <c r="K18" s="322">
        <v>2012</v>
      </c>
      <c r="L18" s="322">
        <v>2013</v>
      </c>
      <c r="M18" s="322">
        <v>2014</v>
      </c>
      <c r="N18" s="322">
        <v>2015</v>
      </c>
      <c r="O18" s="322">
        <v>2016</v>
      </c>
      <c r="P18" s="322">
        <v>2017</v>
      </c>
      <c r="Q18" s="322">
        <v>2018</v>
      </c>
      <c r="R18" s="322">
        <v>2019</v>
      </c>
      <c r="S18" s="322">
        <v>2020</v>
      </c>
      <c r="T18" s="322">
        <v>2021</v>
      </c>
      <c r="U18" s="322">
        <v>2022</v>
      </c>
      <c r="V18" s="322">
        <v>2023</v>
      </c>
      <c r="W18" s="322">
        <v>2024</v>
      </c>
      <c r="X18" s="322">
        <v>2025</v>
      </c>
      <c r="Y18" s="322">
        <v>2026</v>
      </c>
      <c r="Z18" s="322">
        <v>2027</v>
      </c>
      <c r="AA18" s="322">
        <v>2028</v>
      </c>
      <c r="AB18" s="322">
        <v>2029</v>
      </c>
      <c r="AC18" s="322">
        <v>2030</v>
      </c>
      <c r="AD18" s="322">
        <v>2031</v>
      </c>
    </row>
    <row r="19" spans="1:31" x14ac:dyDescent="0.2">
      <c r="A19" s="322"/>
      <c r="B19" s="322"/>
      <c r="C19" s="332"/>
      <c r="D19" s="322"/>
      <c r="E19" s="322">
        <v>1</v>
      </c>
      <c r="F19" s="322">
        <v>2</v>
      </c>
      <c r="G19" s="322">
        <v>3</v>
      </c>
      <c r="H19" s="322">
        <v>4</v>
      </c>
      <c r="I19" s="322">
        <v>5</v>
      </c>
      <c r="J19" s="322">
        <v>6</v>
      </c>
      <c r="K19" s="322">
        <v>7</v>
      </c>
      <c r="L19" s="322">
        <v>8</v>
      </c>
      <c r="M19" s="322">
        <v>9</v>
      </c>
      <c r="N19" s="322">
        <v>10</v>
      </c>
      <c r="O19" s="322">
        <v>11</v>
      </c>
      <c r="P19" s="322">
        <v>12</v>
      </c>
      <c r="Q19" s="322">
        <v>13</v>
      </c>
      <c r="R19" s="322">
        <v>14</v>
      </c>
      <c r="S19" s="322">
        <v>15</v>
      </c>
      <c r="T19" s="322">
        <v>16</v>
      </c>
      <c r="U19" s="322">
        <v>17</v>
      </c>
      <c r="V19" s="322">
        <v>18</v>
      </c>
      <c r="W19" s="322">
        <v>19</v>
      </c>
      <c r="X19" s="322">
        <v>20</v>
      </c>
      <c r="Y19" s="322">
        <v>21</v>
      </c>
      <c r="Z19" s="322">
        <v>22</v>
      </c>
      <c r="AA19" s="322">
        <v>23</v>
      </c>
      <c r="AB19" s="322">
        <v>24</v>
      </c>
      <c r="AC19" s="322">
        <v>25</v>
      </c>
      <c r="AD19" s="322">
        <v>26</v>
      </c>
    </row>
    <row r="20" spans="1:31" x14ac:dyDescent="0.2">
      <c r="A20" s="322">
        <v>1</v>
      </c>
      <c r="B20" s="322"/>
      <c r="C20" s="322" t="s">
        <v>4</v>
      </c>
      <c r="D20" s="334">
        <f>[2]Мощности!D24</f>
        <v>92857</v>
      </c>
      <c r="E20" s="334">
        <f>[2]Мощности!E24</f>
        <v>133673</v>
      </c>
      <c r="F20" s="334">
        <f>[2]Мощности!F24</f>
        <v>175310</v>
      </c>
      <c r="G20" s="334">
        <f>[2]Мощности!G24</f>
        <v>194042</v>
      </c>
      <c r="H20" s="334">
        <f>[2]Мощности!H24</f>
        <v>189539</v>
      </c>
      <c r="I20" s="334">
        <f>[2]Мощности!I24</f>
        <v>198002</v>
      </c>
      <c r="J20" s="334">
        <f>[2]Мощности!J24</f>
        <v>174200</v>
      </c>
      <c r="K20" s="334">
        <f>[2]Мощности!K24</f>
        <v>215500</v>
      </c>
      <c r="L20" s="334">
        <f>[2]Мощности!L24</f>
        <v>178300</v>
      </c>
      <c r="M20" s="331">
        <f>INDEX([1]!VvodNewMosh,$A20,M$19)</f>
        <v>148814</v>
      </c>
      <c r="N20" s="331">
        <f>INDEX([1]!VvodNewMosh,$A20,N$19)</f>
        <v>185678</v>
      </c>
      <c r="O20" s="331">
        <f>INDEX([1]!VvodNewMosh,$A20,O$19)</f>
        <v>197904</v>
      </c>
      <c r="P20" s="331">
        <f>INDEX([1]!VvodNewMosh,$A20,P$19)</f>
        <v>199377</v>
      </c>
      <c r="Q20" s="331">
        <f>INDEX([1]!VvodNewMosh,$A20,Q$19)</f>
        <v>203329</v>
      </c>
      <c r="R20" s="331">
        <f>INDEX([1]!VvodNewMosh,$A20,R$19)</f>
        <v>196676</v>
      </c>
      <c r="S20" s="331">
        <f>INDEX([1]!VvodNewMosh,$A20,S$19)</f>
        <v>145182</v>
      </c>
      <c r="T20" s="331">
        <f>INDEX([1]!VvodNewMosh,$A20,T$19)</f>
        <v>147113</v>
      </c>
      <c r="U20" s="331">
        <f>INDEX([1]!VvodNewMosh,$A20,U$19)</f>
        <v>145310</v>
      </c>
      <c r="V20" s="331">
        <f>INDEX([1]!VvodNewMosh,$A20,V$19)</f>
        <v>148995</v>
      </c>
      <c r="W20" s="331">
        <f>INDEX([1]!VvodNewMosh,$A20,W$19)</f>
        <v>151366</v>
      </c>
      <c r="X20" s="331">
        <f>INDEX([1]!VvodNewMosh,$A20,X$19)</f>
        <v>151501</v>
      </c>
      <c r="Y20" s="331">
        <f>INDEX([1]!VvodNewMosh,$A20,Y$19)</f>
        <v>152264</v>
      </c>
      <c r="Z20" s="331">
        <f>INDEX([1]!VvodNewMosh,$A20,Z$19)</f>
        <v>153958</v>
      </c>
      <c r="AA20" s="331">
        <f>INDEX([1]!VvodNewMosh,$A20,AA$19)</f>
        <v>155146</v>
      </c>
      <c r="AB20" s="331">
        <f>INDEX([1]!VvodNewMosh,$A20,AB$19)</f>
        <v>156434</v>
      </c>
      <c r="AC20" s="331">
        <f>INDEX([1]!VvodNewMosh,$A20,AC$19)</f>
        <v>156850</v>
      </c>
      <c r="AD20" s="331">
        <f>INDEX([1]!VvodNewMosh,$A20,AD$19)</f>
        <v>158220</v>
      </c>
    </row>
    <row r="21" spans="1:31" x14ac:dyDescent="0.2">
      <c r="A21" s="322">
        <v>2</v>
      </c>
      <c r="B21" s="322"/>
      <c r="C21" s="322" t="s">
        <v>55</v>
      </c>
      <c r="D21" s="334">
        <f>[2]Мощности!D25</f>
        <v>50</v>
      </c>
      <c r="E21" s="334">
        <f>[2]Мощности!E25</f>
        <v>3000</v>
      </c>
      <c r="F21" s="334">
        <f>[2]Мощности!F25</f>
        <v>2000</v>
      </c>
      <c r="G21" s="334">
        <f>[2]Мощности!G25</f>
        <v>1000</v>
      </c>
      <c r="H21" s="334">
        <f>[2]Мощности!H25</f>
        <v>800</v>
      </c>
      <c r="I21" s="334">
        <f>[2]Мощности!I25</f>
        <v>800</v>
      </c>
      <c r="J21" s="334">
        <f>[2]Мощности!J25</f>
        <v>1200</v>
      </c>
      <c r="K21" s="334">
        <f>[2]Мощности!K25</f>
        <v>2200</v>
      </c>
      <c r="L21" s="334">
        <f>[2]Мощности!L25</f>
        <v>3200</v>
      </c>
      <c r="M21" s="331">
        <f>INDEX([1]!VvodNewMosh,$A21,M$19)</f>
        <v>1289</v>
      </c>
      <c r="N21" s="331">
        <f>INDEX([1]!VvodNewMosh,$A21,N$19)</f>
        <v>1448</v>
      </c>
      <c r="O21" s="331">
        <f>INDEX([1]!VvodNewMosh,$A21,O$19)</f>
        <v>1340</v>
      </c>
      <c r="P21" s="331">
        <f>INDEX([1]!VvodNewMosh,$A21,P$19)</f>
        <v>1212</v>
      </c>
      <c r="Q21" s="331">
        <f>INDEX([1]!VvodNewMosh,$A21,Q$19)</f>
        <v>47</v>
      </c>
      <c r="R21" s="331">
        <f>INDEX([1]!VvodNewMosh,$A21,R$19)</f>
        <v>373</v>
      </c>
      <c r="S21" s="331">
        <f>INDEX([1]!VvodNewMosh,$A21,S$19)</f>
        <v>408</v>
      </c>
      <c r="T21" s="331">
        <f>INDEX([1]!VvodNewMosh,$A21,T$19)</f>
        <v>393</v>
      </c>
      <c r="U21" s="331">
        <f>INDEX([1]!VvodNewMosh,$A21,U$19)</f>
        <v>420</v>
      </c>
      <c r="V21" s="331">
        <f>INDEX([1]!VvodNewMosh,$A21,V$19)</f>
        <v>416</v>
      </c>
      <c r="W21" s="331">
        <f>INDEX([1]!VvodNewMosh,$A21,W$19)</f>
        <v>461</v>
      </c>
      <c r="X21" s="331">
        <f>INDEX([1]!VvodNewMosh,$A21,X$19)</f>
        <v>513</v>
      </c>
      <c r="Y21" s="331">
        <f>INDEX([1]!VvodNewMosh,$A21,Y$19)</f>
        <v>378</v>
      </c>
      <c r="Z21" s="331">
        <f>INDEX([1]!VvodNewMosh,$A21,Z$19)</f>
        <v>117</v>
      </c>
      <c r="AA21" s="331">
        <f>INDEX([1]!VvodNewMosh,$A21,AA$19)</f>
        <v>148</v>
      </c>
      <c r="AB21" s="331">
        <f>INDEX([1]!VvodNewMosh,$A21,AB$19)</f>
        <v>224</v>
      </c>
      <c r="AC21" s="331">
        <f>INDEX([1]!VvodNewMosh,$A21,AC$19)</f>
        <v>284</v>
      </c>
      <c r="AD21" s="331">
        <f>INDEX([1]!VvodNewMosh,$A21,AD$19)</f>
        <v>175</v>
      </c>
    </row>
    <row r="22" spans="1:31" x14ac:dyDescent="0.2">
      <c r="A22" s="322">
        <v>3</v>
      </c>
      <c r="B22" s="322"/>
      <c r="C22" s="322" t="s">
        <v>56</v>
      </c>
      <c r="D22" s="334">
        <f>[2]Мощности!D26</f>
        <v>350</v>
      </c>
      <c r="E22" s="334">
        <f>[2]Мощности!E26</f>
        <v>1850</v>
      </c>
      <c r="F22" s="334">
        <f>[2]Мощности!F26</f>
        <v>1847</v>
      </c>
      <c r="G22" s="334">
        <f>[2]Мощности!G26</f>
        <v>440</v>
      </c>
      <c r="H22" s="334">
        <f>[2]Мощности!H26</f>
        <v>1822</v>
      </c>
      <c r="I22" s="334">
        <f>[2]Мощности!I26</f>
        <v>1200</v>
      </c>
      <c r="J22" s="334">
        <f>[2]Мощности!J26</f>
        <v>1000</v>
      </c>
      <c r="K22" s="334">
        <f>[2]Мощности!K26</f>
        <v>700</v>
      </c>
      <c r="L22" s="334">
        <f>[2]Мощности!L26</f>
        <v>1000</v>
      </c>
      <c r="M22" s="331">
        <f>INDEX([1]!VvodNewMosh,$A22,M$19)</f>
        <v>3850</v>
      </c>
      <c r="N22" s="331">
        <f>INDEX([1]!VvodNewMosh,$A22,N$19)</f>
        <v>2840</v>
      </c>
      <c r="O22" s="331">
        <f>INDEX([1]!VvodNewMosh,$A22,O$19)</f>
        <v>2572</v>
      </c>
      <c r="P22" s="331">
        <f>INDEX([1]!VvodNewMosh,$A22,P$19)</f>
        <v>2482</v>
      </c>
      <c r="Q22" s="331">
        <f>INDEX([1]!VvodNewMosh,$A22,Q$19)</f>
        <v>2686</v>
      </c>
      <c r="R22" s="331">
        <f>INDEX([1]!VvodNewMosh,$A22,R$19)</f>
        <v>3049</v>
      </c>
      <c r="S22" s="331">
        <f>INDEX([1]!VvodNewMosh,$A22,S$19)</f>
        <v>2296</v>
      </c>
      <c r="T22" s="331">
        <f>INDEX([1]!VvodNewMosh,$A22,T$19)</f>
        <v>2276</v>
      </c>
      <c r="U22" s="331">
        <f>INDEX([1]!VvodNewMosh,$A22,U$19)</f>
        <v>2250</v>
      </c>
      <c r="V22" s="331">
        <f>INDEX([1]!VvodNewMosh,$A22,V$19)</f>
        <v>2263</v>
      </c>
      <c r="W22" s="331">
        <f>INDEX([1]!VvodNewMosh,$A22,W$19)</f>
        <v>2199</v>
      </c>
      <c r="X22" s="331">
        <f>INDEX([1]!VvodNewMosh,$A22,X$19)</f>
        <v>1997</v>
      </c>
      <c r="Y22" s="331">
        <f>INDEX([1]!VvodNewMosh,$A22,Y$19)</f>
        <v>1723</v>
      </c>
      <c r="Z22" s="331">
        <f>INDEX([1]!VvodNewMosh,$A22,Z$19)</f>
        <v>1756</v>
      </c>
      <c r="AA22" s="331">
        <f>INDEX([1]!VvodNewMosh,$A22,AA$19)</f>
        <v>1798</v>
      </c>
      <c r="AB22" s="331">
        <f>INDEX([1]!VvodNewMosh,$A22,AB$19)</f>
        <v>1820</v>
      </c>
      <c r="AC22" s="331">
        <f>INDEX([1]!VvodNewMosh,$A22,AC$19)</f>
        <v>1856</v>
      </c>
      <c r="AD22" s="331">
        <f>INDEX([1]!VvodNewMosh,$A22,AD$19)</f>
        <v>1936</v>
      </c>
      <c r="AE22" t="s">
        <v>156</v>
      </c>
    </row>
    <row r="23" spans="1:31" x14ac:dyDescent="0.2">
      <c r="A23" s="322">
        <v>4</v>
      </c>
      <c r="B23" s="322"/>
      <c r="C23" s="322" t="s">
        <v>57</v>
      </c>
      <c r="D23" s="334">
        <f>[2]Мощности!D27</f>
        <v>50</v>
      </c>
      <c r="E23" s="334">
        <f>[2]Мощности!E27</f>
        <v>100</v>
      </c>
      <c r="F23" s="334">
        <f>[2]Мощности!F27</f>
        <v>90</v>
      </c>
      <c r="G23" s="334">
        <f>[2]Мощности!G27</f>
        <v>80</v>
      </c>
      <c r="H23" s="334">
        <f>[2]Мощности!H27</f>
        <v>150</v>
      </c>
      <c r="I23" s="334">
        <f>[2]Мощности!I27</f>
        <v>200</v>
      </c>
      <c r="J23" s="334">
        <f>[2]Мощности!J27</f>
        <v>500</v>
      </c>
      <c r="K23" s="334">
        <f>[2]Мощности!K27</f>
        <v>1200</v>
      </c>
      <c r="L23" s="334">
        <f>[2]Мощности!L27</f>
        <v>1100</v>
      </c>
      <c r="M23" s="331">
        <f>INDEX([1]!VvodNewMosh,$A23,M$19)</f>
        <v>1131</v>
      </c>
      <c r="N23" s="331">
        <f>INDEX([1]!VvodNewMosh,$A23,N$19)</f>
        <v>344</v>
      </c>
      <c r="O23" s="331">
        <f>INDEX([1]!VvodNewMosh,$A23,O$19)</f>
        <v>855</v>
      </c>
      <c r="P23" s="331">
        <f>INDEX([1]!VvodNewMosh,$A23,P$19)</f>
        <v>508</v>
      </c>
      <c r="Q23" s="331">
        <f>INDEX([1]!VvodNewMosh,$A23,Q$19)</f>
        <v>468</v>
      </c>
      <c r="R23" s="331">
        <f>INDEX([1]!VvodNewMosh,$A23,R$19)</f>
        <v>936</v>
      </c>
      <c r="S23" s="331">
        <f>INDEX([1]!VvodNewMosh,$A23,S$19)</f>
        <v>443</v>
      </c>
      <c r="T23" s="331">
        <f>INDEX([1]!VvodNewMosh,$A23,T$19)</f>
        <v>499</v>
      </c>
      <c r="U23" s="331">
        <f>INDEX([1]!VvodNewMosh,$A23,U$19)</f>
        <v>536</v>
      </c>
      <c r="V23" s="331">
        <f>INDEX([1]!VvodNewMosh,$A23,V$19)</f>
        <v>574</v>
      </c>
      <c r="W23" s="331">
        <f>INDEX([1]!VvodNewMosh,$A23,W$19)</f>
        <v>602</v>
      </c>
      <c r="X23" s="331">
        <f>INDEX([1]!VvodNewMosh,$A23,X$19)</f>
        <v>617</v>
      </c>
      <c r="Y23" s="331">
        <f>INDEX([1]!VvodNewMosh,$A23,Y$19)</f>
        <v>630</v>
      </c>
      <c r="Z23" s="331">
        <f>INDEX([1]!VvodNewMosh,$A23,Z$19)</f>
        <v>649</v>
      </c>
      <c r="AA23" s="331">
        <f>INDEX([1]!VvodNewMosh,$A23,AA$19)</f>
        <v>664</v>
      </c>
      <c r="AB23" s="331">
        <f>INDEX([1]!VvodNewMosh,$A23,AB$19)</f>
        <v>676</v>
      </c>
      <c r="AC23" s="331">
        <f>INDEX([1]!VvodNewMosh,$A23,AC$19)</f>
        <v>689</v>
      </c>
      <c r="AD23" s="331">
        <f>INDEX([1]!VvodNewMosh,$A23,AD$19)</f>
        <v>661</v>
      </c>
    </row>
    <row r="24" spans="1:31" x14ac:dyDescent="0.2">
      <c r="A24" s="322">
        <v>5</v>
      </c>
      <c r="B24" s="322"/>
      <c r="C24" s="322" t="s">
        <v>21</v>
      </c>
      <c r="D24" s="334">
        <f>[2]Мощности!D28</f>
        <v>0</v>
      </c>
      <c r="E24" s="334">
        <f>[2]Мощности!E28</f>
        <v>1500</v>
      </c>
      <c r="F24" s="334">
        <f>[2]Мощности!F28</f>
        <v>1500</v>
      </c>
      <c r="G24" s="334">
        <f>[2]Мощности!G28</f>
        <v>1000</v>
      </c>
      <c r="H24" s="334">
        <f>[2]Мощности!H28</f>
        <v>700</v>
      </c>
      <c r="I24" s="334">
        <f>[2]Мощности!I28</f>
        <v>1100</v>
      </c>
      <c r="J24" s="334">
        <f>[2]Мощности!J28</f>
        <v>100</v>
      </c>
      <c r="K24" s="334">
        <f>[2]Мощности!K28</f>
        <v>100</v>
      </c>
      <c r="L24" s="334">
        <f>[2]Мощности!L28</f>
        <v>110</v>
      </c>
      <c r="M24" s="331">
        <f>INDEX([1]!VvodNewMosh,$A24,M$19)</f>
        <v>1903</v>
      </c>
      <c r="N24" s="331">
        <f>INDEX([1]!VvodNewMosh,$A24,N$19)</f>
        <v>898</v>
      </c>
      <c r="O24" s="331">
        <f>INDEX([1]!VvodNewMosh,$A24,O$19)</f>
        <v>1108</v>
      </c>
      <c r="P24" s="331">
        <f>INDEX([1]!VvodNewMosh,$A24,P$19)</f>
        <v>1170</v>
      </c>
      <c r="Q24" s="331">
        <f>INDEX([1]!VvodNewMosh,$A24,Q$19)</f>
        <v>0</v>
      </c>
      <c r="R24" s="331">
        <f>INDEX([1]!VvodNewMosh,$A24,R$19)</f>
        <v>534</v>
      </c>
      <c r="S24" s="331">
        <f>INDEX([1]!VvodNewMosh,$A24,S$19)</f>
        <v>747</v>
      </c>
      <c r="T24" s="331">
        <f>INDEX([1]!VvodNewMosh,$A24,T$19)</f>
        <v>906</v>
      </c>
      <c r="U24" s="331">
        <f>INDEX([1]!VvodNewMosh,$A24,U$19)</f>
        <v>990</v>
      </c>
      <c r="V24" s="331">
        <f>INDEX([1]!VvodNewMosh,$A24,V$19)</f>
        <v>1066</v>
      </c>
      <c r="W24" s="331">
        <f>INDEX([1]!VvodNewMosh,$A24,W$19)</f>
        <v>1113</v>
      </c>
      <c r="X24" s="331">
        <f>INDEX([1]!VvodNewMosh,$A24,X$19)</f>
        <v>1130</v>
      </c>
      <c r="Y24" s="331">
        <f>INDEX([1]!VvodNewMosh,$A24,Y$19)</f>
        <v>1159</v>
      </c>
      <c r="Z24" s="331">
        <f>INDEX([1]!VvodNewMosh,$A24,Z$19)</f>
        <v>1208</v>
      </c>
      <c r="AA24" s="331">
        <f>INDEX([1]!VvodNewMosh,$A24,AA$19)</f>
        <v>1244</v>
      </c>
      <c r="AB24" s="331">
        <f>INDEX([1]!VvodNewMosh,$A24,AB$19)</f>
        <v>1281</v>
      </c>
      <c r="AC24" s="331">
        <f>INDEX([1]!VvodNewMosh,$A24,AC$19)</f>
        <v>1316</v>
      </c>
      <c r="AD24" s="331">
        <f>INDEX([1]!VvodNewMosh,$A24,AD$19)</f>
        <v>1245</v>
      </c>
    </row>
    <row r="25" spans="1:31" x14ac:dyDescent="0.2">
      <c r="A25" s="322">
        <v>6</v>
      </c>
      <c r="B25" s="322"/>
      <c r="C25" s="322" t="s">
        <v>6</v>
      </c>
      <c r="D25" s="334">
        <f>[2]Мощности!D29</f>
        <v>2000</v>
      </c>
      <c r="E25" s="334">
        <f>[2]Мощности!E29</f>
        <v>4000</v>
      </c>
      <c r="F25" s="334">
        <f>[2]Мощности!F29</f>
        <v>3500</v>
      </c>
      <c r="G25" s="334">
        <f>[2]Мощности!G29</f>
        <v>2000</v>
      </c>
      <c r="H25" s="334">
        <f>[2]Мощности!H29</f>
        <v>3500</v>
      </c>
      <c r="I25" s="334">
        <f>[2]Мощности!I29</f>
        <v>6925</v>
      </c>
      <c r="J25" s="334">
        <f>[2]Мощности!J29</f>
        <v>7271.25</v>
      </c>
      <c r="K25" s="334">
        <f>[2]Мощности!K29</f>
        <v>7634.8125</v>
      </c>
      <c r="L25" s="334">
        <f>[2]Мощности!L29</f>
        <v>5000</v>
      </c>
      <c r="M25" s="331">
        <f>INDEX([1]!VvodNewMosh,$A25,M$19)</f>
        <v>3299</v>
      </c>
      <c r="N25" s="331">
        <f>INDEX([1]!VvodNewMosh,$A25,N$19)</f>
        <v>11677</v>
      </c>
      <c r="O25" s="331">
        <f>INDEX([1]!VvodNewMosh,$A25,O$19)</f>
        <v>2780</v>
      </c>
      <c r="P25" s="331">
        <f>INDEX([1]!VvodNewMosh,$A25,P$19)</f>
        <v>3343</v>
      </c>
      <c r="Q25" s="331">
        <f>INDEX([1]!VvodNewMosh,$A25,Q$19)</f>
        <v>9073</v>
      </c>
      <c r="R25" s="331">
        <f>INDEX([1]!VvodNewMosh,$A25,R$19)</f>
        <v>3692</v>
      </c>
      <c r="S25" s="331">
        <f>INDEX([1]!VvodNewMosh,$A25,S$19)</f>
        <v>4414</v>
      </c>
      <c r="T25" s="331">
        <f>INDEX([1]!VvodNewMosh,$A25,T$19)</f>
        <v>4397</v>
      </c>
      <c r="U25" s="331">
        <f>INDEX([1]!VvodNewMosh,$A25,U$19)</f>
        <v>2661</v>
      </c>
      <c r="V25" s="331">
        <f>INDEX([1]!VvodNewMosh,$A25,V$19)</f>
        <v>4677</v>
      </c>
      <c r="W25" s="331">
        <f>INDEX([1]!VvodNewMosh,$A25,W$19)</f>
        <v>4753</v>
      </c>
      <c r="X25" s="331">
        <f>INDEX([1]!VvodNewMosh,$A25,X$19)</f>
        <v>2903</v>
      </c>
      <c r="Y25" s="331">
        <f>INDEX([1]!VvodNewMosh,$A25,Y$19)</f>
        <v>4881</v>
      </c>
      <c r="Z25" s="331">
        <f>INDEX([1]!VvodNewMosh,$A25,Z$19)</f>
        <v>4901</v>
      </c>
      <c r="AA25" s="331">
        <f>INDEX([1]!VvodNewMosh,$A25,AA$19)</f>
        <v>2976</v>
      </c>
      <c r="AB25" s="331">
        <f>INDEX([1]!VvodNewMosh,$A25,AB$19)</f>
        <v>4986</v>
      </c>
      <c r="AC25" s="331">
        <f>INDEX([1]!VvodNewMosh,$A25,AC$19)</f>
        <v>4972</v>
      </c>
      <c r="AD25" s="331">
        <f>INDEX([1]!VvodNewMosh,$A25,AD$19)</f>
        <v>2909</v>
      </c>
    </row>
    <row r="26" spans="1:31" x14ac:dyDescent="0.2">
      <c r="A26" s="322">
        <v>7</v>
      </c>
      <c r="B26" s="322"/>
      <c r="C26" s="322" t="s">
        <v>7</v>
      </c>
      <c r="D26" s="334">
        <f>[2]Мощности!D30</f>
        <v>15008</v>
      </c>
      <c r="E26" s="334">
        <f>[2]Мощности!E30</f>
        <v>4000</v>
      </c>
      <c r="F26" s="334">
        <f>[2]Мощности!F30</f>
        <v>263</v>
      </c>
      <c r="G26" s="334">
        <f>[2]Мощности!G30</f>
        <v>1159</v>
      </c>
      <c r="H26" s="334">
        <f>[2]Мощности!H30</f>
        <v>7578</v>
      </c>
      <c r="I26" s="334">
        <f>[2]Мощности!I30</f>
        <v>7890</v>
      </c>
      <c r="J26" s="334">
        <f>[2]Мощности!J30</f>
        <v>7319.5</v>
      </c>
      <c r="K26" s="334">
        <f>[2]Мощности!K30</f>
        <v>7685.4750000000058</v>
      </c>
      <c r="L26" s="334">
        <f>[2]Мощности!L30</f>
        <v>10000</v>
      </c>
      <c r="M26" s="331">
        <f>INDEX([1]!VvodNewMosh,$A26,M$19)</f>
        <v>5033</v>
      </c>
      <c r="N26" s="331">
        <f>INDEX([1]!VvodNewMosh,$A26,N$19)</f>
        <v>4873</v>
      </c>
      <c r="O26" s="331">
        <f>INDEX([1]!VvodNewMosh,$A26,O$19)</f>
        <v>4078</v>
      </c>
      <c r="P26" s="331">
        <f>INDEX([1]!VvodNewMosh,$A26,P$19)</f>
        <v>10926</v>
      </c>
      <c r="Q26" s="331">
        <f>INDEX([1]!VvodNewMosh,$A26,Q$19)</f>
        <v>2914</v>
      </c>
      <c r="R26" s="331">
        <f>INDEX([1]!VvodNewMosh,$A26,R$19)</f>
        <v>3364</v>
      </c>
      <c r="S26" s="331">
        <f>INDEX([1]!VvodNewMosh,$A26,S$19)</f>
        <v>2295</v>
      </c>
      <c r="T26" s="331">
        <f>INDEX([1]!VvodNewMosh,$A26,T$19)</f>
        <v>2452</v>
      </c>
      <c r="U26" s="331">
        <f>INDEX([1]!VvodNewMosh,$A26,U$19)</f>
        <v>5534</v>
      </c>
      <c r="V26" s="331">
        <f>INDEX([1]!VvodNewMosh,$A26,V$19)</f>
        <v>2446</v>
      </c>
      <c r="W26" s="331">
        <f>INDEX([1]!VvodNewMosh,$A26,W$19)</f>
        <v>2625</v>
      </c>
      <c r="X26" s="331">
        <f>INDEX([1]!VvodNewMosh,$A26,X$19)</f>
        <v>5856</v>
      </c>
      <c r="Y26" s="331">
        <f>INDEX([1]!VvodNewMosh,$A26,Y$19)</f>
        <v>2568</v>
      </c>
      <c r="Z26" s="331">
        <f>INDEX([1]!VvodNewMosh,$A26,Z$19)</f>
        <v>2693</v>
      </c>
      <c r="AA26" s="331">
        <f>INDEX([1]!VvodNewMosh,$A26,AA$19)</f>
        <v>5818</v>
      </c>
      <c r="AB26" s="331">
        <f>INDEX([1]!VvodNewMosh,$A26,AB$19)</f>
        <v>2610</v>
      </c>
      <c r="AC26" s="331">
        <f>INDEX([1]!VvodNewMosh,$A26,AC$19)</f>
        <v>2674</v>
      </c>
      <c r="AD26" s="331">
        <f>INDEX([1]!VvodNewMosh,$A26,AD$19)</f>
        <v>5540</v>
      </c>
    </row>
    <row r="27" spans="1:31" x14ac:dyDescent="0.2">
      <c r="A27" s="322"/>
      <c r="B27" s="322"/>
      <c r="C27" s="322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22"/>
      <c r="Y27" s="322"/>
      <c r="Z27" s="322"/>
      <c r="AA27" s="322"/>
      <c r="AB27" s="322"/>
      <c r="AC27" s="322"/>
      <c r="AD27" s="322"/>
    </row>
    <row r="28" spans="1:31" x14ac:dyDescent="0.2">
      <c r="A28" s="322"/>
      <c r="B28" s="322"/>
      <c r="C28" s="322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22"/>
      <c r="Y28" s="322"/>
      <c r="Z28" s="322"/>
      <c r="AA28" s="322"/>
      <c r="AB28" s="322"/>
      <c r="AC28" s="322"/>
      <c r="AD28" s="322"/>
    </row>
    <row r="29" spans="1:31" x14ac:dyDescent="0.2">
      <c r="D29" s="178"/>
      <c r="E29" s="178"/>
      <c r="F29" s="178"/>
      <c r="G29" s="178"/>
      <c r="H29" s="178"/>
      <c r="I29" s="178"/>
      <c r="J29" s="178"/>
      <c r="K29" s="178"/>
      <c r="L29" s="178"/>
      <c r="M29" s="281"/>
      <c r="N29" s="178"/>
      <c r="O29" s="178"/>
      <c r="P29" s="178"/>
      <c r="Q29" s="178"/>
      <c r="R29" s="178"/>
      <c r="S29" s="178"/>
      <c r="T29" s="178"/>
      <c r="U29" s="178"/>
      <c r="V29" s="178"/>
      <c r="W29" s="178"/>
    </row>
    <row r="30" spans="1:31" x14ac:dyDescent="0.2">
      <c r="C30" s="177" t="s">
        <v>150</v>
      </c>
    </row>
    <row r="31" spans="1:31" x14ac:dyDescent="0.2">
      <c r="A31" s="198" t="s">
        <v>129</v>
      </c>
      <c r="C31" s="177"/>
      <c r="D31">
        <v>2005</v>
      </c>
      <c r="E31">
        <v>2006</v>
      </c>
      <c r="F31">
        <v>2007</v>
      </c>
      <c r="G31">
        <v>2008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>
        <v>2021</v>
      </c>
      <c r="U31">
        <v>2022</v>
      </c>
      <c r="V31">
        <v>2023</v>
      </c>
      <c r="W31">
        <v>2024</v>
      </c>
      <c r="X31">
        <v>2025</v>
      </c>
      <c r="Y31">
        <v>2026</v>
      </c>
      <c r="Z31">
        <v>2027</v>
      </c>
      <c r="AA31">
        <v>2028</v>
      </c>
      <c r="AB31">
        <v>2029</v>
      </c>
      <c r="AC31">
        <v>2030</v>
      </c>
      <c r="AD31">
        <v>2031</v>
      </c>
    </row>
    <row r="32" spans="1:31" ht="13.5" thickBot="1" x14ac:dyDescent="0.25">
      <c r="C32" s="177"/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 s="278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1:31" s="112" customFormat="1" ht="13.5" thickBot="1" x14ac:dyDescent="0.25">
      <c r="A33" s="112">
        <v>1</v>
      </c>
      <c r="C33" t="s">
        <v>4</v>
      </c>
      <c r="D33" s="329">
        <f>INDEX([0]!ScenVvodGKHNaselen,Сценарии!$A$110,D32)</f>
        <v>45327</v>
      </c>
      <c r="E33" s="329">
        <f>INDEX([0]!ScenVvodGKHNaselen,Сценарии!$A$110,E32)</f>
        <v>57390</v>
      </c>
      <c r="F33" s="329">
        <f>INDEX([0]!ScenVvodGKHNaselen,Сценарии!$A$110,F32)</f>
        <v>64558</v>
      </c>
      <c r="G33" s="329">
        <f>INDEX([0]!ScenVvodGKHNaselen,Сценарии!$A$110,G32)</f>
        <v>79561</v>
      </c>
      <c r="H33" s="329">
        <f>INDEX([0]!ScenVvodGKHNaselen,Сценарии!$A$110,H32)</f>
        <v>76798</v>
      </c>
      <c r="I33" s="329">
        <f>INDEX([0]!ScenVvodGKHNaselen,Сценарии!$A$110,I32)</f>
        <v>102700</v>
      </c>
      <c r="J33" s="329">
        <f>INDEX([0]!ScenVvodGKHNaselen,Сценарии!$A$110,J32)</f>
        <v>87400</v>
      </c>
      <c r="K33" s="329">
        <f>INDEX([0]!ScenVvodGKHNaselen,Сценарии!$A$110,K32)</f>
        <v>111900</v>
      </c>
      <c r="L33" s="329">
        <f>INDEX([0]!ScenVvodGKHNaselen,Сценарии!$A$110,L32)</f>
        <v>155652.9</v>
      </c>
      <c r="M33" s="329">
        <f>INDEX([0]!ScenVvodGKHNaselen,Сценарии!$A$110,M32)</f>
        <v>79382.978999999992</v>
      </c>
      <c r="N33" s="329">
        <f>INDEX([0]!ScenVvodGKHNaselen,Сценарии!$A$110,N32)</f>
        <v>51598.936349999989</v>
      </c>
      <c r="O33" s="329">
        <f>INDEX([0]!ScenVvodGKHNaselen,Сценарии!$A$110,O32)</f>
        <v>41279.149079999996</v>
      </c>
      <c r="P33" s="329">
        <f>INDEX([0]!ScenVvodGKHNaselen,Сценарии!$A$110,P32)</f>
        <v>358705.31417405262</v>
      </c>
      <c r="Q33" s="329">
        <f>INDEX([0]!ScenVvodGKHNaselen,Сценарии!$A$110,Q32)</f>
        <v>230114.90481222825</v>
      </c>
      <c r="R33" s="329">
        <f>INDEX([0]!ScenVvodGKHNaselen,Сценарии!$A$110,R32)</f>
        <v>167921.29453377827</v>
      </c>
      <c r="S33" s="329">
        <f>INDEX([0]!ScenVvodGKHNaselen,Сценарии!$A$110,S32)</f>
        <v>78789.125851305231</v>
      </c>
      <c r="T33" s="329">
        <f>INDEX([0]!ScenVvodGKHNaselen,Сценарии!$A$110,T32)</f>
        <v>117986.89594891602</v>
      </c>
      <c r="U33" s="329">
        <f>INDEX([0]!ScenVvodGKHNaselen,Сценарии!$A$110,U32)</f>
        <v>74244.236342498218</v>
      </c>
      <c r="V33" s="329">
        <f>INDEX([0]!ScenVvodGKHNaselen,Сценарии!$A$110,V32)</f>
        <v>67361.501991412762</v>
      </c>
      <c r="W33" s="329">
        <f>INDEX([0]!ScenVvodGKHNaselen,Сценарии!$A$110,W32)</f>
        <v>61991.598042885198</v>
      </c>
      <c r="X33" s="329">
        <f>INDEX([0]!ScenVvodGKHNaselen,Сценарии!$A$110,X32)</f>
        <v>65341.762776644195</v>
      </c>
      <c r="Y33" s="329">
        <f>INDEX([0]!ScenVvodGKHNaselen,Сценарии!$A$110,Y32)</f>
        <v>94798.730112738034</v>
      </c>
      <c r="Z33" s="329">
        <f>INDEX([0]!ScenVvodGKHNaselen,Сценарии!$A$110,Z32)</f>
        <v>51566.968132905859</v>
      </c>
      <c r="AA33" s="329">
        <f>INDEX([0]!ScenVvodGKHNaselen,Сценарии!$A$110,AA32)</f>
        <v>95344.912840090255</v>
      </c>
      <c r="AB33" s="329">
        <f>INDEX([0]!ScenVvodGKHNaselen,Сценарии!$A$110,AB32)</f>
        <v>169766.79303483054</v>
      </c>
      <c r="AC33" s="329">
        <f>INDEX([0]!ScenVvodGKHNaselen,Сценарии!$A$110,AC32)</f>
        <v>0</v>
      </c>
      <c r="AD33" s="330" t="e">
        <f>INDEX([0]!ScenVvodGKHNaselen,Сценарии!$A$110,AF$6)</f>
        <v>#VALUE!</v>
      </c>
    </row>
    <row r="34" spans="1:31" ht="13.5" thickBot="1" x14ac:dyDescent="0.25">
      <c r="A34">
        <v>2</v>
      </c>
      <c r="C34" t="s">
        <v>18</v>
      </c>
      <c r="D34" s="329">
        <f>[1]рынок!F105</f>
        <v>50</v>
      </c>
      <c r="E34" s="329">
        <f>[1]рынок!G105</f>
        <v>50</v>
      </c>
      <c r="F34" s="329">
        <f>[1]рынок!H105</f>
        <v>50</v>
      </c>
      <c r="G34" s="329">
        <f>[1]рынок!I105</f>
        <v>50</v>
      </c>
      <c r="H34" s="329">
        <f>[1]рынок!J105</f>
        <v>50</v>
      </c>
      <c r="I34" s="329">
        <f>[1]рынок!K105</f>
        <v>50</v>
      </c>
      <c r="J34" s="329">
        <f>[1]рынок!L105</f>
        <v>50</v>
      </c>
      <c r="K34" s="329">
        <f>[1]рынок!M105</f>
        <v>50</v>
      </c>
      <c r="L34" s="329">
        <f>[1]рынок!N105</f>
        <v>50</v>
      </c>
      <c r="M34" s="329">
        <f>[1]рынок!O105</f>
        <v>50</v>
      </c>
      <c r="N34" s="329">
        <f>[1]рынок!P105</f>
        <v>50</v>
      </c>
      <c r="O34" s="329">
        <f>[1]рынок!Q105</f>
        <v>50</v>
      </c>
      <c r="P34" s="329">
        <f>[1]рынок!R105</f>
        <v>50</v>
      </c>
      <c r="Q34" s="329">
        <f>[1]рынок!S105</f>
        <v>23</v>
      </c>
      <c r="R34" s="329">
        <f>[1]рынок!T105</f>
        <v>93</v>
      </c>
      <c r="S34" s="329">
        <f>[1]рынок!U105</f>
        <v>148</v>
      </c>
      <c r="T34" s="329">
        <f>[1]рынок!V105</f>
        <v>88</v>
      </c>
      <c r="U34" s="329">
        <f>[1]рынок!W105</f>
        <v>115</v>
      </c>
      <c r="V34" s="329">
        <f>[1]рынок!X105</f>
        <v>94</v>
      </c>
      <c r="W34" s="329">
        <f>[1]рынок!Y105</f>
        <v>142</v>
      </c>
      <c r="X34" s="329">
        <f>[1]рынок!Z105</f>
        <v>148</v>
      </c>
      <c r="Y34" s="329">
        <f>[1]рынок!AA105</f>
        <v>71</v>
      </c>
      <c r="Z34" s="329">
        <f>[1]рынок!AB105</f>
        <v>33</v>
      </c>
      <c r="AA34" s="329">
        <f>[1]рынок!AC105</f>
        <v>49</v>
      </c>
      <c r="AB34" s="329">
        <f>[1]рынок!AD105</f>
        <v>44</v>
      </c>
      <c r="AC34" s="329">
        <f>[1]рынок!AE105</f>
        <v>43</v>
      </c>
      <c r="AD34" s="329"/>
    </row>
    <row r="35" spans="1:31" ht="13.5" thickBot="1" x14ac:dyDescent="0.25">
      <c r="A35">
        <v>3</v>
      </c>
      <c r="C35" t="s">
        <v>19</v>
      </c>
      <c r="D35" s="329">
        <f>[1]рынок!F106</f>
        <v>0</v>
      </c>
      <c r="E35" s="329">
        <f>[1]рынок!G106</f>
        <v>0</v>
      </c>
      <c r="F35" s="329">
        <f>[1]рынок!H106</f>
        <v>0</v>
      </c>
      <c r="G35" s="329">
        <f>[1]рынок!I106</f>
        <v>0</v>
      </c>
      <c r="H35" s="329">
        <f>[1]рынок!J106</f>
        <v>0</v>
      </c>
      <c r="I35" s="329">
        <f>[1]рынок!K106</f>
        <v>50</v>
      </c>
      <c r="J35" s="329">
        <f>[1]рынок!L106</f>
        <v>50</v>
      </c>
      <c r="K35" s="329">
        <f>[1]рынок!M106</f>
        <v>50</v>
      </c>
      <c r="L35" s="329">
        <f>[1]рынок!N106</f>
        <v>50</v>
      </c>
      <c r="M35" s="329">
        <f>[1]рынок!O106</f>
        <v>50</v>
      </c>
      <c r="N35" s="329">
        <f>[1]рынок!P106</f>
        <v>50</v>
      </c>
      <c r="O35" s="329">
        <f>[1]рынок!Q106</f>
        <v>50</v>
      </c>
      <c r="P35" s="329">
        <f>[1]рынок!R106</f>
        <v>50</v>
      </c>
      <c r="Q35" s="329">
        <f>[1]рынок!S106</f>
        <v>61</v>
      </c>
      <c r="R35" s="329">
        <f>[1]рынок!T106</f>
        <v>39</v>
      </c>
      <c r="S35" s="329">
        <f>[1]рынок!U106</f>
        <v>43</v>
      </c>
      <c r="T35" s="329">
        <f>[1]рынок!V106</f>
        <v>27</v>
      </c>
      <c r="U35" s="329">
        <f>[1]рынок!W106</f>
        <v>31</v>
      </c>
      <c r="V35" s="329">
        <f>[1]рынок!X106</f>
        <v>27</v>
      </c>
      <c r="W35" s="329">
        <f>[1]рынок!Y106</f>
        <v>33</v>
      </c>
      <c r="X35" s="329">
        <f>[1]рынок!Z106</f>
        <v>27</v>
      </c>
      <c r="Y35" s="329">
        <f>[1]рынок!AA106</f>
        <v>18</v>
      </c>
      <c r="Z35" s="329">
        <f>[1]рынок!AB106</f>
        <v>34</v>
      </c>
      <c r="AA35" s="329">
        <f>[1]рынок!AC106</f>
        <v>34</v>
      </c>
      <c r="AB35" s="329">
        <f>[1]рынок!AD106</f>
        <v>19</v>
      </c>
      <c r="AC35" s="329">
        <f>[1]рынок!AE106</f>
        <v>14</v>
      </c>
      <c r="AD35" s="329"/>
    </row>
    <row r="36" spans="1:31" ht="13.5" thickBot="1" x14ac:dyDescent="0.25">
      <c r="A36">
        <v>4</v>
      </c>
      <c r="C36" t="s">
        <v>20</v>
      </c>
      <c r="D36" s="329">
        <f>[1]рынок!F107</f>
        <v>100</v>
      </c>
      <c r="E36" s="329">
        <f>[1]рынок!G107</f>
        <v>100</v>
      </c>
      <c r="F36" s="329">
        <f>[1]рынок!H107</f>
        <v>100</v>
      </c>
      <c r="G36" s="329">
        <f>[1]рынок!I107</f>
        <v>100</v>
      </c>
      <c r="H36" s="329">
        <f>[1]рынок!J107</f>
        <v>100</v>
      </c>
      <c r="I36" s="329">
        <f>[1]рынок!K107</f>
        <v>100</v>
      </c>
      <c r="J36" s="329">
        <f>[1]рынок!L107</f>
        <v>100</v>
      </c>
      <c r="K36" s="329">
        <f>[1]рынок!M107</f>
        <v>100</v>
      </c>
      <c r="L36" s="329">
        <f>[1]рынок!N107</f>
        <v>100</v>
      </c>
      <c r="M36" s="329">
        <f>[1]рынок!O107</f>
        <v>100</v>
      </c>
      <c r="N36" s="329">
        <f>[1]рынок!P107</f>
        <v>100</v>
      </c>
      <c r="O36" s="329">
        <f>[1]рынок!Q107</f>
        <v>100</v>
      </c>
      <c r="P36" s="329">
        <f>[1]рынок!R107</f>
        <v>100</v>
      </c>
      <c r="Q36" s="329">
        <f>[1]рынок!S107</f>
        <v>94</v>
      </c>
      <c r="R36" s="329">
        <f>[1]рынок!T107</f>
        <v>98</v>
      </c>
      <c r="S36" s="329">
        <f>[1]рынок!U107</f>
        <v>101</v>
      </c>
      <c r="T36" s="329">
        <f>[1]рынок!V107</f>
        <v>92</v>
      </c>
      <c r="U36" s="329">
        <f>[1]рынок!W107</f>
        <v>101</v>
      </c>
      <c r="V36" s="329">
        <f>[1]рынок!X107</f>
        <v>102</v>
      </c>
      <c r="W36" s="329">
        <f>[1]рынок!Y107</f>
        <v>107</v>
      </c>
      <c r="X36" s="329">
        <f>[1]рынок!Z107</f>
        <v>110</v>
      </c>
      <c r="Y36" s="329">
        <f>[1]рынок!AA107</f>
        <v>95</v>
      </c>
      <c r="Z36" s="329">
        <f>[1]рынок!AB107</f>
        <v>112</v>
      </c>
      <c r="AA36" s="329">
        <f>[1]рынок!AC107</f>
        <v>112</v>
      </c>
      <c r="AB36" s="329">
        <f>[1]рынок!AD107</f>
        <v>93</v>
      </c>
      <c r="AC36" s="329">
        <f>[1]рынок!AE107</f>
        <v>70</v>
      </c>
      <c r="AD36" s="329"/>
    </row>
    <row r="37" spans="1:31" ht="13.5" thickBot="1" x14ac:dyDescent="0.25">
      <c r="A37">
        <v>5</v>
      </c>
      <c r="C37" t="s">
        <v>21</v>
      </c>
      <c r="D37" s="329">
        <f>[1]рынок!F108</f>
        <v>50</v>
      </c>
      <c r="E37" s="329">
        <f>[1]рынок!G108</f>
        <v>50</v>
      </c>
      <c r="F37" s="329">
        <f>[1]рынок!H108</f>
        <v>50</v>
      </c>
      <c r="G37" s="329">
        <f>[1]рынок!I108</f>
        <v>50</v>
      </c>
      <c r="H37" s="329">
        <f>[1]рынок!J108</f>
        <v>50</v>
      </c>
      <c r="I37" s="329">
        <f>[1]рынок!K108</f>
        <v>50</v>
      </c>
      <c r="J37" s="329">
        <f>[1]рынок!L108</f>
        <v>50</v>
      </c>
      <c r="K37" s="329">
        <f>[1]рынок!M108</f>
        <v>50</v>
      </c>
      <c r="L37" s="329">
        <f>[1]рынок!N108</f>
        <v>50</v>
      </c>
      <c r="M37" s="329">
        <f>[1]рынок!O108</f>
        <v>50</v>
      </c>
      <c r="N37" s="329">
        <f>[1]рынок!P108</f>
        <v>50</v>
      </c>
      <c r="O37" s="329">
        <f>[1]рынок!Q108</f>
        <v>50</v>
      </c>
      <c r="P37" s="329">
        <f>[1]рынок!R108</f>
        <v>30</v>
      </c>
      <c r="Q37" s="329">
        <f>[1]рынок!S108</f>
        <v>0</v>
      </c>
      <c r="R37" s="329">
        <f>[1]рынок!T108</f>
        <v>10</v>
      </c>
      <c r="S37" s="329">
        <f>[1]рынок!U108</f>
        <v>18</v>
      </c>
      <c r="T37" s="329">
        <f>[1]рынок!V108</f>
        <v>14</v>
      </c>
      <c r="U37" s="329">
        <f>[1]рынок!W108</f>
        <v>18</v>
      </c>
      <c r="V37" s="329">
        <f>[1]рынок!X108</f>
        <v>16</v>
      </c>
      <c r="W37" s="329">
        <f>[1]рынок!Y108</f>
        <v>21</v>
      </c>
      <c r="X37" s="329">
        <f>[1]рынок!Z108</f>
        <v>19</v>
      </c>
      <c r="Y37" s="329">
        <f>[1]рынок!AA108</f>
        <v>15</v>
      </c>
      <c r="Z37" s="329">
        <f>[1]рынок!AB108</f>
        <v>28</v>
      </c>
      <c r="AA37" s="329">
        <f>[1]рынок!AC108</f>
        <v>27</v>
      </c>
      <c r="AB37" s="329">
        <f>[1]рынок!AD108</f>
        <v>15</v>
      </c>
      <c r="AC37" s="329">
        <f>[1]рынок!AE108</f>
        <v>11</v>
      </c>
      <c r="AD37" s="329"/>
    </row>
    <row r="38" spans="1:31" ht="13.5" thickBot="1" x14ac:dyDescent="0.25">
      <c r="A38">
        <v>6</v>
      </c>
      <c r="C38" t="s">
        <v>6</v>
      </c>
      <c r="D38" s="329">
        <f>[1]рынок!F109</f>
        <v>50</v>
      </c>
      <c r="E38" s="329">
        <f>[1]рынок!G109</f>
        <v>50</v>
      </c>
      <c r="F38" s="329">
        <f>[1]рынок!H109</f>
        <v>50</v>
      </c>
      <c r="G38" s="329">
        <f>[1]рынок!I109</f>
        <v>50</v>
      </c>
      <c r="H38" s="329">
        <f>[1]рынок!J109</f>
        <v>50</v>
      </c>
      <c r="I38" s="329">
        <f>[1]рынок!K109</f>
        <v>50</v>
      </c>
      <c r="J38" s="329">
        <f>[1]рынок!L109</f>
        <v>50</v>
      </c>
      <c r="K38" s="329">
        <f>[1]рынок!M109</f>
        <v>50</v>
      </c>
      <c r="L38" s="329">
        <f>[1]рынок!N109</f>
        <v>50</v>
      </c>
      <c r="M38" s="329">
        <f>[1]рынок!O109</f>
        <v>50</v>
      </c>
      <c r="N38" s="329">
        <f>[1]рынок!P109</f>
        <v>50</v>
      </c>
      <c r="O38" s="329">
        <f>[1]рынок!Q109</f>
        <v>50</v>
      </c>
      <c r="P38" s="329">
        <f>[1]рынок!R109</f>
        <v>50</v>
      </c>
      <c r="Q38" s="329">
        <f>[1]рынок!S109</f>
        <v>169</v>
      </c>
      <c r="R38" s="329">
        <f>[1]рынок!T109</f>
        <v>89</v>
      </c>
      <c r="S38" s="329">
        <f>[1]рынок!U109</f>
        <v>105</v>
      </c>
      <c r="T38" s="329">
        <f>[1]рынок!V109</f>
        <v>68</v>
      </c>
      <c r="U38" s="329">
        <f>[1]рынок!W109</f>
        <v>81</v>
      </c>
      <c r="V38" s="329">
        <f>[1]рынок!X109</f>
        <v>75</v>
      </c>
      <c r="W38" s="329">
        <f>[1]рынок!Y109</f>
        <v>100</v>
      </c>
      <c r="X38" s="329">
        <f>[1]рынок!Z109</f>
        <v>92</v>
      </c>
      <c r="Y38" s="329">
        <f>[1]рынок!AA109</f>
        <v>73</v>
      </c>
      <c r="Z38" s="329">
        <f>[1]рынок!AB109</f>
        <v>138</v>
      </c>
      <c r="AA38" s="329">
        <f>[1]рынок!AC109</f>
        <v>133</v>
      </c>
      <c r="AB38" s="329">
        <f>[1]рынок!AD109</f>
        <v>76</v>
      </c>
      <c r="AC38" s="329">
        <f>[1]рынок!AE109</f>
        <v>58</v>
      </c>
      <c r="AD38" s="329"/>
    </row>
    <row r="39" spans="1:31" ht="13.5" thickBot="1" x14ac:dyDescent="0.25">
      <c r="A39">
        <v>7</v>
      </c>
      <c r="C39" t="s">
        <v>7</v>
      </c>
      <c r="D39" s="329">
        <f>[1]рынок!F110</f>
        <v>50</v>
      </c>
      <c r="E39" s="329">
        <f>[1]рынок!G110</f>
        <v>50</v>
      </c>
      <c r="F39" s="329">
        <f>[1]рынок!H110</f>
        <v>50</v>
      </c>
      <c r="G39" s="329">
        <f>[1]рынок!I110</f>
        <v>50</v>
      </c>
      <c r="H39" s="329">
        <f>[1]рынок!J110</f>
        <v>50</v>
      </c>
      <c r="I39" s="329">
        <f>[1]рынок!K110</f>
        <v>50</v>
      </c>
      <c r="J39" s="329">
        <f>[1]рынок!L110</f>
        <v>50</v>
      </c>
      <c r="K39" s="329">
        <f>[1]рынок!M110</f>
        <v>50</v>
      </c>
      <c r="L39" s="329">
        <f>[1]рынок!N110</f>
        <v>50</v>
      </c>
      <c r="M39" s="329">
        <f>[1]рынок!O110</f>
        <v>50</v>
      </c>
      <c r="N39" s="329">
        <f>[1]рынок!P110</f>
        <v>50</v>
      </c>
      <c r="O39" s="329">
        <f>[1]рынок!Q110</f>
        <v>50</v>
      </c>
      <c r="P39" s="329">
        <f>[1]рынок!R110</f>
        <v>50</v>
      </c>
      <c r="Q39" s="329">
        <f>[1]рынок!S110</f>
        <v>169</v>
      </c>
      <c r="R39" s="329">
        <f>[1]рынок!T110</f>
        <v>115</v>
      </c>
      <c r="S39" s="329">
        <f>[1]рынок!U110</f>
        <v>137</v>
      </c>
      <c r="T39" s="329">
        <f>[1]рынок!V110</f>
        <v>99</v>
      </c>
      <c r="U39" s="329">
        <f>[1]рынок!W110</f>
        <v>126</v>
      </c>
      <c r="V39" s="329">
        <f>[1]рынок!X110</f>
        <v>105</v>
      </c>
      <c r="W39" s="329">
        <f>[1]рынок!Y110</f>
        <v>144</v>
      </c>
      <c r="X39" s="329">
        <f>[1]рынок!Z110</f>
        <v>141</v>
      </c>
      <c r="Y39" s="329">
        <f>[1]рынок!AA110</f>
        <v>103</v>
      </c>
      <c r="Z39" s="329">
        <f>[1]рынок!AB110</f>
        <v>200</v>
      </c>
      <c r="AA39" s="329">
        <f>[1]рынок!AC110</f>
        <v>203</v>
      </c>
      <c r="AB39" s="329">
        <f>[1]рынок!AD110</f>
        <v>109</v>
      </c>
      <c r="AC39" s="329">
        <f>[1]рынок!AE110</f>
        <v>84</v>
      </c>
      <c r="AD39" s="329"/>
    </row>
    <row r="40" spans="1:31" x14ac:dyDescent="0.2">
      <c r="D40" s="178"/>
      <c r="E40" s="178"/>
      <c r="F40" s="178"/>
      <c r="G40" s="178"/>
      <c r="H40" s="178"/>
      <c r="I40" s="178"/>
      <c r="J40" s="178"/>
      <c r="K40" s="178"/>
      <c r="L40" s="178"/>
      <c r="M40" s="281"/>
      <c r="N40" s="178"/>
      <c r="O40" s="178"/>
      <c r="P40" s="178"/>
      <c r="Q40" s="178"/>
      <c r="R40" s="178"/>
      <c r="S40" s="178"/>
      <c r="T40" s="178"/>
      <c r="U40" s="178"/>
      <c r="V40" s="178"/>
      <c r="W40" s="178"/>
    </row>
    <row r="41" spans="1:31" x14ac:dyDescent="0.2">
      <c r="D41" s="178"/>
      <c r="E41" s="178"/>
      <c r="F41" s="178"/>
      <c r="G41" s="178"/>
      <c r="H41" s="178"/>
      <c r="I41" s="178"/>
      <c r="J41" s="178"/>
      <c r="K41" s="178"/>
      <c r="L41" s="178"/>
      <c r="M41" s="281"/>
      <c r="N41" s="178"/>
      <c r="O41" s="178"/>
      <c r="P41" s="178"/>
      <c r="Q41" s="178"/>
      <c r="R41" s="178"/>
      <c r="S41" s="178"/>
      <c r="T41" s="178"/>
      <c r="U41" s="178"/>
      <c r="V41" s="178"/>
      <c r="W41" s="178"/>
    </row>
    <row r="42" spans="1:31" x14ac:dyDescent="0.2">
      <c r="D42" s="178"/>
      <c r="E42" s="178"/>
      <c r="F42" s="178"/>
      <c r="G42" s="178"/>
      <c r="H42" s="178"/>
      <c r="I42" s="178"/>
      <c r="J42" s="178"/>
      <c r="K42" s="178"/>
      <c r="L42" s="178"/>
      <c r="M42" s="281"/>
      <c r="N42" s="178"/>
      <c r="O42" s="178"/>
      <c r="P42" s="178"/>
      <c r="Q42" s="178"/>
      <c r="R42" s="178"/>
      <c r="S42" s="178"/>
      <c r="T42" s="178"/>
      <c r="U42" s="178"/>
      <c r="V42" s="178"/>
      <c r="W42" s="178"/>
    </row>
    <row r="43" spans="1:31" x14ac:dyDescent="0.2">
      <c r="B43" s="592" t="s">
        <v>318</v>
      </c>
      <c r="D43" s="178"/>
      <c r="E43" s="178"/>
      <c r="F43" s="178"/>
      <c r="G43" s="178"/>
      <c r="H43" s="178"/>
      <c r="I43" s="178"/>
      <c r="J43" s="178"/>
      <c r="K43" s="178"/>
      <c r="L43" s="178"/>
      <c r="M43" s="281"/>
      <c r="N43" s="178"/>
      <c r="O43" s="178"/>
      <c r="P43" s="178"/>
      <c r="Q43" s="178"/>
      <c r="R43" s="178"/>
      <c r="S43" s="178"/>
      <c r="T43" s="178"/>
      <c r="U43" s="178"/>
      <c r="V43" s="178"/>
      <c r="W43" s="178"/>
    </row>
    <row r="44" spans="1:31" x14ac:dyDescent="0.2">
      <c r="A44" s="333" t="s">
        <v>105</v>
      </c>
      <c r="B44" s="322"/>
      <c r="C44" s="322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22"/>
      <c r="Y44" s="322"/>
      <c r="Z44" s="322"/>
      <c r="AA44" s="322"/>
      <c r="AB44" s="322"/>
      <c r="AC44" s="322"/>
      <c r="AD44" s="322"/>
      <c r="AE44" s="322"/>
    </row>
    <row r="45" spans="1:31" x14ac:dyDescent="0.2">
      <c r="A45" s="322"/>
      <c r="B45" s="322"/>
      <c r="C45" s="333" t="s">
        <v>101</v>
      </c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22"/>
      <c r="Y45" s="322"/>
      <c r="Z45" s="322"/>
      <c r="AA45" s="322"/>
      <c r="AB45" s="322"/>
      <c r="AC45" s="322"/>
      <c r="AD45" s="322"/>
      <c r="AE45" s="322"/>
    </row>
    <row r="46" spans="1:31" ht="14.25" x14ac:dyDescent="0.2">
      <c r="A46" s="322"/>
      <c r="B46" s="322"/>
      <c r="C46" s="336" t="s">
        <v>146</v>
      </c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22"/>
      <c r="Y46" s="322"/>
      <c r="Z46" s="322"/>
      <c r="AA46" s="322"/>
      <c r="AB46" s="322"/>
      <c r="AC46" s="322"/>
      <c r="AD46" s="322"/>
      <c r="AE46" s="322"/>
    </row>
    <row r="47" spans="1:31" x14ac:dyDescent="0.2">
      <c r="A47" s="322"/>
      <c r="B47" s="322"/>
      <c r="C47" s="322"/>
      <c r="D47" s="322">
        <v>2005</v>
      </c>
      <c r="E47" s="322">
        <v>2006</v>
      </c>
      <c r="F47" s="322">
        <v>2007</v>
      </c>
      <c r="G47" s="322">
        <v>2008</v>
      </c>
      <c r="H47" s="322">
        <v>2009</v>
      </c>
      <c r="I47" s="322">
        <v>2010</v>
      </c>
      <c r="J47" s="322">
        <v>2011</v>
      </c>
      <c r="K47" s="322">
        <v>2012</v>
      </c>
      <c r="L47" s="322">
        <v>2013</v>
      </c>
      <c r="M47" s="322">
        <v>2014</v>
      </c>
      <c r="N47" s="322">
        <v>2015</v>
      </c>
      <c r="O47" s="322">
        <v>2016</v>
      </c>
      <c r="P47" s="322">
        <v>2017</v>
      </c>
      <c r="Q47" s="322">
        <v>2018</v>
      </c>
      <c r="R47" s="322">
        <v>2019</v>
      </c>
      <c r="S47" s="322">
        <v>2020</v>
      </c>
      <c r="T47" s="322">
        <v>2021</v>
      </c>
      <c r="U47" s="322">
        <v>2022</v>
      </c>
      <c r="V47" s="322">
        <v>2023</v>
      </c>
      <c r="W47" s="322">
        <v>2024</v>
      </c>
      <c r="X47" s="322">
        <v>2025</v>
      </c>
      <c r="Y47" s="322">
        <v>2026</v>
      </c>
      <c r="Z47" s="322">
        <v>2027</v>
      </c>
      <c r="AA47" s="322">
        <v>2028</v>
      </c>
      <c r="AB47" s="322">
        <v>2029</v>
      </c>
      <c r="AC47" s="322">
        <v>2030</v>
      </c>
      <c r="AD47" s="322">
        <v>2031</v>
      </c>
      <c r="AE47" s="322"/>
    </row>
    <row r="48" spans="1:31" x14ac:dyDescent="0.2">
      <c r="A48" s="322"/>
      <c r="B48" s="322"/>
      <c r="C48" s="322"/>
      <c r="D48" s="322"/>
      <c r="E48" s="322">
        <v>1</v>
      </c>
      <c r="F48" s="322">
        <v>2</v>
      </c>
      <c r="G48" s="322">
        <v>3</v>
      </c>
      <c r="H48" s="322">
        <v>4</v>
      </c>
      <c r="I48" s="322">
        <v>5</v>
      </c>
      <c r="J48" s="322">
        <v>6</v>
      </c>
      <c r="K48" s="322">
        <v>7</v>
      </c>
      <c r="L48" s="322">
        <v>8</v>
      </c>
      <c r="M48" s="322">
        <v>9</v>
      </c>
      <c r="N48" s="322">
        <v>10</v>
      </c>
      <c r="O48" s="322">
        <v>11</v>
      </c>
      <c r="P48" s="322">
        <v>12</v>
      </c>
      <c r="Q48" s="322">
        <v>13</v>
      </c>
      <c r="R48" s="322">
        <v>14</v>
      </c>
      <c r="S48" s="322">
        <v>15</v>
      </c>
      <c r="T48" s="322">
        <v>16</v>
      </c>
      <c r="U48" s="322">
        <v>17</v>
      </c>
      <c r="V48" s="322">
        <v>18</v>
      </c>
      <c r="W48" s="322">
        <v>19</v>
      </c>
      <c r="X48" s="322">
        <v>20</v>
      </c>
      <c r="Y48" s="322">
        <v>21</v>
      </c>
      <c r="Z48" s="322">
        <v>22</v>
      </c>
      <c r="AA48" s="322">
        <v>23</v>
      </c>
      <c r="AB48" s="322">
        <v>24</v>
      </c>
      <c r="AC48" s="322">
        <v>25</v>
      </c>
      <c r="AD48" s="322">
        <v>26</v>
      </c>
      <c r="AE48" s="322"/>
    </row>
    <row r="49" spans="1:33" x14ac:dyDescent="0.2">
      <c r="A49" s="322">
        <v>1</v>
      </c>
      <c r="B49" s="322"/>
      <c r="C49" s="322" t="s">
        <v>47</v>
      </c>
      <c r="D49" s="334">
        <f>D60</f>
        <v>1228093.9379099999</v>
      </c>
      <c r="E49" s="334">
        <f t="shared" ref="E49:AC49" si="5">E60*INDEX(infl_ind,$A49,E$48)</f>
        <v>1063557.28451584</v>
      </c>
      <c r="F49" s="334">
        <f t="shared" si="5"/>
        <v>1562422.0124355666</v>
      </c>
      <c r="G49" s="334">
        <f t="shared" si="5"/>
        <v>2580893.4557617093</v>
      </c>
      <c r="H49" s="334">
        <f t="shared" si="5"/>
        <v>3082684.9613288064</v>
      </c>
      <c r="I49" s="334">
        <f t="shared" si="5"/>
        <v>4008425.2887759209</v>
      </c>
      <c r="J49" s="334">
        <f t="shared" si="5"/>
        <v>5528475.3657496627</v>
      </c>
      <c r="K49" s="334">
        <f t="shared" si="5"/>
        <v>6176360.6356998254</v>
      </c>
      <c r="L49" s="334">
        <f t="shared" si="5"/>
        <v>5748243.5837810002</v>
      </c>
      <c r="M49" s="334">
        <f t="shared" si="5"/>
        <v>0.20181770420813858</v>
      </c>
      <c r="N49" s="334">
        <f t="shared" si="5"/>
        <v>0.2758358375106793</v>
      </c>
      <c r="O49" s="334">
        <f t="shared" si="5"/>
        <v>0.39142371461397113</v>
      </c>
      <c r="P49" s="334">
        <f t="shared" si="5"/>
        <v>0.4162858667410439</v>
      </c>
      <c r="Q49" s="334">
        <f t="shared" si="5"/>
        <v>0.6518392378319825</v>
      </c>
      <c r="R49" s="334">
        <f t="shared" si="5"/>
        <v>0.91878527012013944</v>
      </c>
      <c r="S49" s="334">
        <f t="shared" si="5"/>
        <v>1.2890836299334811</v>
      </c>
      <c r="T49" s="334">
        <f t="shared" si="5"/>
        <v>1.7262259347868865</v>
      </c>
      <c r="U49" s="334">
        <f t="shared" si="5"/>
        <v>2.2641268408038817</v>
      </c>
      <c r="V49" s="334">
        <f t="shared" si="5"/>
        <v>2.9024489112647429</v>
      </c>
      <c r="W49" s="334">
        <f t="shared" si="5"/>
        <v>3.5730735003877503</v>
      </c>
      <c r="X49" s="334">
        <f t="shared" si="5"/>
        <v>4.1915455446627261</v>
      </c>
      <c r="Y49" s="334">
        <f t="shared" si="5"/>
        <v>4.86301985485406</v>
      </c>
      <c r="Z49" s="334">
        <f t="shared" si="5"/>
        <v>6.5565757718223212</v>
      </c>
      <c r="AA49" s="334">
        <f t="shared" si="5"/>
        <v>8.7744009334350928</v>
      </c>
      <c r="AB49" s="334">
        <f t="shared" si="5"/>
        <v>11.762726792281226</v>
      </c>
      <c r="AC49" s="334">
        <f t="shared" si="5"/>
        <v>15.739291391327127</v>
      </c>
      <c r="AD49" s="334">
        <f t="shared" ref="AD49" si="6">AD60*INDEX(infl_ind,$A49,AD$48)</f>
        <v>0</v>
      </c>
      <c r="AE49" s="322"/>
    </row>
    <row r="50" spans="1:33" x14ac:dyDescent="0.2">
      <c r="A50" s="322">
        <v>2</v>
      </c>
      <c r="B50" s="322"/>
      <c r="C50" s="322" t="s">
        <v>18</v>
      </c>
      <c r="D50" s="334">
        <f t="shared" ref="D50:D55" si="7">D61</f>
        <v>293315.48213999998</v>
      </c>
      <c r="E50" s="334">
        <f t="shared" ref="E50:AC50" si="8">E61*INDEX(infl_ind,$A50,E$48)</f>
        <v>421145.30416325998</v>
      </c>
      <c r="F50" s="334">
        <f t="shared" si="8"/>
        <v>610646.02207528439</v>
      </c>
      <c r="G50" s="334">
        <f t="shared" si="8"/>
        <v>1401688.7636627902</v>
      </c>
      <c r="H50" s="334">
        <f t="shared" si="8"/>
        <v>1365778.9875841131</v>
      </c>
      <c r="I50" s="334">
        <f t="shared" si="8"/>
        <v>892758.80888036487</v>
      </c>
      <c r="J50" s="334">
        <f t="shared" si="8"/>
        <v>2251897.2937789881</v>
      </c>
      <c r="K50" s="334">
        <f t="shared" si="8"/>
        <v>3835475.409856176</v>
      </c>
      <c r="L50" s="334">
        <f t="shared" si="8"/>
        <v>5649311.8618562017</v>
      </c>
      <c r="M50" s="334">
        <f t="shared" si="8"/>
        <v>7.5610822557532356E-3</v>
      </c>
      <c r="N50" s="334">
        <f t="shared" si="8"/>
        <v>1.9277450854736353E-2</v>
      </c>
      <c r="O50" s="334">
        <f t="shared" si="8"/>
        <v>3.1154748109221347E-2</v>
      </c>
      <c r="P50" s="334">
        <f t="shared" si="8"/>
        <v>3.7011903614638936E-2</v>
      </c>
      <c r="Q50" s="334">
        <f t="shared" si="8"/>
        <v>7.3549277339910304E-2</v>
      </c>
      <c r="R50" s="334">
        <f t="shared" si="8"/>
        <v>0.11251245967266624</v>
      </c>
      <c r="S50" s="334">
        <f t="shared" si="8"/>
        <v>0.20360188100048443</v>
      </c>
      <c r="T50" s="334">
        <f t="shared" si="8"/>
        <v>0.34470249643303141</v>
      </c>
      <c r="U50" s="334">
        <f t="shared" si="8"/>
        <v>0.56365176223676761</v>
      </c>
      <c r="V50" s="334">
        <f t="shared" si="8"/>
        <v>0.89484784256876637</v>
      </c>
      <c r="W50" s="334">
        <f t="shared" si="8"/>
        <v>1.3925246034955523</v>
      </c>
      <c r="X50" s="334">
        <f t="shared" si="8"/>
        <v>2.1473459226527258</v>
      </c>
      <c r="Y50" s="334">
        <f t="shared" si="8"/>
        <v>3.3681475962895742</v>
      </c>
      <c r="Z50" s="334">
        <f t="shared" si="8"/>
        <v>5.2903137100252593</v>
      </c>
      <c r="AA50" s="334">
        <f t="shared" si="8"/>
        <v>8.2459321811507014</v>
      </c>
      <c r="AB50" s="334">
        <f t="shared" si="8"/>
        <v>13.019666742099124</v>
      </c>
      <c r="AC50" s="334">
        <f t="shared" si="8"/>
        <v>17.93421894110271</v>
      </c>
      <c r="AD50" s="334">
        <f t="shared" ref="AD50" si="9">AD61*INDEX(infl_ind,$A50,AD$48)</f>
        <v>0</v>
      </c>
      <c r="AE50" s="322"/>
    </row>
    <row r="51" spans="1:33" x14ac:dyDescent="0.2">
      <c r="A51" s="322">
        <v>3</v>
      </c>
      <c r="B51" s="322"/>
      <c r="C51" s="322" t="s">
        <v>61</v>
      </c>
      <c r="D51" s="334">
        <f t="shared" si="7"/>
        <v>1142953.399669999</v>
      </c>
      <c r="E51" s="334">
        <f t="shared" ref="E51:AC51" si="10">E62*INDEX(infl_ind,$A51,E$48)</f>
        <v>1649252.7036049101</v>
      </c>
      <c r="F51" s="334">
        <f t="shared" si="10"/>
        <v>2560915.7757436</v>
      </c>
      <c r="G51" s="334">
        <f t="shared" si="10"/>
        <v>1518216.7996712846</v>
      </c>
      <c r="H51" s="334">
        <f t="shared" si="10"/>
        <v>2470287.9436377543</v>
      </c>
      <c r="I51" s="334">
        <f t="shared" si="10"/>
        <v>6597527.8762046192</v>
      </c>
      <c r="J51" s="334">
        <f t="shared" si="10"/>
        <v>6506437.9201013343</v>
      </c>
      <c r="K51" s="334">
        <f t="shared" si="10"/>
        <v>44948348.895384595</v>
      </c>
      <c r="L51" s="334">
        <f t="shared" si="10"/>
        <v>51504041.782700956</v>
      </c>
      <c r="M51" s="334">
        <f t="shared" si="10"/>
        <v>7.2883647219063328E-3</v>
      </c>
      <c r="N51" s="334">
        <f t="shared" si="10"/>
        <v>1.1615513290251603E-2</v>
      </c>
      <c r="O51" s="334">
        <f t="shared" si="10"/>
        <v>1.5996179098737587E-2</v>
      </c>
      <c r="P51" s="334">
        <f t="shared" si="10"/>
        <v>0</v>
      </c>
      <c r="Q51" s="334">
        <f t="shared" si="10"/>
        <v>1.0325324440937421E-2</v>
      </c>
      <c r="R51" s="334">
        <f t="shared" si="10"/>
        <v>2.048549077616953E-2</v>
      </c>
      <c r="S51" s="334">
        <f t="shared" si="10"/>
        <v>3.1522779139877916E-2</v>
      </c>
      <c r="T51" s="334">
        <f t="shared" si="10"/>
        <v>4.3249627291162634E-2</v>
      </c>
      <c r="U51" s="334">
        <f t="shared" si="10"/>
        <v>5.6440473888105455E-2</v>
      </c>
      <c r="V51" s="334">
        <f t="shared" si="10"/>
        <v>7.0979791193547706E-2</v>
      </c>
      <c r="W51" s="334">
        <f t="shared" si="10"/>
        <v>8.7102502248659841E-2</v>
      </c>
      <c r="X51" s="334">
        <f t="shared" si="10"/>
        <v>0.10606628806121816</v>
      </c>
      <c r="Y51" s="334">
        <f t="shared" si="10"/>
        <v>0.13347165934134758</v>
      </c>
      <c r="Z51" s="334">
        <f t="shared" si="10"/>
        <v>0.16790394083609664</v>
      </c>
      <c r="AA51" s="334">
        <f t="shared" si="10"/>
        <v>0.20942464447201173</v>
      </c>
      <c r="AB51" s="334">
        <f t="shared" si="10"/>
        <v>0.26697423327037983</v>
      </c>
      <c r="AC51" s="334">
        <f t="shared" si="10"/>
        <v>0.28465957227631855</v>
      </c>
      <c r="AD51" s="334">
        <f t="shared" ref="AD51" si="11">AD62*INDEX(infl_ind,$A51,AD$48)</f>
        <v>0</v>
      </c>
      <c r="AE51" s="322"/>
    </row>
    <row r="52" spans="1:33" x14ac:dyDescent="0.2">
      <c r="A52" s="322">
        <v>4</v>
      </c>
      <c r="B52" s="322"/>
      <c r="C52" s="322" t="s">
        <v>20</v>
      </c>
      <c r="D52" s="334">
        <f t="shared" si="7"/>
        <v>2815817.199740001</v>
      </c>
      <c r="E52" s="334">
        <f t="shared" ref="E52:AC52" si="12">E63*INDEX(infl_ind,$A52,E$48)</f>
        <v>3539676.4760294389</v>
      </c>
      <c r="F52" s="334">
        <f t="shared" si="12"/>
        <v>4636041.9036245411</v>
      </c>
      <c r="G52" s="334">
        <f t="shared" si="12"/>
        <v>3238710.0068645962</v>
      </c>
      <c r="H52" s="334">
        <f t="shared" si="12"/>
        <v>1590141.8458749566</v>
      </c>
      <c r="I52" s="334">
        <f t="shared" si="12"/>
        <v>2351998.1804777184</v>
      </c>
      <c r="J52" s="334">
        <f t="shared" si="12"/>
        <v>3256451.3220440773</v>
      </c>
      <c r="K52" s="334">
        <f t="shared" si="12"/>
        <v>2563005.1944765728</v>
      </c>
      <c r="L52" s="334">
        <f t="shared" si="12"/>
        <v>2985026.7378605073</v>
      </c>
      <c r="M52" s="334">
        <f t="shared" si="12"/>
        <v>4.9824472369407125E-2</v>
      </c>
      <c r="N52" s="334">
        <f t="shared" si="12"/>
        <v>5.2078983515151278E-2</v>
      </c>
      <c r="O52" s="334">
        <f t="shared" si="12"/>
        <v>9.3299369237046265E-2</v>
      </c>
      <c r="P52" s="334">
        <f t="shared" si="12"/>
        <v>0.12117564501151636</v>
      </c>
      <c r="Q52" s="334">
        <f t="shared" si="12"/>
        <v>0.14400948328740959</v>
      </c>
      <c r="R52" s="334">
        <f t="shared" si="12"/>
        <v>0.21285055137443187</v>
      </c>
      <c r="S52" s="334">
        <f t="shared" si="12"/>
        <v>0.29613949634138975</v>
      </c>
      <c r="T52" s="334">
        <f t="shared" si="12"/>
        <v>0.40285926901664249</v>
      </c>
      <c r="U52" s="334">
        <f t="shared" si="12"/>
        <v>0.56986143900843123</v>
      </c>
      <c r="V52" s="334">
        <f t="shared" si="12"/>
        <v>0.74427636039890166</v>
      </c>
      <c r="W52" s="334">
        <f t="shared" si="12"/>
        <v>0.96137572645171421</v>
      </c>
      <c r="X52" s="334">
        <f t="shared" si="12"/>
        <v>1.2970333292150029</v>
      </c>
      <c r="Y52" s="334">
        <f t="shared" si="12"/>
        <v>1.696940345979556</v>
      </c>
      <c r="Z52" s="334">
        <f t="shared" si="12"/>
        <v>2.2291212900388997</v>
      </c>
      <c r="AA52" s="334">
        <f t="shared" si="12"/>
        <v>3.036590874198565</v>
      </c>
      <c r="AB52" s="334">
        <f t="shared" si="12"/>
        <v>4.0220835722981434</v>
      </c>
      <c r="AC52" s="334">
        <f t="shared" si="12"/>
        <v>4.7970075559545631</v>
      </c>
      <c r="AD52" s="334">
        <f t="shared" ref="AD52" si="13">AD63*INDEX(infl_ind,$A52,AD$48)</f>
        <v>0</v>
      </c>
      <c r="AE52" s="322"/>
    </row>
    <row r="53" spans="1:33" x14ac:dyDescent="0.2">
      <c r="A53" s="322">
        <v>5</v>
      </c>
      <c r="B53" s="322"/>
      <c r="C53" s="322" t="s">
        <v>21</v>
      </c>
      <c r="D53" s="334">
        <f t="shared" si="7"/>
        <v>96966.332849999992</v>
      </c>
      <c r="E53" s="334">
        <f t="shared" ref="E53:AC53" si="14">E64*INDEX(infl_ind,$A53,E$48)</f>
        <v>156776.38576968</v>
      </c>
      <c r="F53" s="334">
        <f t="shared" si="14"/>
        <v>164930.33405349986</v>
      </c>
      <c r="G53" s="334">
        <f t="shared" si="14"/>
        <v>536463.69676546101</v>
      </c>
      <c r="H53" s="334">
        <f t="shared" si="14"/>
        <v>597299.49054320902</v>
      </c>
      <c r="I53" s="334">
        <f t="shared" si="14"/>
        <v>776987.82057330443</v>
      </c>
      <c r="J53" s="334">
        <f t="shared" si="14"/>
        <v>880177.89593453333</v>
      </c>
      <c r="K53" s="334">
        <f t="shared" si="14"/>
        <v>1031494.8388786446</v>
      </c>
      <c r="L53" s="334">
        <f t="shared" si="14"/>
        <v>1216797.1561563106</v>
      </c>
      <c r="M53" s="334">
        <f t="shared" si="14"/>
        <v>4.2416852855400707E-2</v>
      </c>
      <c r="N53" s="334">
        <f t="shared" si="14"/>
        <v>6.5065704143271244E-2</v>
      </c>
      <c r="O53" s="334">
        <f t="shared" si="14"/>
        <v>9.711367042946803E-2</v>
      </c>
      <c r="P53" s="334">
        <f t="shared" si="14"/>
        <v>8.2641322373839796E-2</v>
      </c>
      <c r="Q53" s="334">
        <f t="shared" si="14"/>
        <v>0.13321642571471876</v>
      </c>
      <c r="R53" s="334">
        <f t="shared" si="14"/>
        <v>0.19234494961000173</v>
      </c>
      <c r="S53" s="334">
        <f t="shared" si="14"/>
        <v>0.29485188540243329</v>
      </c>
      <c r="T53" s="334">
        <f t="shared" si="14"/>
        <v>0.42465896062409919</v>
      </c>
      <c r="U53" s="334">
        <f t="shared" si="14"/>
        <v>0.53288687825140502</v>
      </c>
      <c r="V53" s="334">
        <f t="shared" si="14"/>
        <v>0.73965134323141835</v>
      </c>
      <c r="W53" s="334">
        <f t="shared" si="14"/>
        <v>0.9994537859927437</v>
      </c>
      <c r="X53" s="334">
        <f t="shared" si="14"/>
        <v>1.2230747592690878</v>
      </c>
      <c r="Y53" s="334">
        <f t="shared" si="14"/>
        <v>1.6814153941870238</v>
      </c>
      <c r="Z53" s="334">
        <f t="shared" si="14"/>
        <v>2.2921430689752533</v>
      </c>
      <c r="AA53" s="334">
        <f t="shared" si="14"/>
        <v>2.8870612045889024</v>
      </c>
      <c r="AB53" s="334">
        <f t="shared" si="14"/>
        <v>3.9805039304726426</v>
      </c>
      <c r="AC53" s="334">
        <f t="shared" si="14"/>
        <v>4.9294658295087475</v>
      </c>
      <c r="AD53" s="334">
        <f t="shared" ref="AD53" si="15">AD64*INDEX(infl_ind,$A53,AD$48)</f>
        <v>0</v>
      </c>
      <c r="AE53" s="322"/>
    </row>
    <row r="54" spans="1:33" x14ac:dyDescent="0.2">
      <c r="A54" s="322">
        <v>6</v>
      </c>
      <c r="B54" s="322"/>
      <c r="C54" s="322" t="s">
        <v>6</v>
      </c>
      <c r="D54" s="334">
        <f t="shared" si="7"/>
        <v>200002.18558000002</v>
      </c>
      <c r="E54" s="334">
        <f t="shared" ref="E54:AC54" si="16">E65*INDEX(infl_ind,$A54,E$48)</f>
        <v>293379.04998395999</v>
      </c>
      <c r="F54" s="334">
        <f t="shared" si="16"/>
        <v>322016.93674061616</v>
      </c>
      <c r="G54" s="334">
        <f t="shared" si="16"/>
        <v>132771.24169751615</v>
      </c>
      <c r="H54" s="334">
        <f t="shared" si="16"/>
        <v>324720.60860282608</v>
      </c>
      <c r="I54" s="334">
        <f t="shared" si="16"/>
        <v>694197.63717791345</v>
      </c>
      <c r="J54" s="334">
        <f t="shared" si="16"/>
        <v>1055047.8283602956</v>
      </c>
      <c r="K54" s="334">
        <f t="shared" si="16"/>
        <v>3434534.2798081357</v>
      </c>
      <c r="L54" s="334">
        <f t="shared" si="16"/>
        <v>4154441.3506499487</v>
      </c>
      <c r="M54" s="334">
        <f t="shared" si="16"/>
        <v>0</v>
      </c>
      <c r="N54" s="334">
        <f t="shared" si="16"/>
        <v>0</v>
      </c>
      <c r="O54" s="334">
        <f t="shared" si="16"/>
        <v>0</v>
      </c>
      <c r="P54" s="334">
        <f t="shared" si="16"/>
        <v>0</v>
      </c>
      <c r="Q54" s="334">
        <f t="shared" si="16"/>
        <v>0</v>
      </c>
      <c r="R54" s="334">
        <f t="shared" si="16"/>
        <v>0</v>
      </c>
      <c r="S54" s="334">
        <f t="shared" si="16"/>
        <v>0</v>
      </c>
      <c r="T54" s="334">
        <f t="shared" si="16"/>
        <v>0</v>
      </c>
      <c r="U54" s="334">
        <f t="shared" si="16"/>
        <v>0</v>
      </c>
      <c r="V54" s="334">
        <f t="shared" si="16"/>
        <v>0</v>
      </c>
      <c r="W54" s="334">
        <f t="shared" si="16"/>
        <v>0</v>
      </c>
      <c r="X54" s="334">
        <f t="shared" si="16"/>
        <v>0</v>
      </c>
      <c r="Y54" s="334">
        <f t="shared" si="16"/>
        <v>0</v>
      </c>
      <c r="Z54" s="334">
        <f t="shared" si="16"/>
        <v>0</v>
      </c>
      <c r="AA54" s="334">
        <f t="shared" si="16"/>
        <v>0</v>
      </c>
      <c r="AB54" s="334">
        <f t="shared" si="16"/>
        <v>0</v>
      </c>
      <c r="AC54" s="334">
        <f t="shared" si="16"/>
        <v>0</v>
      </c>
      <c r="AD54" s="334">
        <f t="shared" ref="AD54" si="17">AD65*INDEX(infl_ind,$A54,AD$48)</f>
        <v>0</v>
      </c>
      <c r="AE54" s="322"/>
    </row>
    <row r="55" spans="1:33" x14ac:dyDescent="0.2">
      <c r="A55" s="322">
        <v>7</v>
      </c>
      <c r="B55" s="322"/>
      <c r="C55" s="322" t="s">
        <v>7</v>
      </c>
      <c r="D55" s="334">
        <f t="shared" si="7"/>
        <v>215324.1</v>
      </c>
      <c r="E55" s="334">
        <f t="shared" ref="E55:AC55" si="18">E66*INDEX(infl_ind,$A55,E$48)</f>
        <v>232632</v>
      </c>
      <c r="F55" s="334">
        <f t="shared" si="18"/>
        <v>339922.55690999998</v>
      </c>
      <c r="G55" s="334">
        <f t="shared" si="18"/>
        <v>357379.9675683672</v>
      </c>
      <c r="H55" s="334">
        <f t="shared" si="18"/>
        <v>315662.85291901301</v>
      </c>
      <c r="I55" s="334">
        <f t="shared" si="18"/>
        <v>350138.57027636567</v>
      </c>
      <c r="J55" s="334">
        <f t="shared" si="18"/>
        <v>420326.78888319881</v>
      </c>
      <c r="K55" s="334">
        <f t="shared" si="18"/>
        <v>765890.56032926869</v>
      </c>
      <c r="L55" s="334">
        <f t="shared" si="18"/>
        <v>957767.59872913046</v>
      </c>
      <c r="M55" s="334">
        <f t="shared" si="18"/>
        <v>6597.9856660266069</v>
      </c>
      <c r="N55" s="334">
        <f t="shared" si="18"/>
        <v>7116.1583884471429</v>
      </c>
      <c r="O55" s="334">
        <f t="shared" si="18"/>
        <v>7710.6223519177638</v>
      </c>
      <c r="P55" s="334">
        <f t="shared" si="18"/>
        <v>8393.3163440322314</v>
      </c>
      <c r="Q55" s="334">
        <f t="shared" si="18"/>
        <v>9178.4407971114852</v>
      </c>
      <c r="R55" s="334">
        <f t="shared" si="18"/>
        <v>10082.919539554923</v>
      </c>
      <c r="S55" s="334">
        <f t="shared" si="18"/>
        <v>11126.965925521223</v>
      </c>
      <c r="T55" s="334">
        <f t="shared" si="18"/>
        <v>12334.77853159601</v>
      </c>
      <c r="U55" s="334">
        <f t="shared" si="18"/>
        <v>13735.398124116244</v>
      </c>
      <c r="V55" s="334">
        <f t="shared" si="18"/>
        <v>15363.765896188932</v>
      </c>
      <c r="W55" s="334">
        <f t="shared" si="18"/>
        <v>17262.033562438657</v>
      </c>
      <c r="X55" s="334">
        <f t="shared" si="18"/>
        <v>19481.189450459664</v>
      </c>
      <c r="Y55" s="334">
        <f t="shared" si="18"/>
        <v>22083.082113139491</v>
      </c>
      <c r="Z55" s="334">
        <f t="shared" si="18"/>
        <v>25142.945346797511</v>
      </c>
      <c r="AA55" s="334">
        <f t="shared" si="18"/>
        <v>28752.557333426728</v>
      </c>
      <c r="AB55" s="334">
        <f t="shared" si="18"/>
        <v>33024.203899512562</v>
      </c>
      <c r="AC55" s="334">
        <f t="shared" si="18"/>
        <v>38095.664193229684</v>
      </c>
      <c r="AD55" s="334">
        <f t="shared" ref="AD55" si="19">AD66*INDEX(infl_ind,$A55,AD$48)</f>
        <v>0</v>
      </c>
      <c r="AE55" s="322"/>
      <c r="AG55" t="s">
        <v>157</v>
      </c>
    </row>
    <row r="56" spans="1:33" x14ac:dyDescent="0.2">
      <c r="A56" s="322"/>
      <c r="B56" s="322"/>
      <c r="C56" s="322"/>
      <c r="D56" s="331"/>
      <c r="E56" s="331"/>
      <c r="F56" s="337"/>
      <c r="G56" s="338"/>
      <c r="H56" s="337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22"/>
      <c r="Y56" s="322"/>
      <c r="Z56" s="322"/>
      <c r="AA56" s="322"/>
      <c r="AB56" s="322"/>
      <c r="AC56" s="322"/>
      <c r="AD56" s="322"/>
      <c r="AE56" s="322"/>
    </row>
    <row r="57" spans="1:33" ht="14.25" x14ac:dyDescent="0.2">
      <c r="A57" s="322"/>
      <c r="B57" s="322"/>
      <c r="C57" s="336" t="s">
        <v>147</v>
      </c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22"/>
      <c r="Y57" s="322"/>
      <c r="Z57" s="322"/>
      <c r="AA57" s="322"/>
      <c r="AB57" s="322"/>
      <c r="AC57" s="322"/>
      <c r="AD57" s="322"/>
      <c r="AE57" s="322"/>
    </row>
    <row r="58" spans="1:33" x14ac:dyDescent="0.2">
      <c r="A58" s="322"/>
      <c r="B58" s="322"/>
      <c r="C58" s="333" t="s">
        <v>128</v>
      </c>
      <c r="D58" s="322">
        <v>2005</v>
      </c>
      <c r="E58" s="322">
        <v>2006</v>
      </c>
      <c r="F58" s="322">
        <v>2007</v>
      </c>
      <c r="G58" s="322">
        <v>2008</v>
      </c>
      <c r="H58" s="322">
        <v>2009</v>
      </c>
      <c r="I58" s="322">
        <v>2010</v>
      </c>
      <c r="J58" s="322">
        <v>2011</v>
      </c>
      <c r="K58" s="322">
        <v>2012</v>
      </c>
      <c r="L58" s="322">
        <v>2013</v>
      </c>
      <c r="M58" s="322">
        <v>2014</v>
      </c>
      <c r="N58" s="322">
        <v>2015</v>
      </c>
      <c r="O58" s="322">
        <v>2016</v>
      </c>
      <c r="P58" s="322">
        <v>2017</v>
      </c>
      <c r="Q58" s="322">
        <v>2018</v>
      </c>
      <c r="R58" s="322">
        <v>2019</v>
      </c>
      <c r="S58" s="322">
        <v>2020</v>
      </c>
      <c r="T58" s="322">
        <v>2021</v>
      </c>
      <c r="U58" s="322">
        <v>2022</v>
      </c>
      <c r="V58" s="322">
        <v>2023</v>
      </c>
      <c r="W58" s="322">
        <v>2024</v>
      </c>
      <c r="X58" s="322">
        <v>2025</v>
      </c>
      <c r="Y58" s="322">
        <v>2026</v>
      </c>
      <c r="Z58" s="322">
        <v>2027</v>
      </c>
      <c r="AA58" s="322">
        <v>2028</v>
      </c>
      <c r="AB58" s="322">
        <v>2029</v>
      </c>
      <c r="AC58" s="322">
        <v>2030</v>
      </c>
      <c r="AD58" s="322">
        <v>2031</v>
      </c>
      <c r="AE58" s="322"/>
    </row>
    <row r="59" spans="1:33" ht="13.5" thickBot="1" x14ac:dyDescent="0.25">
      <c r="A59" s="322"/>
      <c r="B59" s="322"/>
      <c r="C59" s="332"/>
      <c r="D59" s="322"/>
      <c r="E59" s="322">
        <v>1</v>
      </c>
      <c r="F59" s="322">
        <v>2</v>
      </c>
      <c r="G59" s="322">
        <v>3</v>
      </c>
      <c r="H59" s="322">
        <v>4</v>
      </c>
      <c r="I59" s="322">
        <v>5</v>
      </c>
      <c r="J59" s="322">
        <v>6</v>
      </c>
      <c r="K59" s="322">
        <v>7</v>
      </c>
      <c r="L59" s="322">
        <v>8</v>
      </c>
      <c r="M59" s="322">
        <v>9</v>
      </c>
      <c r="N59" s="322">
        <v>10</v>
      </c>
      <c r="O59" s="322">
        <v>11</v>
      </c>
      <c r="P59" s="322">
        <v>12</v>
      </c>
      <c r="Q59" s="322">
        <v>13</v>
      </c>
      <c r="R59" s="322">
        <v>14</v>
      </c>
      <c r="S59" s="322">
        <v>15</v>
      </c>
      <c r="T59" s="322">
        <v>16</v>
      </c>
      <c r="U59" s="322">
        <v>17</v>
      </c>
      <c r="V59" s="322">
        <v>18</v>
      </c>
      <c r="W59" s="322">
        <v>19</v>
      </c>
      <c r="X59" s="322">
        <v>20</v>
      </c>
      <c r="Y59" s="322">
        <v>21</v>
      </c>
      <c r="Z59" s="322">
        <v>22</v>
      </c>
      <c r="AA59" s="322">
        <v>23</v>
      </c>
      <c r="AB59" s="322">
        <v>24</v>
      </c>
      <c r="AC59" s="322">
        <v>25</v>
      </c>
      <c r="AD59" s="322">
        <v>26</v>
      </c>
      <c r="AE59" s="322"/>
    </row>
    <row r="60" spans="1:33" ht="13.5" thickBot="1" x14ac:dyDescent="0.25">
      <c r="A60" s="322">
        <v>1</v>
      </c>
      <c r="B60" s="322"/>
      <c r="C60" s="322" t="s">
        <v>47</v>
      </c>
      <c r="D60" s="339">
        <f>[2]Эксплозатраты!B15*0.001</f>
        <v>1228093.9379099999</v>
      </c>
      <c r="E60" s="339">
        <f>[2]Эксплозатраты!C15*0.001</f>
        <v>910579.8668800001</v>
      </c>
      <c r="F60" s="339">
        <f>[2]Эксплозатраты!D15*0.001</f>
        <v>1140400.74948</v>
      </c>
      <c r="G60" s="339">
        <f>[2]Эксплозатраты!E15*0.001</f>
        <v>1612821.7766399998</v>
      </c>
      <c r="H60" s="339">
        <f>[2]Эксплозатраты!F15*0.001</f>
        <v>1653558.3348399999</v>
      </c>
      <c r="I60" s="339">
        <f>[2]Эксплозатраты!G15*0.001</f>
        <v>1853558.0041500002</v>
      </c>
      <c r="J60" s="339">
        <f>[2]Эксплозатраты!H15*0.001</f>
        <v>2188743.7740699998</v>
      </c>
      <c r="K60" s="339">
        <f>[2]Эксплозатраты!I15*0.001</f>
        <v>2084606.93982</v>
      </c>
      <c r="L60" s="339">
        <f>[2]Эксплозатраты!J15*0.001</f>
        <v>1646953.7583799998</v>
      </c>
      <c r="M60" s="340">
        <f>'[1]распределение '!L156</f>
        <v>4.887882521964515E-2</v>
      </c>
      <c r="N60" s="340">
        <f>'[1]распределение '!M156</f>
        <v>5.6233581906800278E-2</v>
      </c>
      <c r="O60" s="340">
        <f>'[1]распределение '!N156</f>
        <v>6.6888544771732339E-2</v>
      </c>
      <c r="P60" s="340">
        <f>'[1]распределение '!O156</f>
        <v>5.9379899999409624E-2</v>
      </c>
      <c r="Q60" s="340">
        <f>'[1]распределение '!P156</f>
        <v>7.7289886151782117E-2</v>
      </c>
      <c r="R60" s="340">
        <f>'[1]распределение '!Q156</f>
        <v>9.0183950950501246E-2</v>
      </c>
      <c r="S60" s="340">
        <f>'[1]распределение '!R156</f>
        <v>0.10431230117782575</v>
      </c>
      <c r="T60" s="340">
        <f>'[1]распределение '!S156</f>
        <v>0.11468451486137865</v>
      </c>
      <c r="U60" s="340">
        <f>'[1]распределение '!T156</f>
        <v>0.12299329623247346</v>
      </c>
      <c r="V60" s="340">
        <f>'[1]распределение '!U156</f>
        <v>0.12839464322178429</v>
      </c>
      <c r="W60" s="340">
        <f>'[1]распределение '!V156</f>
        <v>0.12819207996452153</v>
      </c>
      <c r="X60" s="340">
        <f>'[1]распределение '!W156</f>
        <v>0.1214710509585416</v>
      </c>
      <c r="Y60" s="340">
        <f>'[1]распределение '!X156</f>
        <v>0.11337923270459482</v>
      </c>
      <c r="Z60" s="340">
        <f>'[1]распределение '!Y156</f>
        <v>0.12248699215738512</v>
      </c>
      <c r="AA60" s="340">
        <f>'[1]распределение '!Z156</f>
        <v>0.13082154971408866</v>
      </c>
      <c r="AB60" s="340">
        <f>'[1]распределение '!AA156</f>
        <v>0.13940847722349348</v>
      </c>
      <c r="AC60" s="340">
        <f>'[1]распределение '!AB156</f>
        <v>0.14769404965202759</v>
      </c>
      <c r="AD60" s="340">
        <f>'[1]распределение '!AC156</f>
        <v>0</v>
      </c>
      <c r="AE60" s="322"/>
    </row>
    <row r="61" spans="1:33" ht="13.5" thickBot="1" x14ac:dyDescent="0.25">
      <c r="A61" s="322">
        <v>2</v>
      </c>
      <c r="B61" s="322"/>
      <c r="C61" s="322" t="s">
        <v>18</v>
      </c>
      <c r="D61" s="339">
        <f>[2]Эксплозатраты!B16*0.001</f>
        <v>293315.48213999998</v>
      </c>
      <c r="E61" s="339">
        <f>[2]Эксплозатраты!C16*0.001</f>
        <v>316888.86693999998</v>
      </c>
      <c r="F61" s="339">
        <f>[2]Эксплозатраты!D16*0.001</f>
        <v>357292.23908999999</v>
      </c>
      <c r="G61" s="339">
        <f>[2]Эксплозатраты!E16*0.001</f>
        <v>617107.26812999998</v>
      </c>
      <c r="H61" s="339">
        <f>[2]Эксплозатраты!F16*0.001</f>
        <v>680200.94562000025</v>
      </c>
      <c r="I61" s="339">
        <f>[2]Эксплозатраты!G16*0.001</f>
        <v>409412.52368999994</v>
      </c>
      <c r="J61" s="339">
        <f>[2]Эксплозатраты!H16*0.001</f>
        <v>752150.97190999996</v>
      </c>
      <c r="K61" s="339">
        <f>[2]Эксплозатраты!I16*0.001</f>
        <v>929664.88486999995</v>
      </c>
      <c r="L61" s="339">
        <f>[2]Эксплозатраты!J16*0.001</f>
        <v>990103.49676999997</v>
      </c>
      <c r="M61" s="340">
        <f>'[1]распределение '!L157</f>
        <v>9.5472773907524268E-4</v>
      </c>
      <c r="N61" s="340">
        <f>'[1]распределение '!M157</f>
        <v>1.7474069810412118E-3</v>
      </c>
      <c r="O61" s="340">
        <f>'[1]распределение '!N157</f>
        <v>2.0200472812148991E-3</v>
      </c>
      <c r="P61" s="340">
        <f>'[1]распределение '!O157</f>
        <v>1.7104919785669095E-3</v>
      </c>
      <c r="Q61" s="340">
        <f>'[1]распределение '!P157</f>
        <v>2.4141006582771816E-3</v>
      </c>
      <c r="R61" s="340">
        <f>'[1]распределение '!Q157</f>
        <v>2.6135777350867438E-3</v>
      </c>
      <c r="S61" s="340">
        <f>'[1]распределение '!R157</f>
        <v>3.3353418887220876E-3</v>
      </c>
      <c r="T61" s="340">
        <f>'[1]распределение '!S157</f>
        <v>3.9682415531400693E-3</v>
      </c>
      <c r="U61" s="340">
        <f>'[1]распределение '!T157</f>
        <v>4.5439791869279107E-3</v>
      </c>
      <c r="V61" s="340">
        <f>'[1]распределение '!U157</f>
        <v>5.0341768629674766E-3</v>
      </c>
      <c r="W61" s="340">
        <f>'[1]распределение '!V157</f>
        <v>5.4478264640210501E-3</v>
      </c>
      <c r="X61" s="340">
        <f>'[1]распределение '!W157</f>
        <v>5.8217837389713256E-3</v>
      </c>
      <c r="Y61" s="340">
        <f>'[1]распределение '!X157</f>
        <v>6.3063287883588018E-3</v>
      </c>
      <c r="Z61" s="340">
        <f>'[1]распределение '!Y157</f>
        <v>6.8171257734127473E-3</v>
      </c>
      <c r="AA61" s="340">
        <f>'[1]распределение '!Z157</f>
        <v>7.2878951399469524E-3</v>
      </c>
      <c r="AB61" s="340">
        <f>'[1]распределение '!AA157</f>
        <v>7.8653472008112513E-3</v>
      </c>
      <c r="AC61" s="340">
        <f>'[1]распределение '!AB157</f>
        <v>7.3803072489728797E-3</v>
      </c>
      <c r="AD61" s="340">
        <f>'[1]распределение '!AC157</f>
        <v>0</v>
      </c>
      <c r="AE61" s="322"/>
    </row>
    <row r="62" spans="1:33" ht="14.25" customHeight="1" thickBot="1" x14ac:dyDescent="0.25">
      <c r="A62" s="322">
        <v>3</v>
      </c>
      <c r="B62" s="322"/>
      <c r="C62" s="322" t="s">
        <v>61</v>
      </c>
      <c r="D62" s="339">
        <f>[2]Эксплозатраты!B17*0.001</f>
        <v>1142953.399669999</v>
      </c>
      <c r="E62" s="339">
        <f>[2]Эксплозатраты!C17*0.001</f>
        <v>1487153.0239900001</v>
      </c>
      <c r="F62" s="339">
        <f>[2]Эксплозатраты!D17*0.001</f>
        <v>1679426.6912</v>
      </c>
      <c r="G62" s="339">
        <f>[2]Эксплозатраты!E17*0.001</f>
        <v>897776.0226299999</v>
      </c>
      <c r="H62" s="339">
        <f>[2]Эксплозатраты!F17*0.001</f>
        <v>1245328.0668200015</v>
      </c>
      <c r="I62" s="339">
        <f>[2]Эксплозатраты!G17*0.001</f>
        <v>2211411.6595799997</v>
      </c>
      <c r="J62" s="339">
        <f>[2]Эксплозатраты!H17*0.001</f>
        <v>2010027.1027399988</v>
      </c>
      <c r="K62" s="339">
        <f>[2]Эксплозатраты!I17*0.001</f>
        <v>12739308.896480002</v>
      </c>
      <c r="L62" s="339">
        <f>[2]Эксплозатраты!J17*0.001</f>
        <v>13330895.300340001</v>
      </c>
      <c r="M62" s="340">
        <f>'[1]распределение '!L158</f>
        <v>1.7149656195624662E-3</v>
      </c>
      <c r="N62" s="340">
        <f>'[1]распределение '!M158</f>
        <v>2.4734403924480432E-3</v>
      </c>
      <c r="O62" s="340">
        <f>'[1]распределение '!N158</f>
        <v>3.0687133445439878E-3</v>
      </c>
      <c r="P62" s="340">
        <f>'[1]распределение '!O158</f>
        <v>0</v>
      </c>
      <c r="Q62" s="340">
        <f>'[1]распределение '!P158</f>
        <v>1.5861741969616996E-3</v>
      </c>
      <c r="R62" s="340">
        <f>'[1]распределение '!Q158</f>
        <v>2.7973127466788053E-3</v>
      </c>
      <c r="S62" s="340">
        <f>'[1]распределение '!R158</f>
        <v>3.8092607960508174E-3</v>
      </c>
      <c r="T62" s="340">
        <f>'[1]распределение '!S158</f>
        <v>4.6047145766741071E-3</v>
      </c>
      <c r="U62" s="340">
        <f>'[1]распределение '!T158</f>
        <v>5.271159364764362E-3</v>
      </c>
      <c r="V62" s="340">
        <f>'[1]распределение '!U158</f>
        <v>5.7895488912563312E-3</v>
      </c>
      <c r="W62" s="340">
        <f>'[1]распределение '!V158</f>
        <v>6.1779273868835805E-3</v>
      </c>
      <c r="X62" s="340">
        <f>'[1]распределение '!W158</f>
        <v>6.5133970655001441E-3</v>
      </c>
      <c r="Y62" s="340">
        <f>'[1]распределение '!X158</f>
        <v>7.0657985987060135E-3</v>
      </c>
      <c r="Z62" s="340">
        <f>'[1]распределение '!Y158</f>
        <v>7.6296946745350314E-3</v>
      </c>
      <c r="AA62" s="340">
        <f>'[1]распределение '!Z158</f>
        <v>8.1337008290128104E-3</v>
      </c>
      <c r="AB62" s="340">
        <f>'[1]распределение '!AA158</f>
        <v>8.8245361951468093E-3</v>
      </c>
      <c r="AC62" s="340">
        <f>'[1]распределение '!AB158</f>
        <v>7.9738181321719268E-3</v>
      </c>
      <c r="AD62" s="340">
        <f>'[1]распределение '!AC158</f>
        <v>0</v>
      </c>
      <c r="AE62" s="322"/>
    </row>
    <row r="63" spans="1:33" ht="13.5" thickBot="1" x14ac:dyDescent="0.25">
      <c r="A63" s="322">
        <v>4</v>
      </c>
      <c r="B63" s="322"/>
      <c r="C63" s="322" t="s">
        <v>20</v>
      </c>
      <c r="D63" s="339">
        <f>[2]Эксплозатраты!B18*0.001</f>
        <v>2815817.199740001</v>
      </c>
      <c r="E63" s="339">
        <f>[2]Эксплозатраты!C18*0.001</f>
        <v>3429919.065919999</v>
      </c>
      <c r="F63" s="339">
        <f>[2]Эксплозатраты!D18*0.001</f>
        <v>3842847.4476499995</v>
      </c>
      <c r="G63" s="339">
        <f>[2]Эксплозатраты!E18*0.001</f>
        <v>2601346.2198299998</v>
      </c>
      <c r="H63" s="339">
        <f>[2]Эксплозатраты!F18*0.001</f>
        <v>1076904.6984799996</v>
      </c>
      <c r="I63" s="339">
        <f>[2]Эксплозатраты!G18*0.001</f>
        <v>1348740.7805699997</v>
      </c>
      <c r="J63" s="339">
        <f>[2]Эксплозатраты!H18*0.001</f>
        <v>1632337.9357799997</v>
      </c>
      <c r="K63" s="339">
        <f>[2]Эксплозатраты!I18*0.001</f>
        <v>1118136.7991800001</v>
      </c>
      <c r="L63" s="339">
        <f>[2]Эксплозатраты!J18*0.001</f>
        <v>1128464.421920002</v>
      </c>
      <c r="M63" s="340">
        <f>'[1]распределение '!L159</f>
        <v>1.6251704534409078E-2</v>
      </c>
      <c r="N63" s="340">
        <f>'[1]распределение '!M159</f>
        <v>1.4593710554694161E-2</v>
      </c>
      <c r="O63" s="340">
        <f>'[1]распределение '!N159</f>
        <v>2.2364923956675303E-2</v>
      </c>
      <c r="P63" s="340">
        <f>'[1]распределение '!O159</f>
        <v>2.4742066021134712E-2</v>
      </c>
      <c r="Q63" s="340">
        <f>'[1]распределение '!P159</f>
        <v>2.4940083795816304E-2</v>
      </c>
      <c r="R63" s="340">
        <f>'[1]распределение '!Q159</f>
        <v>3.1133639570133542E-2</v>
      </c>
      <c r="S63" s="340">
        <f>'[1]распределение '!R159</f>
        <v>3.6430874188985191E-2</v>
      </c>
      <c r="T63" s="340">
        <f>'[1]распределение '!S159</f>
        <v>4.1507090580159556E-2</v>
      </c>
      <c r="U63" s="340">
        <f>'[1]распределение '!T159</f>
        <v>4.8968750178669113E-2</v>
      </c>
      <c r="V63" s="340">
        <f>'[1]распределение '!U159</f>
        <v>5.3119929209271916E-2</v>
      </c>
      <c r="W63" s="340">
        <f>'[1]распределение '!V159</f>
        <v>5.6753168640753388E-2</v>
      </c>
      <c r="X63" s="340">
        <f>'[1]распределение '!W159</f>
        <v>6.3070955561838171E-2</v>
      </c>
      <c r="Y63" s="340">
        <f>'[1]распределение '!X159</f>
        <v>6.7692592115799893E-2</v>
      </c>
      <c r="Z63" s="340">
        <f>'[1]распределение '!Y159</f>
        <v>7.264853336261054E-2</v>
      </c>
      <c r="AA63" s="340">
        <f>'[1]распределение '!Z159</f>
        <v>8.052440991603188E-2</v>
      </c>
      <c r="AB63" s="340">
        <f>'[1]распределение '!AA159</f>
        <v>8.6432524719115417E-2</v>
      </c>
      <c r="AC63" s="340">
        <f>'[1]распределение '!AB159</f>
        <v>8.320035990248148E-2</v>
      </c>
      <c r="AD63" s="340">
        <f>'[1]распределение '!AC159</f>
        <v>0</v>
      </c>
      <c r="AE63" s="322"/>
    </row>
    <row r="64" spans="1:33" ht="13.5" thickBot="1" x14ac:dyDescent="0.25">
      <c r="A64" s="322">
        <v>5</v>
      </c>
      <c r="B64" s="322"/>
      <c r="C64" s="322" t="s">
        <v>21</v>
      </c>
      <c r="D64" s="339">
        <f>[2]Эксплозатраты!B19*0.001</f>
        <v>96966.332849999992</v>
      </c>
      <c r="E64" s="339">
        <f>[2]Эксплозатраты!C19*0.001</f>
        <v>151915.10248999999</v>
      </c>
      <c r="F64" s="339">
        <f>[2]Эксплозатраты!D19*0.001</f>
        <v>136711.90348000001</v>
      </c>
      <c r="G64" s="339">
        <f>[2]Эксплозатраты!E19*0.001</f>
        <v>430890.01692000008</v>
      </c>
      <c r="H64" s="339">
        <f>[2]Эксплозатраты!F19*0.001</f>
        <v>404513.9931599999</v>
      </c>
      <c r="I64" s="339">
        <f>[2]Эксплозатраты!G19*0.001</f>
        <v>445559.51118999993</v>
      </c>
      <c r="J64" s="339">
        <f>[2]Эксплозатраты!H19*0.001</f>
        <v>441200.44419000001</v>
      </c>
      <c r="K64" s="339">
        <f>[2]Эксплозатраты!I19*0.001</f>
        <v>450000</v>
      </c>
      <c r="L64" s="339">
        <f>[2]Эксплозатраты!J19*0.001</f>
        <v>460000</v>
      </c>
      <c r="M64" s="340">
        <f>'[1]распределение '!L160</f>
        <v>1.3835493425290057E-2</v>
      </c>
      <c r="N64" s="340">
        <f>'[1]распределение '!M160</f>
        <v>1.8232883770245123E-2</v>
      </c>
      <c r="O64" s="340">
        <f>'[1]распределение '!N160</f>
        <v>2.3279255498399126E-2</v>
      </c>
      <c r="P64" s="340">
        <f>'[1]распределение '!O160</f>
        <v>1.6873993565729273E-2</v>
      </c>
      <c r="Q64" s="340">
        <f>'[1]распределение '!P160</f>
        <v>2.3070903002085114E-2</v>
      </c>
      <c r="R64" s="340">
        <f>'[1]распределение '!Q160</f>
        <v>2.8134286219249294E-2</v>
      </c>
      <c r="S64" s="340">
        <f>'[1]распределение '!R160</f>
        <v>3.6272473189790516E-2</v>
      </c>
      <c r="T64" s="340">
        <f>'[1]распределение '!S160</f>
        <v>4.3753139867740598E-2</v>
      </c>
      <c r="U64" s="340">
        <f>'[1]распределение '!T160</f>
        <v>4.5791490050615336E-2</v>
      </c>
      <c r="V64" s="340">
        <f>'[1]распределение '!U160</f>
        <v>5.2789835983690081E-2</v>
      </c>
      <c r="W64" s="340">
        <f>'[1]распределение '!V160</f>
        <v>5.9001041636903173E-2</v>
      </c>
      <c r="X64" s="340">
        <f>'[1]распределение '!W160</f>
        <v>5.9474565574466703E-2</v>
      </c>
      <c r="Y64" s="340">
        <f>'[1]распределение '!X160</f>
        <v>6.7073286769092078E-2</v>
      </c>
      <c r="Z64" s="340">
        <f>'[1]распределение '!Y160</f>
        <v>7.47024547127354E-2</v>
      </c>
      <c r="AA64" s="340">
        <f>'[1]распределение '!Z160</f>
        <v>7.6559177552144475E-2</v>
      </c>
      <c r="AB64" s="340">
        <f>'[1]распределение '!AA160</f>
        <v>8.553899942176782E-2</v>
      </c>
      <c r="AC64" s="340">
        <f>'[1]распределение '!AB160</f>
        <v>8.5497745491980831E-2</v>
      </c>
      <c r="AD64" s="340">
        <f>'[1]распределение '!AC160</f>
        <v>0</v>
      </c>
      <c r="AE64" s="322"/>
    </row>
    <row r="65" spans="1:31" ht="13.5" thickBot="1" x14ac:dyDescent="0.25">
      <c r="A65" s="322">
        <v>6</v>
      </c>
      <c r="B65" s="322"/>
      <c r="C65" s="322" t="s">
        <v>6</v>
      </c>
      <c r="D65" s="339">
        <f>[2]Эксплозатраты!B20*0.001</f>
        <v>200002.18558000002</v>
      </c>
      <c r="E65" s="339">
        <f>[2]Эксплозатраты!C20*0.001</f>
        <v>228844.81277999998</v>
      </c>
      <c r="F65" s="339">
        <f>[2]Эксплозатраты!D20*0.001</f>
        <v>241522.36345000012</v>
      </c>
      <c r="G65" s="339">
        <f>[2]Эксплозатраты!E20*0.001</f>
        <v>77677.390459999922</v>
      </c>
      <c r="H65" s="339">
        <f>[2]Эксплозатраты!F20*0.001</f>
        <v>179392.59099999996</v>
      </c>
      <c r="I65" s="339">
        <f>[2]Эксплозатраты!G20*0.001</f>
        <v>302931.24915000005</v>
      </c>
      <c r="J65" s="339">
        <f>[2]Эксплозатраты!H20*0.001</f>
        <v>452701.71475000028</v>
      </c>
      <c r="K65" s="339">
        <f>[2]Эксплозатраты!I20*0.001</f>
        <v>1441972.41111</v>
      </c>
      <c r="L65" s="339">
        <f>[2]Эксплозатраты!J20*0.001</f>
        <v>1698365.9903300002</v>
      </c>
      <c r="M65" s="340">
        <f>'[1]распределение '!L161</f>
        <v>0</v>
      </c>
      <c r="N65" s="340">
        <f>'[1]распределение '!M161</f>
        <v>0</v>
      </c>
      <c r="O65" s="340">
        <f>'[1]распределение '!N161</f>
        <v>0</v>
      </c>
      <c r="P65" s="340">
        <f>'[1]распределение '!O161</f>
        <v>0</v>
      </c>
      <c r="Q65" s="340">
        <f>'[1]распределение '!P161</f>
        <v>0</v>
      </c>
      <c r="R65" s="340">
        <f>'[1]распределение '!Q161</f>
        <v>0</v>
      </c>
      <c r="S65" s="340">
        <f>'[1]распределение '!R161</f>
        <v>0</v>
      </c>
      <c r="T65" s="340">
        <f>'[1]распределение '!S161</f>
        <v>0</v>
      </c>
      <c r="U65" s="340">
        <f>'[1]распределение '!T161</f>
        <v>0</v>
      </c>
      <c r="V65" s="340">
        <f>'[1]распределение '!U161</f>
        <v>0</v>
      </c>
      <c r="W65" s="340">
        <f>'[1]распределение '!V161</f>
        <v>0</v>
      </c>
      <c r="X65" s="340">
        <f>'[1]распределение '!W161</f>
        <v>0</v>
      </c>
      <c r="Y65" s="340">
        <f>'[1]распределение '!X161</f>
        <v>0</v>
      </c>
      <c r="Z65" s="340">
        <f>'[1]распределение '!Y161</f>
        <v>0</v>
      </c>
      <c r="AA65" s="340">
        <f>'[1]распределение '!Z161</f>
        <v>0</v>
      </c>
      <c r="AB65" s="340">
        <f>'[1]распределение '!AA161</f>
        <v>0</v>
      </c>
      <c r="AC65" s="340">
        <f>'[1]распределение '!AB161</f>
        <v>0</v>
      </c>
      <c r="AD65" s="340">
        <f>'[1]распределение '!AC161</f>
        <v>0</v>
      </c>
      <c r="AE65" s="322"/>
    </row>
    <row r="66" spans="1:31" x14ac:dyDescent="0.2">
      <c r="A66" s="322">
        <v>7</v>
      </c>
      <c r="B66" s="322"/>
      <c r="C66" s="322" t="s">
        <v>7</v>
      </c>
      <c r="D66" s="339">
        <f>[2]Эксплозатраты!B21*0.001</f>
        <v>215324.1</v>
      </c>
      <c r="E66" s="339">
        <f>[2]Эксплозатраты!C21*0.001</f>
        <v>216000</v>
      </c>
      <c r="F66" s="339">
        <f>[2]Эксплозатраты!D21*0.001</f>
        <v>216030</v>
      </c>
      <c r="G66" s="339">
        <f>[2]Эксплозатраты!E21*0.001</f>
        <v>210886.40457999994</v>
      </c>
      <c r="H66" s="339">
        <f>[2]Эксплозатраты!F21*0.001</f>
        <v>153814.65355000002</v>
      </c>
      <c r="I66" s="339">
        <f>[2]Эксплозатраты!G21*0.001</f>
        <v>137814.06522999998</v>
      </c>
      <c r="J66" s="339">
        <f>[2]Эксплозатраты!H21*0.001</f>
        <v>156370.56016000008</v>
      </c>
      <c r="K66" s="339">
        <f>[2]Эксплозатраты!I21*0.001</f>
        <v>268041.08933000005</v>
      </c>
      <c r="L66" s="339">
        <f>[2]Эксплозатраты!J21*0.001</f>
        <v>313851.02078000008</v>
      </c>
      <c r="M66" s="340">
        <f>'[1]распределение '!L162</f>
        <v>2015</v>
      </c>
      <c r="N66" s="340">
        <f>'[1]распределение '!M162</f>
        <v>2016</v>
      </c>
      <c r="O66" s="340">
        <f>'[1]распределение '!N162</f>
        <v>2017</v>
      </c>
      <c r="P66" s="340">
        <f>'[1]распределение '!O162</f>
        <v>2018</v>
      </c>
      <c r="Q66" s="340">
        <f>'[1]распределение '!P162</f>
        <v>2019</v>
      </c>
      <c r="R66" s="340">
        <f>'[1]распределение '!Q162</f>
        <v>2020</v>
      </c>
      <c r="S66" s="340">
        <f>'[1]распределение '!R162</f>
        <v>2021</v>
      </c>
      <c r="T66" s="340">
        <f>'[1]распределение '!S162</f>
        <v>2022</v>
      </c>
      <c r="U66" s="340">
        <f>'[1]распределение '!T162</f>
        <v>2023</v>
      </c>
      <c r="V66" s="340">
        <f>'[1]распределение '!U162</f>
        <v>2024</v>
      </c>
      <c r="W66" s="340">
        <f>'[1]распределение '!V162</f>
        <v>2025</v>
      </c>
      <c r="X66" s="340">
        <f>'[1]распределение '!W162</f>
        <v>2026</v>
      </c>
      <c r="Y66" s="340">
        <f>'[1]распределение '!X162</f>
        <v>2027</v>
      </c>
      <c r="Z66" s="340">
        <f>'[1]распределение '!Y162</f>
        <v>2028</v>
      </c>
      <c r="AA66" s="340">
        <f>'[1]распределение '!Z162</f>
        <v>2029</v>
      </c>
      <c r="AB66" s="340">
        <f>'[1]распределение '!AA162</f>
        <v>2030</v>
      </c>
      <c r="AC66" s="340">
        <f>'[1]распределение '!AB162</f>
        <v>2031</v>
      </c>
      <c r="AD66" s="340">
        <f>'[1]распределение '!AC162</f>
        <v>0</v>
      </c>
      <c r="AE66" s="322"/>
    </row>
    <row r="67" spans="1:31" x14ac:dyDescent="0.2">
      <c r="A67" s="322"/>
      <c r="B67" s="322"/>
      <c r="C67" s="322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22"/>
      <c r="Y67" s="322"/>
      <c r="Z67" s="322"/>
      <c r="AA67" s="322"/>
      <c r="AB67" s="322"/>
      <c r="AC67" s="322"/>
      <c r="AD67" s="322"/>
      <c r="AE67" s="322"/>
    </row>
    <row r="68" spans="1:31" x14ac:dyDescent="0.2">
      <c r="C68" s="191" t="s">
        <v>29</v>
      </c>
      <c r="D68" s="277">
        <v>2005</v>
      </c>
      <c r="E68" s="277">
        <v>2006</v>
      </c>
      <c r="F68" s="277">
        <v>2007</v>
      </c>
      <c r="G68" s="277">
        <v>2008</v>
      </c>
      <c r="H68" s="277">
        <v>2009</v>
      </c>
      <c r="I68" s="277">
        <v>2010</v>
      </c>
      <c r="J68" s="277">
        <v>2011</v>
      </c>
      <c r="K68" s="277">
        <v>2012</v>
      </c>
      <c r="L68" s="277">
        <v>2013</v>
      </c>
      <c r="M68" s="283">
        <v>2014</v>
      </c>
      <c r="N68" s="277">
        <v>2015</v>
      </c>
      <c r="O68" s="277">
        <v>2016</v>
      </c>
      <c r="P68" s="277">
        <v>2017</v>
      </c>
      <c r="Q68" s="277">
        <v>2018</v>
      </c>
      <c r="R68" s="277">
        <v>2019</v>
      </c>
      <c r="S68" s="277">
        <v>2020</v>
      </c>
      <c r="T68" s="277">
        <v>2021</v>
      </c>
      <c r="U68" s="277">
        <v>2022</v>
      </c>
      <c r="V68" s="277">
        <v>2023</v>
      </c>
      <c r="W68" s="277">
        <v>2024</v>
      </c>
      <c r="X68" s="277">
        <v>2025</v>
      </c>
      <c r="Y68" s="277">
        <v>2026</v>
      </c>
      <c r="Z68" s="277">
        <v>2027</v>
      </c>
      <c r="AA68" s="277">
        <v>2028</v>
      </c>
      <c r="AB68" s="277">
        <v>2029</v>
      </c>
      <c r="AC68" s="277">
        <v>2030</v>
      </c>
      <c r="AD68" s="320">
        <v>2031</v>
      </c>
    </row>
    <row r="69" spans="1:31" ht="14.25" x14ac:dyDescent="0.2">
      <c r="C69" s="173" t="s">
        <v>148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  <c r="Y69">
        <v>21</v>
      </c>
      <c r="Z69">
        <v>22</v>
      </c>
      <c r="AA69">
        <v>23</v>
      </c>
      <c r="AB69">
        <v>24</v>
      </c>
      <c r="AC69">
        <v>25</v>
      </c>
      <c r="AD69">
        <v>26</v>
      </c>
    </row>
    <row r="70" spans="1:31" x14ac:dyDescent="0.2">
      <c r="C70" s="279" t="s">
        <v>110</v>
      </c>
      <c r="D70" s="188">
        <f>[2]Мощности!D36</f>
        <v>131100</v>
      </c>
      <c r="E70" s="188">
        <f>[2]Мощности!E36</f>
        <v>179000</v>
      </c>
      <c r="F70" s="188">
        <f>[2]Мощности!F36</f>
        <v>232700</v>
      </c>
      <c r="G70" s="188">
        <f>[2]Мощности!G36</f>
        <v>258600</v>
      </c>
      <c r="H70" s="188">
        <f>[2]Мощности!H36</f>
        <v>269100</v>
      </c>
      <c r="I70" s="188">
        <f>[2]Мощности!I36</f>
        <v>274800</v>
      </c>
      <c r="J70" s="188">
        <f>[2]Мощности!J36</f>
        <v>276900</v>
      </c>
      <c r="K70" s="188">
        <f>[2]Мощности!K36</f>
        <v>302900</v>
      </c>
      <c r="L70" s="188">
        <f>[2]Мощности!L36</f>
        <v>290200</v>
      </c>
      <c r="M70" s="324">
        <f>M71+M72</f>
        <v>79383.115252991236</v>
      </c>
      <c r="N70" s="324">
        <f t="shared" ref="N70:AC70" si="20">N71+N72</f>
        <v>51599.086177866746</v>
      </c>
      <c r="O70" s="324">
        <f t="shared" si="20"/>
        <v>41279.294826084624</v>
      </c>
      <c r="P70" s="324">
        <f t="shared" si="20"/>
        <v>358705.31417405262</v>
      </c>
      <c r="Q70" s="324">
        <f t="shared" si="20"/>
        <v>230114.98472091343</v>
      </c>
      <c r="R70" s="324">
        <f t="shared" si="20"/>
        <v>167921.40787763312</v>
      </c>
      <c r="S70" s="324">
        <f t="shared" si="20"/>
        <v>78789.249319506547</v>
      </c>
      <c r="T70" s="324">
        <f t="shared" si="20"/>
        <v>117987.0239634366</v>
      </c>
      <c r="U70" s="324">
        <f t="shared" si="20"/>
        <v>74244.366184296887</v>
      </c>
      <c r="V70" s="324">
        <f t="shared" si="20"/>
        <v>67361.631564272073</v>
      </c>
      <c r="W70" s="324">
        <f t="shared" si="20"/>
        <v>61991.725505089868</v>
      </c>
      <c r="X70" s="324">
        <f t="shared" si="20"/>
        <v>65341.889724298118</v>
      </c>
      <c r="Y70" s="324">
        <f t="shared" si="20"/>
        <v>94798.860632692187</v>
      </c>
      <c r="Z70" s="324">
        <f t="shared" si="20"/>
        <v>51567.101374996528</v>
      </c>
      <c r="AA70" s="324">
        <f t="shared" si="20"/>
        <v>95345.044155566386</v>
      </c>
      <c r="AB70" s="324">
        <f t="shared" si="20"/>
        <v>169766.92211446134</v>
      </c>
      <c r="AC70" s="324">
        <f t="shared" si="20"/>
        <v>0.11992295886275166</v>
      </c>
      <c r="AD70" s="324">
        <f t="shared" ref="AD70" si="21">AD71+AD72</f>
        <v>5</v>
      </c>
    </row>
    <row r="71" spans="1:31" ht="13.5" thickBot="1" x14ac:dyDescent="0.25">
      <c r="C71" s="180" t="s">
        <v>48</v>
      </c>
      <c r="D71" s="202">
        <f>'[1]распределение '!C179</f>
        <v>0.26499912417665161</v>
      </c>
      <c r="E71" s="202">
        <f>'[1]распределение '!D179</f>
        <v>0.36004748797313829</v>
      </c>
      <c r="F71" s="202">
        <f>'[1]распределение '!E179</f>
        <v>0.36678540085206174</v>
      </c>
      <c r="G71" s="202">
        <f>'[1]распределение '!F179</f>
        <v>0.16675242563664083</v>
      </c>
      <c r="H71" s="202">
        <f>'[1]распределение '!G179</f>
        <v>0.20095949436801017</v>
      </c>
      <c r="I71" s="202">
        <f>'[1]распределение '!H179</f>
        <v>1.424554279281426E-2</v>
      </c>
      <c r="J71" s="202">
        <f>'[1]распределение '!I179</f>
        <v>0</v>
      </c>
      <c r="K71" s="202">
        <f>'[1]распределение '!J179</f>
        <v>1.6398735900905279E-2</v>
      </c>
      <c r="L71" s="202">
        <f>'[1]распределение '!K179</f>
        <v>0.19520506507065732</v>
      </c>
      <c r="M71" s="202">
        <f>'[1]распределение '!L179</f>
        <v>0.1362529912369928</v>
      </c>
      <c r="N71" s="202">
        <f>'[1]распределение '!M179</f>
        <v>0.14982786675460563</v>
      </c>
      <c r="O71" s="202">
        <f>'[1]распределение '!N179</f>
        <v>0.14574608462581548</v>
      </c>
      <c r="P71" s="202">
        <f>'[1]распределение '!O179</f>
        <v>0</v>
      </c>
      <c r="Q71" s="202">
        <f>'[1]распределение '!P179</f>
        <v>7.9908685171089011E-2</v>
      </c>
      <c r="R71" s="202">
        <f>'[1]распределение '!Q179</f>
        <v>0.11334385484599646</v>
      </c>
      <c r="S71" s="202">
        <f>'[1]распределение '!R179</f>
        <v>0.12346820131681906</v>
      </c>
      <c r="T71" s="202">
        <f>'[1]распределение '!S179</f>
        <v>0.12801452057909005</v>
      </c>
      <c r="U71" s="202">
        <f>'[1]распределение '!T179</f>
        <v>0.129841798665565</v>
      </c>
      <c r="V71" s="202">
        <f>'[1]распределение '!U179</f>
        <v>0.12957285930632578</v>
      </c>
      <c r="W71" s="202">
        <f>'[1]распределение '!V179</f>
        <v>0.12746220467088326</v>
      </c>
      <c r="X71" s="202">
        <f>'[1]распределение '!W179</f>
        <v>0.12694765392447502</v>
      </c>
      <c r="Y71" s="202">
        <f>'[1]распределение '!X179</f>
        <v>0.13051995415778878</v>
      </c>
      <c r="Z71" s="202">
        <f>'[1]распределение '!Y179</f>
        <v>0.13324209067173934</v>
      </c>
      <c r="AA71" s="202">
        <f>'[1]распределение '!Z179</f>
        <v>0.13131547613732331</v>
      </c>
      <c r="AB71" s="202">
        <f>'[1]распределение '!AA179</f>
        <v>0.12907963079727663</v>
      </c>
      <c r="AC71" s="202">
        <f>'[1]распределение '!AB179</f>
        <v>0.11992295886275166</v>
      </c>
      <c r="AD71" s="202">
        <f>'[1]распределение '!AC179</f>
        <v>5</v>
      </c>
    </row>
    <row r="72" spans="1:31" ht="13.5" thickBot="1" x14ac:dyDescent="0.25">
      <c r="C72" s="180" t="s">
        <v>49</v>
      </c>
      <c r="D72" s="188">
        <f>[2]Мощности!D38</f>
        <v>38243</v>
      </c>
      <c r="E72" s="188">
        <f>[2]Мощности!E38</f>
        <v>45327</v>
      </c>
      <c r="F72" s="188">
        <f>[2]Мощности!F38</f>
        <v>57390</v>
      </c>
      <c r="G72" s="188">
        <f>[2]Мощности!G38</f>
        <v>64558</v>
      </c>
      <c r="H72" s="188">
        <f>[2]Мощности!H38</f>
        <v>79561</v>
      </c>
      <c r="I72" s="188">
        <f>[2]Мощности!I38</f>
        <v>76798</v>
      </c>
      <c r="J72" s="188">
        <f>[2]Мощности!J38</f>
        <v>102700</v>
      </c>
      <c r="K72" s="188">
        <f>[2]Мощности!K38</f>
        <v>87400</v>
      </c>
      <c r="L72" s="188">
        <f>[2]Мощности!L38</f>
        <v>111900</v>
      </c>
      <c r="M72" s="284">
        <f>'[1]распределение '!L82</f>
        <v>79382.978999999992</v>
      </c>
      <c r="N72" s="284">
        <f>'[1]распределение '!M82</f>
        <v>51598.936349999989</v>
      </c>
      <c r="O72" s="284">
        <f>'[1]распределение '!N82</f>
        <v>41279.149079999996</v>
      </c>
      <c r="P72" s="284">
        <f>'[1]распределение '!O82</f>
        <v>358705.31417405262</v>
      </c>
      <c r="Q72" s="284">
        <f>'[1]распределение '!P82</f>
        <v>230114.90481222825</v>
      </c>
      <c r="R72" s="284">
        <f>'[1]распределение '!Q82</f>
        <v>167921.29453377827</v>
      </c>
      <c r="S72" s="284">
        <f>'[1]распределение '!R82</f>
        <v>78789.125851305231</v>
      </c>
      <c r="T72" s="284">
        <f>'[1]распределение '!S82</f>
        <v>117986.89594891602</v>
      </c>
      <c r="U72" s="284">
        <f>'[1]распределение '!T82</f>
        <v>74244.236342498218</v>
      </c>
      <c r="V72" s="284">
        <f>'[1]распределение '!U82</f>
        <v>67361.501991412762</v>
      </c>
      <c r="W72" s="284">
        <f>'[1]распределение '!V82</f>
        <v>61991.598042885198</v>
      </c>
      <c r="X72" s="284">
        <f>'[1]распределение '!W82</f>
        <v>65341.762776644195</v>
      </c>
      <c r="Y72" s="284">
        <f>'[1]распределение '!X82</f>
        <v>94798.730112738034</v>
      </c>
      <c r="Z72" s="284">
        <f>'[1]распределение '!Y82</f>
        <v>51566.968132905859</v>
      </c>
      <c r="AA72" s="284">
        <f>'[1]распределение '!Z82</f>
        <v>95344.912840090255</v>
      </c>
      <c r="AB72" s="284">
        <f>'[1]распределение '!AA82</f>
        <v>169766.79303483054</v>
      </c>
      <c r="AC72" s="284">
        <f>'[1]распределение '!AB82</f>
        <v>0</v>
      </c>
      <c r="AD72" s="284">
        <f>'[1]распределение '!AC82</f>
        <v>0</v>
      </c>
    </row>
    <row r="73" spans="1:31" ht="13.5" thickBot="1" x14ac:dyDescent="0.25">
      <c r="B73" s="186"/>
      <c r="C73" s="180" t="s">
        <v>32</v>
      </c>
      <c r="D73" s="188">
        <f>[2]Мощности!D42</f>
        <v>1144900</v>
      </c>
      <c r="E73" s="188">
        <f>[2]Мощности!E42</f>
        <v>954500</v>
      </c>
      <c r="F73" s="188">
        <f>[2]Мощности!F42</f>
        <v>211900</v>
      </c>
      <c r="G73" s="188">
        <f>[2]Мощности!G42</f>
        <v>780500</v>
      </c>
      <c r="H73" s="188">
        <f>[2]Мощности!H42</f>
        <v>900400</v>
      </c>
      <c r="I73" s="188">
        <f>[2]Мощности!I42</f>
        <v>289400</v>
      </c>
      <c r="J73" s="188" t="e">
        <f>[2]Мощности!#REF!</f>
        <v>#REF!</v>
      </c>
      <c r="K73" s="188" t="e">
        <f>[2]Мощности!#REF!</f>
        <v>#REF!</v>
      </c>
      <c r="L73" s="188" t="e">
        <f>[2]Мощности!#REF!</f>
        <v>#REF!</v>
      </c>
      <c r="M73" s="285">
        <v>1000</v>
      </c>
      <c r="N73" s="291">
        <v>1000</v>
      </c>
      <c r="O73" s="291">
        <v>1000</v>
      </c>
      <c r="P73" s="291">
        <v>1000</v>
      </c>
      <c r="Q73" s="291">
        <v>1000</v>
      </c>
      <c r="R73" s="291">
        <v>1000</v>
      </c>
      <c r="S73" s="291">
        <v>1000</v>
      </c>
      <c r="T73" s="291">
        <v>1000</v>
      </c>
      <c r="U73" s="291">
        <v>1000</v>
      </c>
      <c r="V73" s="291">
        <v>1000</v>
      </c>
      <c r="W73" s="291">
        <v>1000</v>
      </c>
      <c r="X73" s="291">
        <v>1001</v>
      </c>
      <c r="Y73" s="291">
        <v>1002</v>
      </c>
      <c r="Z73" s="291">
        <v>1003</v>
      </c>
      <c r="AA73" s="291">
        <v>1004</v>
      </c>
      <c r="AB73" s="291">
        <v>1005</v>
      </c>
      <c r="AC73" s="291">
        <v>1006</v>
      </c>
      <c r="AD73" s="291">
        <v>1007</v>
      </c>
    </row>
    <row r="74" spans="1:31" ht="18.75" x14ac:dyDescent="0.3">
      <c r="C74" s="318"/>
      <c r="D74" s="317"/>
      <c r="E74" s="276"/>
      <c r="F74" s="276"/>
      <c r="G74" s="276"/>
      <c r="H74" s="276"/>
      <c r="I74" s="276"/>
      <c r="J74" s="276"/>
      <c r="K74" s="276"/>
    </row>
    <row r="75" spans="1:31" x14ac:dyDescent="0.2">
      <c r="C75" s="212"/>
      <c r="D75" s="178"/>
      <c r="E75" s="178"/>
      <c r="F75" s="178"/>
      <c r="G75" s="178"/>
      <c r="H75" s="178"/>
      <c r="I75" s="178"/>
      <c r="J75" s="178"/>
      <c r="K75" s="178"/>
      <c r="L75" s="209"/>
      <c r="M75" s="281"/>
      <c r="N75" s="178"/>
      <c r="O75" s="178"/>
      <c r="P75" s="178"/>
      <c r="Q75" s="178"/>
      <c r="R75" s="178"/>
      <c r="S75" s="178"/>
      <c r="T75" s="178"/>
      <c r="U75" s="178"/>
      <c r="V75" s="178"/>
      <c r="W75" s="178"/>
    </row>
    <row r="76" spans="1:31" x14ac:dyDescent="0.2">
      <c r="D76" s="178"/>
      <c r="E76" s="178"/>
      <c r="F76" s="178"/>
      <c r="G76" s="178"/>
      <c r="H76" s="178"/>
      <c r="I76" s="178"/>
      <c r="J76" s="178"/>
      <c r="K76" s="178"/>
      <c r="L76" s="178"/>
      <c r="M76" s="281"/>
      <c r="N76" s="178"/>
      <c r="O76" s="178"/>
      <c r="P76" s="178"/>
      <c r="Q76" s="178"/>
      <c r="R76" s="178"/>
      <c r="S76" s="178"/>
      <c r="T76" s="178"/>
      <c r="U76" s="178"/>
      <c r="V76" s="178"/>
      <c r="W76" s="178"/>
    </row>
    <row r="77" spans="1:31" x14ac:dyDescent="0.2">
      <c r="D77" s="178"/>
      <c r="E77" s="178"/>
      <c r="F77" s="178"/>
      <c r="G77" s="178"/>
      <c r="H77" s="178"/>
      <c r="I77" s="178"/>
      <c r="J77" s="178"/>
      <c r="K77" s="178"/>
      <c r="L77" s="178"/>
      <c r="M77" s="281"/>
      <c r="N77" s="178"/>
      <c r="O77" s="178"/>
      <c r="P77" s="178"/>
      <c r="Q77" s="178"/>
      <c r="R77" s="178"/>
      <c r="S77" s="178"/>
      <c r="T77" s="178"/>
      <c r="U77" s="178"/>
      <c r="V77" s="178"/>
      <c r="W77" s="178"/>
    </row>
    <row r="78" spans="1:31" x14ac:dyDescent="0.2">
      <c r="D78" s="178"/>
      <c r="E78" s="178"/>
      <c r="F78" s="178"/>
      <c r="G78" s="178"/>
      <c r="H78" s="178"/>
      <c r="I78" s="178"/>
      <c r="J78" s="178"/>
      <c r="K78" s="178"/>
      <c r="L78" s="178"/>
      <c r="M78" s="281"/>
      <c r="N78" s="178"/>
      <c r="O78" s="178"/>
      <c r="P78" s="178"/>
      <c r="Q78" s="178"/>
      <c r="R78" s="178"/>
      <c r="S78" s="178"/>
      <c r="T78" s="178"/>
      <c r="U78" s="178"/>
      <c r="V78" s="178"/>
      <c r="W78" s="178"/>
    </row>
    <row r="79" spans="1:31" s="112" customFormat="1" x14ac:dyDescent="0.2">
      <c r="D79" s="204"/>
      <c r="E79" s="204"/>
      <c r="F79" s="204"/>
      <c r="G79" s="204"/>
      <c r="H79" s="204"/>
      <c r="I79" s="204"/>
      <c r="J79" s="204"/>
      <c r="K79" s="204"/>
      <c r="L79" s="204"/>
      <c r="M79" s="281"/>
      <c r="N79" s="204"/>
      <c r="O79" s="204"/>
      <c r="P79" s="204"/>
      <c r="Q79" s="204"/>
      <c r="R79" s="204"/>
      <c r="S79" s="204"/>
      <c r="T79" s="204"/>
      <c r="U79" s="204"/>
      <c r="V79" s="204"/>
      <c r="W79" s="204"/>
    </row>
    <row r="80" spans="1:31" s="112" customFormat="1" x14ac:dyDescent="0.2">
      <c r="D80" s="204"/>
      <c r="E80" s="204"/>
      <c r="F80" s="204"/>
      <c r="G80" s="204"/>
      <c r="H80" s="204"/>
      <c r="I80" s="204"/>
      <c r="J80" s="204"/>
      <c r="K80" s="204"/>
      <c r="L80" s="204"/>
      <c r="M80" s="281"/>
      <c r="N80" s="204"/>
      <c r="O80" s="204"/>
      <c r="P80" s="204"/>
      <c r="Q80" s="204"/>
      <c r="R80" s="204"/>
      <c r="S80" s="204"/>
      <c r="T80" s="204"/>
      <c r="U80" s="204"/>
      <c r="V80" s="204"/>
      <c r="W80" s="204"/>
    </row>
    <row r="81" spans="1:30" s="319" customFormat="1" x14ac:dyDescent="0.2">
      <c r="D81" s="320">
        <v>2005</v>
      </c>
      <c r="E81" s="320">
        <v>2006</v>
      </c>
      <c r="F81" s="320">
        <v>2007</v>
      </c>
      <c r="G81" s="320">
        <v>2008</v>
      </c>
      <c r="H81" s="320">
        <v>2009</v>
      </c>
      <c r="I81" s="320">
        <v>2010</v>
      </c>
      <c r="J81" s="320">
        <v>2011</v>
      </c>
      <c r="K81" s="320">
        <v>2012</v>
      </c>
      <c r="L81" s="320">
        <v>2013</v>
      </c>
      <c r="M81" s="283">
        <v>2014</v>
      </c>
      <c r="N81" s="320">
        <v>2015</v>
      </c>
      <c r="O81" s="320">
        <v>2016</v>
      </c>
      <c r="P81" s="320">
        <v>2017</v>
      </c>
      <c r="Q81" s="320">
        <v>2018</v>
      </c>
      <c r="R81" s="320">
        <v>2019</v>
      </c>
      <c r="S81" s="320">
        <v>2020</v>
      </c>
      <c r="T81" s="320">
        <v>2021</v>
      </c>
      <c r="U81" s="320">
        <v>2022</v>
      </c>
      <c r="V81" s="320">
        <v>2023</v>
      </c>
      <c r="W81" s="320">
        <v>2024</v>
      </c>
      <c r="X81" s="320">
        <v>2025</v>
      </c>
      <c r="Y81" s="320">
        <v>2026</v>
      </c>
      <c r="Z81" s="320">
        <v>2027</v>
      </c>
      <c r="AA81" s="320">
        <v>2028</v>
      </c>
      <c r="AB81" s="320">
        <v>2029</v>
      </c>
      <c r="AC81" s="320">
        <v>2030</v>
      </c>
      <c r="AD81" s="320">
        <v>2031</v>
      </c>
    </row>
    <row r="82" spans="1:30" s="112" customFormat="1" ht="15" thickBot="1" x14ac:dyDescent="0.25">
      <c r="B82" s="231" t="s">
        <v>155</v>
      </c>
      <c r="C82" s="215"/>
      <c r="E82" s="112">
        <v>1</v>
      </c>
      <c r="F82" s="112">
        <v>2</v>
      </c>
      <c r="G82" s="112">
        <v>3</v>
      </c>
      <c r="H82" s="112">
        <v>4</v>
      </c>
      <c r="I82" s="112">
        <v>5</v>
      </c>
      <c r="J82" s="112">
        <v>6</v>
      </c>
      <c r="K82" s="112">
        <v>7</v>
      </c>
      <c r="L82" s="112">
        <v>8</v>
      </c>
      <c r="M82" s="112">
        <v>9</v>
      </c>
      <c r="N82" s="112">
        <v>10</v>
      </c>
      <c r="O82" s="112">
        <v>11</v>
      </c>
      <c r="P82" s="112">
        <v>12</v>
      </c>
      <c r="Q82" s="112">
        <v>13</v>
      </c>
      <c r="R82" s="112">
        <v>14</v>
      </c>
      <c r="S82" s="112">
        <v>15</v>
      </c>
      <c r="T82" s="112">
        <v>16</v>
      </c>
      <c r="U82" s="112">
        <v>17</v>
      </c>
      <c r="V82" s="112">
        <v>18</v>
      </c>
      <c r="W82" s="112">
        <v>19</v>
      </c>
      <c r="X82" s="112">
        <v>20</v>
      </c>
      <c r="Y82" s="112">
        <v>21</v>
      </c>
      <c r="Z82" s="112">
        <v>22</v>
      </c>
      <c r="AA82" s="112">
        <v>23</v>
      </c>
      <c r="AB82" s="112">
        <v>24</v>
      </c>
      <c r="AC82" s="112">
        <v>25</v>
      </c>
      <c r="AD82" s="112">
        <v>26</v>
      </c>
    </row>
    <row r="83" spans="1:30" s="112" customFormat="1" ht="15.75" thickBot="1" x14ac:dyDescent="0.3">
      <c r="A83" s="112">
        <v>1</v>
      </c>
      <c r="C83" s="112" t="s">
        <v>4</v>
      </c>
      <c r="D83" s="216">
        <v>17.3</v>
      </c>
      <c r="E83" s="216">
        <v>16.8</v>
      </c>
      <c r="F83" s="216">
        <v>16.5</v>
      </c>
      <c r="G83" s="216">
        <v>16</v>
      </c>
      <c r="H83" s="217">
        <v>16.8</v>
      </c>
      <c r="I83" s="204">
        <f>H83+0.5</f>
        <v>17.3</v>
      </c>
      <c r="J83" s="204">
        <f>I83+0.5</f>
        <v>17.8</v>
      </c>
      <c r="K83" s="204">
        <f t="shared" ref="K83:W83" si="22">J83+0.5</f>
        <v>18.3</v>
      </c>
      <c r="L83" s="204">
        <f t="shared" si="22"/>
        <v>18.8</v>
      </c>
      <c r="M83" s="281">
        <f t="shared" si="22"/>
        <v>19.3</v>
      </c>
      <c r="N83" s="204">
        <f t="shared" si="22"/>
        <v>19.8</v>
      </c>
      <c r="O83" s="204">
        <f t="shared" si="22"/>
        <v>20.3</v>
      </c>
      <c r="P83" s="204">
        <f t="shared" si="22"/>
        <v>20.8</v>
      </c>
      <c r="Q83" s="204">
        <f t="shared" si="22"/>
        <v>21.3</v>
      </c>
      <c r="R83" s="204">
        <f t="shared" si="22"/>
        <v>21.8</v>
      </c>
      <c r="S83" s="204">
        <f t="shared" si="22"/>
        <v>22.3</v>
      </c>
      <c r="T83" s="204">
        <f t="shared" si="22"/>
        <v>22.8</v>
      </c>
      <c r="U83" s="204">
        <f t="shared" si="22"/>
        <v>23.3</v>
      </c>
      <c r="V83" s="204">
        <f t="shared" si="22"/>
        <v>23.8</v>
      </c>
      <c r="W83" s="204">
        <f t="shared" si="22"/>
        <v>24.3</v>
      </c>
      <c r="X83" s="204">
        <f t="shared" ref="X83:X84" si="23">W83+0.5</f>
        <v>24.8</v>
      </c>
      <c r="Y83" s="204">
        <f t="shared" ref="Y83:Y84" si="24">X83+0.5</f>
        <v>25.3</v>
      </c>
      <c r="Z83" s="204">
        <f t="shared" ref="Z83:Z84" si="25">Y83+0.5</f>
        <v>25.8</v>
      </c>
      <c r="AA83" s="204">
        <f t="shared" ref="AA83:AA84" si="26">Z83+0.5</f>
        <v>26.3</v>
      </c>
      <c r="AB83" s="204">
        <f t="shared" ref="AB83:AB84" si="27">AA83+0.5</f>
        <v>26.8</v>
      </c>
      <c r="AC83" s="204">
        <f t="shared" ref="AC83:AD84" si="28">AB83+0.5</f>
        <v>27.3</v>
      </c>
      <c r="AD83" s="204">
        <f t="shared" si="28"/>
        <v>27.8</v>
      </c>
    </row>
    <row r="84" spans="1:30" s="112" customFormat="1" ht="15" x14ac:dyDescent="0.25">
      <c r="A84" s="112">
        <v>2</v>
      </c>
      <c r="C84" s="112" t="s">
        <v>18</v>
      </c>
      <c r="D84" s="205">
        <v>28.6</v>
      </c>
      <c r="E84" s="205">
        <v>32.9</v>
      </c>
      <c r="F84" s="222">
        <v>-11.6</v>
      </c>
      <c r="G84" s="205">
        <v>8.6</v>
      </c>
      <c r="H84" s="214">
        <v>37.299999999999997</v>
      </c>
      <c r="I84" s="204">
        <f t="shared" ref="I84:J89" si="29">H84+0.5</f>
        <v>37.799999999999997</v>
      </c>
      <c r="J84" s="204">
        <f t="shared" si="29"/>
        <v>38.299999999999997</v>
      </c>
      <c r="K84" s="204">
        <f t="shared" ref="K84:W84" si="30">J84+0.5</f>
        <v>38.799999999999997</v>
      </c>
      <c r="L84" s="204">
        <f t="shared" si="30"/>
        <v>39.299999999999997</v>
      </c>
      <c r="M84" s="281">
        <f t="shared" si="30"/>
        <v>39.799999999999997</v>
      </c>
      <c r="N84" s="204">
        <f t="shared" si="30"/>
        <v>40.299999999999997</v>
      </c>
      <c r="O84" s="204">
        <f t="shared" si="30"/>
        <v>40.799999999999997</v>
      </c>
      <c r="P84" s="204">
        <f t="shared" si="30"/>
        <v>41.3</v>
      </c>
      <c r="Q84" s="204">
        <f t="shared" si="30"/>
        <v>41.8</v>
      </c>
      <c r="R84" s="204">
        <f t="shared" si="30"/>
        <v>42.3</v>
      </c>
      <c r="S84" s="204">
        <f t="shared" si="30"/>
        <v>42.8</v>
      </c>
      <c r="T84" s="204">
        <f t="shared" si="30"/>
        <v>43.3</v>
      </c>
      <c r="U84" s="204">
        <f t="shared" si="30"/>
        <v>43.8</v>
      </c>
      <c r="V84" s="204">
        <f t="shared" si="30"/>
        <v>44.3</v>
      </c>
      <c r="W84" s="204">
        <f t="shared" si="30"/>
        <v>44.8</v>
      </c>
      <c r="X84" s="204">
        <f t="shared" si="23"/>
        <v>45.3</v>
      </c>
      <c r="Y84" s="204">
        <f t="shared" si="24"/>
        <v>45.8</v>
      </c>
      <c r="Z84" s="204">
        <f t="shared" si="25"/>
        <v>46.3</v>
      </c>
      <c r="AA84" s="204">
        <f t="shared" si="26"/>
        <v>46.8</v>
      </c>
      <c r="AB84" s="204">
        <f t="shared" si="27"/>
        <v>47.3</v>
      </c>
      <c r="AC84" s="204">
        <f t="shared" si="28"/>
        <v>47.8</v>
      </c>
      <c r="AD84" s="204">
        <f t="shared" si="28"/>
        <v>48.3</v>
      </c>
    </row>
    <row r="85" spans="1:30" s="112" customFormat="1" ht="15" x14ac:dyDescent="0.25">
      <c r="A85" s="112">
        <v>3</v>
      </c>
      <c r="C85" s="112" t="s">
        <v>19</v>
      </c>
      <c r="D85" s="205">
        <v>37.5</v>
      </c>
      <c r="E85" s="205">
        <v>10.9</v>
      </c>
      <c r="F85" s="205">
        <v>17.3</v>
      </c>
      <c r="G85" s="205">
        <v>50.4</v>
      </c>
      <c r="H85" s="214">
        <v>8.5</v>
      </c>
      <c r="I85" s="204">
        <f t="shared" si="29"/>
        <v>9</v>
      </c>
      <c r="J85" s="204">
        <f t="shared" si="29"/>
        <v>9.5</v>
      </c>
      <c r="K85" s="204">
        <f t="shared" ref="K85:V85" si="31">J85+0.5</f>
        <v>10</v>
      </c>
      <c r="L85" s="204">
        <f t="shared" si="31"/>
        <v>10.5</v>
      </c>
      <c r="M85" s="281">
        <f t="shared" si="31"/>
        <v>11</v>
      </c>
      <c r="N85" s="204">
        <f t="shared" si="31"/>
        <v>11.5</v>
      </c>
      <c r="O85" s="204">
        <f t="shared" si="31"/>
        <v>12</v>
      </c>
      <c r="P85" s="204">
        <f t="shared" si="31"/>
        <v>12.5</v>
      </c>
      <c r="Q85" s="204">
        <f t="shared" si="31"/>
        <v>13</v>
      </c>
      <c r="R85" s="204">
        <f t="shared" si="31"/>
        <v>13.5</v>
      </c>
      <c r="S85" s="204">
        <f t="shared" si="31"/>
        <v>14</v>
      </c>
      <c r="T85" s="204">
        <f t="shared" si="31"/>
        <v>14.5</v>
      </c>
      <c r="U85" s="204">
        <f t="shared" si="31"/>
        <v>15</v>
      </c>
      <c r="V85" s="204">
        <f t="shared" si="31"/>
        <v>15.5</v>
      </c>
      <c r="W85" s="204">
        <f t="shared" ref="W85:W89" si="32">V85+0.5</f>
        <v>16</v>
      </c>
      <c r="X85" s="204">
        <f t="shared" ref="X85:X89" si="33">W85+0.5</f>
        <v>16.5</v>
      </c>
      <c r="Y85" s="204">
        <f t="shared" ref="Y85:Y89" si="34">X85+0.5</f>
        <v>17</v>
      </c>
      <c r="Z85" s="204">
        <f t="shared" ref="Z85:Z89" si="35">Y85+0.5</f>
        <v>17.5</v>
      </c>
      <c r="AA85" s="204">
        <f t="shared" ref="AA85:AA89" si="36">Z85+0.5</f>
        <v>18</v>
      </c>
      <c r="AB85" s="204">
        <f t="shared" ref="AB85:AB89" si="37">AA85+0.5</f>
        <v>18.5</v>
      </c>
      <c r="AC85" s="204">
        <f t="shared" ref="AC85:AD89" si="38">AB85+0.5</f>
        <v>19</v>
      </c>
      <c r="AD85" s="204">
        <f t="shared" si="38"/>
        <v>19.5</v>
      </c>
    </row>
    <row r="86" spans="1:30" s="112" customFormat="1" ht="15" x14ac:dyDescent="0.25">
      <c r="A86" s="112">
        <v>4</v>
      </c>
      <c r="C86" s="112" t="s">
        <v>20</v>
      </c>
      <c r="D86" s="218">
        <v>16.899999999999999</v>
      </c>
      <c r="E86" s="218">
        <v>3.2</v>
      </c>
      <c r="F86" s="223">
        <v>18.600000000000001</v>
      </c>
      <c r="G86" s="218">
        <v>18.100000000000001</v>
      </c>
      <c r="H86" s="219">
        <v>14.4</v>
      </c>
      <c r="I86" s="204">
        <f t="shared" si="29"/>
        <v>14.9</v>
      </c>
      <c r="J86" s="204">
        <f t="shared" si="29"/>
        <v>15.4</v>
      </c>
      <c r="K86" s="204">
        <f t="shared" ref="K86:V86" si="39">J86+0.5</f>
        <v>15.9</v>
      </c>
      <c r="L86" s="204">
        <f t="shared" si="39"/>
        <v>16.399999999999999</v>
      </c>
      <c r="M86" s="281">
        <f t="shared" si="39"/>
        <v>16.899999999999999</v>
      </c>
      <c r="N86" s="204">
        <f t="shared" si="39"/>
        <v>17.399999999999999</v>
      </c>
      <c r="O86" s="204">
        <f t="shared" si="39"/>
        <v>17.899999999999999</v>
      </c>
      <c r="P86" s="204">
        <f t="shared" si="39"/>
        <v>18.399999999999999</v>
      </c>
      <c r="Q86" s="204">
        <f t="shared" si="39"/>
        <v>18.899999999999999</v>
      </c>
      <c r="R86" s="204">
        <f t="shared" si="39"/>
        <v>19.399999999999999</v>
      </c>
      <c r="S86" s="204">
        <f t="shared" si="39"/>
        <v>19.899999999999999</v>
      </c>
      <c r="T86" s="204">
        <f t="shared" si="39"/>
        <v>20.399999999999999</v>
      </c>
      <c r="U86" s="204">
        <f t="shared" si="39"/>
        <v>20.9</v>
      </c>
      <c r="V86" s="204">
        <f t="shared" si="39"/>
        <v>21.4</v>
      </c>
      <c r="W86" s="204">
        <f t="shared" si="32"/>
        <v>21.9</v>
      </c>
      <c r="X86" s="204">
        <f t="shared" si="33"/>
        <v>22.4</v>
      </c>
      <c r="Y86" s="204">
        <f t="shared" si="34"/>
        <v>22.9</v>
      </c>
      <c r="Z86" s="204">
        <f t="shared" si="35"/>
        <v>23.4</v>
      </c>
      <c r="AA86" s="204">
        <f t="shared" si="36"/>
        <v>23.9</v>
      </c>
      <c r="AB86" s="204">
        <f t="shared" si="37"/>
        <v>24.4</v>
      </c>
      <c r="AC86" s="204">
        <f t="shared" si="38"/>
        <v>24.9</v>
      </c>
      <c r="AD86" s="204">
        <f t="shared" si="38"/>
        <v>25.4</v>
      </c>
    </row>
    <row r="87" spans="1:30" s="112" customFormat="1" ht="15" x14ac:dyDescent="0.25">
      <c r="A87" s="112">
        <v>5</v>
      </c>
      <c r="C87" s="112" t="s">
        <v>21</v>
      </c>
      <c r="D87" s="218">
        <v>16.899999999999999</v>
      </c>
      <c r="E87" s="218">
        <v>3.2</v>
      </c>
      <c r="F87" s="223">
        <v>18.600000000000001</v>
      </c>
      <c r="G87" s="218">
        <v>18.100000000000001</v>
      </c>
      <c r="H87" s="219">
        <v>14.4</v>
      </c>
      <c r="I87" s="204">
        <f t="shared" si="29"/>
        <v>14.9</v>
      </c>
      <c r="J87" s="204">
        <f t="shared" si="29"/>
        <v>15.4</v>
      </c>
      <c r="K87" s="204">
        <f t="shared" ref="K87:V87" si="40">J87+0.5</f>
        <v>15.9</v>
      </c>
      <c r="L87" s="204">
        <f t="shared" si="40"/>
        <v>16.399999999999999</v>
      </c>
      <c r="M87" s="281">
        <f t="shared" si="40"/>
        <v>16.899999999999999</v>
      </c>
      <c r="N87" s="204">
        <f t="shared" si="40"/>
        <v>17.399999999999999</v>
      </c>
      <c r="O87" s="204">
        <f t="shared" si="40"/>
        <v>17.899999999999999</v>
      </c>
      <c r="P87" s="204">
        <f t="shared" si="40"/>
        <v>18.399999999999999</v>
      </c>
      <c r="Q87" s="204">
        <f t="shared" si="40"/>
        <v>18.899999999999999</v>
      </c>
      <c r="R87" s="204">
        <f t="shared" si="40"/>
        <v>19.399999999999999</v>
      </c>
      <c r="S87" s="204">
        <f t="shared" si="40"/>
        <v>19.899999999999999</v>
      </c>
      <c r="T87" s="204">
        <f t="shared" si="40"/>
        <v>20.399999999999999</v>
      </c>
      <c r="U87" s="204">
        <f t="shared" si="40"/>
        <v>20.9</v>
      </c>
      <c r="V87" s="204">
        <f t="shared" si="40"/>
        <v>21.4</v>
      </c>
      <c r="W87" s="204">
        <f t="shared" si="32"/>
        <v>21.9</v>
      </c>
      <c r="X87" s="204">
        <f t="shared" si="33"/>
        <v>22.4</v>
      </c>
      <c r="Y87" s="204">
        <f t="shared" si="34"/>
        <v>22.9</v>
      </c>
      <c r="Z87" s="204">
        <f t="shared" si="35"/>
        <v>23.4</v>
      </c>
      <c r="AA87" s="204">
        <f t="shared" si="36"/>
        <v>23.9</v>
      </c>
      <c r="AB87" s="204">
        <f t="shared" si="37"/>
        <v>24.4</v>
      </c>
      <c r="AC87" s="204">
        <f t="shared" si="38"/>
        <v>24.9</v>
      </c>
      <c r="AD87" s="204">
        <f t="shared" si="38"/>
        <v>25.4</v>
      </c>
    </row>
    <row r="88" spans="1:30" s="112" customFormat="1" ht="15" x14ac:dyDescent="0.25">
      <c r="A88" s="112">
        <v>6</v>
      </c>
      <c r="C88" s="112" t="s">
        <v>6</v>
      </c>
      <c r="D88" s="205">
        <v>4</v>
      </c>
      <c r="E88" s="205">
        <v>28.2</v>
      </c>
      <c r="F88" s="205">
        <v>5.9</v>
      </c>
      <c r="G88" s="205">
        <v>26.6</v>
      </c>
      <c r="H88" s="214">
        <v>1.7</v>
      </c>
      <c r="I88" s="204">
        <f t="shared" si="29"/>
        <v>2.2000000000000002</v>
      </c>
      <c r="J88" s="204">
        <f t="shared" si="29"/>
        <v>2.7</v>
      </c>
      <c r="K88" s="204">
        <f t="shared" ref="K88:V88" si="41">J88+0.5</f>
        <v>3.2</v>
      </c>
      <c r="L88" s="204">
        <f t="shared" si="41"/>
        <v>3.7</v>
      </c>
      <c r="M88" s="281">
        <f t="shared" si="41"/>
        <v>4.2</v>
      </c>
      <c r="N88" s="204">
        <f t="shared" si="41"/>
        <v>4.7</v>
      </c>
      <c r="O88" s="204">
        <f t="shared" si="41"/>
        <v>5.2</v>
      </c>
      <c r="P88" s="204">
        <f t="shared" si="41"/>
        <v>5.7</v>
      </c>
      <c r="Q88" s="204">
        <f t="shared" si="41"/>
        <v>6.2</v>
      </c>
      <c r="R88" s="204">
        <f t="shared" si="41"/>
        <v>6.7</v>
      </c>
      <c r="S88" s="204">
        <f t="shared" si="41"/>
        <v>7.2</v>
      </c>
      <c r="T88" s="204">
        <f t="shared" si="41"/>
        <v>7.7</v>
      </c>
      <c r="U88" s="204">
        <f t="shared" si="41"/>
        <v>8.1999999999999993</v>
      </c>
      <c r="V88" s="204">
        <f t="shared" si="41"/>
        <v>8.6999999999999993</v>
      </c>
      <c r="W88" s="204">
        <f t="shared" si="32"/>
        <v>9.1999999999999993</v>
      </c>
      <c r="X88" s="204">
        <f t="shared" si="33"/>
        <v>9.6999999999999993</v>
      </c>
      <c r="Y88" s="204">
        <f t="shared" si="34"/>
        <v>10.199999999999999</v>
      </c>
      <c r="Z88" s="204">
        <f t="shared" si="35"/>
        <v>10.7</v>
      </c>
      <c r="AA88" s="204">
        <f t="shared" si="36"/>
        <v>11.2</v>
      </c>
      <c r="AB88" s="204">
        <f t="shared" si="37"/>
        <v>11.7</v>
      </c>
      <c r="AC88" s="204">
        <f t="shared" si="38"/>
        <v>12.2</v>
      </c>
      <c r="AD88" s="204">
        <f t="shared" si="38"/>
        <v>12.7</v>
      </c>
    </row>
    <row r="89" spans="1:30" s="112" customFormat="1" ht="15.75" thickBot="1" x14ac:dyDescent="0.3">
      <c r="A89" s="112">
        <v>7</v>
      </c>
      <c r="C89" s="112" t="s">
        <v>7</v>
      </c>
      <c r="D89" s="220">
        <v>46.1</v>
      </c>
      <c r="E89" s="220">
        <v>7.7</v>
      </c>
      <c r="F89" s="220">
        <v>21.1</v>
      </c>
      <c r="G89" s="220">
        <v>23.8</v>
      </c>
      <c r="H89" s="221">
        <v>5.8</v>
      </c>
      <c r="I89" s="204">
        <f t="shared" si="29"/>
        <v>6.3</v>
      </c>
      <c r="J89" s="204">
        <f t="shared" si="29"/>
        <v>6.8</v>
      </c>
      <c r="K89" s="204">
        <f t="shared" ref="K89:V89" si="42">J89+0.5</f>
        <v>7.3</v>
      </c>
      <c r="L89" s="204">
        <f t="shared" si="42"/>
        <v>7.8</v>
      </c>
      <c r="M89" s="281">
        <f t="shared" si="42"/>
        <v>8.3000000000000007</v>
      </c>
      <c r="N89" s="204">
        <f t="shared" si="42"/>
        <v>8.8000000000000007</v>
      </c>
      <c r="O89" s="204">
        <f t="shared" si="42"/>
        <v>9.3000000000000007</v>
      </c>
      <c r="P89" s="204">
        <f t="shared" si="42"/>
        <v>9.8000000000000007</v>
      </c>
      <c r="Q89" s="204">
        <f t="shared" si="42"/>
        <v>10.3</v>
      </c>
      <c r="R89" s="204">
        <f t="shared" si="42"/>
        <v>10.8</v>
      </c>
      <c r="S89" s="204">
        <f t="shared" si="42"/>
        <v>11.3</v>
      </c>
      <c r="T89" s="204">
        <f t="shared" si="42"/>
        <v>11.8</v>
      </c>
      <c r="U89" s="204">
        <f t="shared" si="42"/>
        <v>12.3</v>
      </c>
      <c r="V89" s="204">
        <f t="shared" si="42"/>
        <v>12.8</v>
      </c>
      <c r="W89" s="204">
        <f t="shared" si="32"/>
        <v>13.3</v>
      </c>
      <c r="X89" s="204">
        <f t="shared" si="33"/>
        <v>13.8</v>
      </c>
      <c r="Y89" s="204">
        <f t="shared" si="34"/>
        <v>14.3</v>
      </c>
      <c r="Z89" s="204">
        <f t="shared" si="35"/>
        <v>14.8</v>
      </c>
      <c r="AA89" s="204">
        <f t="shared" si="36"/>
        <v>15.3</v>
      </c>
      <c r="AB89" s="204">
        <f t="shared" si="37"/>
        <v>15.8</v>
      </c>
      <c r="AC89" s="204">
        <f t="shared" si="38"/>
        <v>16.3</v>
      </c>
      <c r="AD89" s="204">
        <f t="shared" si="38"/>
        <v>16.8</v>
      </c>
    </row>
    <row r="90" spans="1:30" s="112" customFormat="1" x14ac:dyDescent="0.2">
      <c r="D90" s="204"/>
      <c r="E90" s="204"/>
      <c r="F90" s="204"/>
      <c r="G90" s="204"/>
      <c r="H90" s="204"/>
      <c r="I90" s="204"/>
      <c r="J90" s="204"/>
      <c r="K90" s="204"/>
      <c r="L90" s="204"/>
      <c r="M90" s="281"/>
      <c r="N90" s="204"/>
      <c r="O90" s="204"/>
      <c r="P90" s="204"/>
      <c r="Q90" s="204"/>
      <c r="R90" s="204"/>
      <c r="S90" s="204"/>
      <c r="T90" s="204"/>
      <c r="U90" s="204"/>
      <c r="V90" s="204"/>
      <c r="W90" s="204"/>
    </row>
    <row r="91" spans="1:30" s="112" customFormat="1" x14ac:dyDescent="0.2">
      <c r="D91" s="204"/>
      <c r="E91" s="204"/>
      <c r="F91" s="204"/>
      <c r="G91" s="204"/>
      <c r="H91" s="204"/>
      <c r="I91" s="204"/>
      <c r="J91" s="204"/>
      <c r="K91" s="204"/>
      <c r="L91" s="204"/>
      <c r="M91" s="281"/>
      <c r="N91" s="204"/>
      <c r="O91" s="204"/>
      <c r="P91" s="204"/>
      <c r="Q91" s="204"/>
      <c r="R91" s="204"/>
      <c r="S91" s="204"/>
      <c r="T91" s="204"/>
      <c r="U91" s="204"/>
      <c r="V91" s="204"/>
      <c r="W91" s="204"/>
    </row>
    <row r="92" spans="1:30" s="112" customFormat="1" x14ac:dyDescent="0.2">
      <c r="D92" s="204"/>
      <c r="E92" s="204"/>
      <c r="F92" s="204"/>
      <c r="G92" s="204"/>
      <c r="H92" s="204"/>
      <c r="I92" s="204"/>
      <c r="J92" s="204"/>
      <c r="K92" s="204"/>
      <c r="L92" s="204"/>
      <c r="M92" s="281"/>
      <c r="N92" s="204"/>
      <c r="O92" s="204"/>
      <c r="P92" s="204"/>
      <c r="Q92" s="204"/>
      <c r="R92" s="204"/>
      <c r="S92" s="204"/>
      <c r="T92" s="204"/>
      <c r="U92" s="204"/>
      <c r="V92" s="204"/>
      <c r="W92" s="204"/>
    </row>
    <row r="93" spans="1:30" s="112" customFormat="1" x14ac:dyDescent="0.2">
      <c r="D93" s="204"/>
      <c r="E93" s="204"/>
      <c r="F93" s="204"/>
      <c r="G93" s="204"/>
      <c r="H93" s="204"/>
      <c r="I93" s="204"/>
      <c r="J93" s="204"/>
      <c r="K93" s="204"/>
      <c r="L93" s="204"/>
      <c r="M93" s="281"/>
      <c r="N93" s="204"/>
      <c r="O93" s="204"/>
      <c r="P93" s="204"/>
      <c r="Q93" s="204"/>
      <c r="R93" s="204"/>
      <c r="S93" s="204"/>
      <c r="T93" s="204"/>
      <c r="U93" s="204"/>
      <c r="V93" s="204"/>
      <c r="W93" s="204"/>
    </row>
    <row r="94" spans="1:30" x14ac:dyDescent="0.2">
      <c r="D94" s="178"/>
      <c r="E94" s="178"/>
      <c r="F94" s="178"/>
      <c r="G94" s="178"/>
      <c r="H94" s="178"/>
      <c r="I94" s="178"/>
      <c r="J94" s="178"/>
      <c r="K94" s="178"/>
      <c r="L94" s="178"/>
      <c r="M94" s="281"/>
      <c r="N94" s="178"/>
      <c r="O94" s="178"/>
      <c r="P94" s="178"/>
      <c r="Q94" s="178"/>
      <c r="R94" s="178"/>
      <c r="S94" s="178"/>
      <c r="T94" s="178"/>
      <c r="U94" s="178"/>
      <c r="V94" s="178"/>
      <c r="W94" s="178"/>
    </row>
    <row r="95" spans="1:30" x14ac:dyDescent="0.2">
      <c r="D95" s="178"/>
      <c r="E95" s="178"/>
      <c r="F95" s="178"/>
      <c r="G95" s="178"/>
      <c r="H95" s="178"/>
      <c r="I95" s="178"/>
      <c r="J95" s="178"/>
      <c r="K95" s="178"/>
      <c r="L95" s="178"/>
      <c r="M95" s="281"/>
      <c r="N95" s="178"/>
      <c r="O95" s="178"/>
      <c r="P95" s="178"/>
      <c r="Q95" s="178"/>
      <c r="R95" s="178"/>
      <c r="S95" s="178"/>
      <c r="T95" s="178"/>
      <c r="U95" s="178"/>
      <c r="V95" s="178"/>
      <c r="W95" s="178"/>
    </row>
    <row r="96" spans="1:30" x14ac:dyDescent="0.2">
      <c r="C96" s="1" t="s">
        <v>25</v>
      </c>
      <c r="D96" s="178"/>
      <c r="E96" s="178"/>
      <c r="F96" s="178"/>
      <c r="G96" s="178"/>
      <c r="H96" s="178"/>
      <c r="I96" s="178"/>
      <c r="J96" s="178"/>
      <c r="K96" s="178"/>
      <c r="L96" s="178"/>
      <c r="M96" s="281"/>
      <c r="N96" s="178"/>
      <c r="O96" s="178"/>
      <c r="P96" s="178"/>
      <c r="Q96" s="178"/>
      <c r="R96" s="178"/>
      <c r="S96" s="178"/>
      <c r="T96" s="178"/>
      <c r="U96" s="178"/>
      <c r="V96" s="178"/>
      <c r="W96" s="178"/>
    </row>
    <row r="97" spans="3:29" ht="14.25" x14ac:dyDescent="0.2">
      <c r="C97" s="173" t="s">
        <v>26</v>
      </c>
      <c r="D97" s="178"/>
      <c r="E97" s="178"/>
      <c r="F97" s="178"/>
      <c r="G97" s="178"/>
      <c r="H97" s="178"/>
      <c r="I97" s="178"/>
      <c r="J97" s="178"/>
      <c r="K97" s="178"/>
      <c r="L97" s="178"/>
      <c r="M97" s="281"/>
      <c r="N97" s="178"/>
      <c r="O97" s="178"/>
      <c r="P97" s="178"/>
      <c r="Q97" s="178"/>
      <c r="R97" s="178"/>
      <c r="S97" s="178"/>
      <c r="T97" s="178"/>
      <c r="U97" s="178"/>
      <c r="V97" s="178"/>
      <c r="W97" s="178"/>
    </row>
    <row r="98" spans="3:29" x14ac:dyDescent="0.2">
      <c r="C98" s="177"/>
    </row>
    <row r="99" spans="3:29" x14ac:dyDescent="0.2">
      <c r="C99" s="177"/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>
        <v>7</v>
      </c>
      <c r="K99">
        <v>8</v>
      </c>
      <c r="L99">
        <v>9</v>
      </c>
      <c r="M99" s="278">
        <v>10</v>
      </c>
      <c r="N99">
        <v>11</v>
      </c>
      <c r="O99">
        <v>12</v>
      </c>
      <c r="P99">
        <v>13</v>
      </c>
      <c r="Q99">
        <v>14</v>
      </c>
      <c r="R99">
        <v>15</v>
      </c>
      <c r="S99">
        <v>16</v>
      </c>
      <c r="T99">
        <v>17</v>
      </c>
      <c r="U99">
        <v>18</v>
      </c>
      <c r="V99">
        <v>19</v>
      </c>
      <c r="W99">
        <v>20</v>
      </c>
    </row>
    <row r="100" spans="3:29" ht="13.5" thickBot="1" x14ac:dyDescent="0.25">
      <c r="C100" t="s">
        <v>58</v>
      </c>
      <c r="D100" s="178">
        <v>110.9</v>
      </c>
      <c r="E100" s="178">
        <v>109</v>
      </c>
      <c r="F100" s="178">
        <v>110.9</v>
      </c>
      <c r="G100" s="178">
        <v>112.6</v>
      </c>
      <c r="H100" s="178">
        <v>111.4</v>
      </c>
      <c r="I100" s="178">
        <f>H100*1.01</f>
        <v>112.51400000000001</v>
      </c>
      <c r="J100" s="178">
        <f t="shared" ref="J100:W100" si="43">I100*1.01</f>
        <v>113.63914000000001</v>
      </c>
      <c r="K100" s="178">
        <f t="shared" si="43"/>
        <v>114.77553140000002</v>
      </c>
      <c r="L100" s="178">
        <f t="shared" si="43"/>
        <v>115.92328671400003</v>
      </c>
      <c r="M100" s="281">
        <f t="shared" si="43"/>
        <v>117.08251958114003</v>
      </c>
      <c r="N100" s="178">
        <f t="shared" si="43"/>
        <v>118.25334477695144</v>
      </c>
      <c r="O100" s="178">
        <f t="shared" si="43"/>
        <v>119.43587822472095</v>
      </c>
      <c r="P100" s="178">
        <f t="shared" si="43"/>
        <v>120.63023700696816</v>
      </c>
      <c r="Q100" s="178">
        <f t="shared" si="43"/>
        <v>121.83653937703784</v>
      </c>
      <c r="R100" s="178">
        <f t="shared" si="43"/>
        <v>123.05490477080822</v>
      </c>
      <c r="S100" s="178">
        <f t="shared" si="43"/>
        <v>124.2854538185163</v>
      </c>
      <c r="T100" s="178">
        <f t="shared" si="43"/>
        <v>125.52830835670147</v>
      </c>
      <c r="U100" s="178">
        <f t="shared" si="43"/>
        <v>126.78359144026849</v>
      </c>
      <c r="V100" s="178">
        <f t="shared" si="43"/>
        <v>128.05142735467118</v>
      </c>
      <c r="W100" s="178">
        <f t="shared" si="43"/>
        <v>129.33194162821789</v>
      </c>
    </row>
    <row r="101" spans="3:29" ht="15" x14ac:dyDescent="0.2">
      <c r="D101" s="233"/>
      <c r="E101" s="233"/>
      <c r="F101" s="233"/>
      <c r="G101" s="233"/>
      <c r="H101" s="234"/>
      <c r="I101" s="178"/>
      <c r="J101" s="178"/>
      <c r="K101" s="178"/>
      <c r="L101" s="178"/>
      <c r="M101" s="281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</row>
    <row r="102" spans="3:29" x14ac:dyDescent="0.2">
      <c r="D102" s="178"/>
      <c r="E102" s="178"/>
      <c r="F102" s="178"/>
      <c r="G102" s="178"/>
      <c r="H102" s="178"/>
      <c r="I102" s="178"/>
      <c r="J102" s="178"/>
      <c r="K102" s="178"/>
      <c r="L102" s="178"/>
      <c r="M102" s="281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</row>
    <row r="103" spans="3:29" x14ac:dyDescent="0.2">
      <c r="D103" s="178"/>
      <c r="E103" s="178"/>
      <c r="F103" s="178"/>
      <c r="G103" s="178"/>
      <c r="H103" s="178"/>
      <c r="I103" s="178"/>
      <c r="J103" s="178"/>
      <c r="K103" s="178"/>
      <c r="L103" s="178"/>
      <c r="M103" s="281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</row>
    <row r="104" spans="3:29" x14ac:dyDescent="0.2">
      <c r="C104" s="174" t="s">
        <v>27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281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</row>
    <row r="105" spans="3:29" ht="14.25" x14ac:dyDescent="0.2">
      <c r="C105" s="173" t="s">
        <v>28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 s="278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  <c r="AB105">
        <v>25</v>
      </c>
      <c r="AC105">
        <v>26</v>
      </c>
    </row>
    <row r="106" spans="3:29" x14ac:dyDescent="0.2">
      <c r="C106" t="s">
        <v>59</v>
      </c>
      <c r="D106" s="190">
        <v>13</v>
      </c>
      <c r="E106" s="190">
        <v>13</v>
      </c>
      <c r="F106" s="190">
        <v>13</v>
      </c>
      <c r="G106" s="190">
        <v>13</v>
      </c>
      <c r="H106" s="190">
        <v>13</v>
      </c>
      <c r="I106" s="190">
        <v>13</v>
      </c>
      <c r="J106" s="190">
        <v>13</v>
      </c>
      <c r="K106" s="190">
        <v>13</v>
      </c>
      <c r="L106" s="190">
        <v>13</v>
      </c>
      <c r="M106" s="286">
        <v>13</v>
      </c>
      <c r="N106" s="190">
        <v>13</v>
      </c>
      <c r="O106" s="190">
        <v>13</v>
      </c>
      <c r="P106" s="190">
        <v>13</v>
      </c>
      <c r="Q106" s="190">
        <v>13</v>
      </c>
      <c r="R106" s="190">
        <v>13</v>
      </c>
      <c r="S106" s="190">
        <v>13</v>
      </c>
      <c r="T106" s="190">
        <v>13</v>
      </c>
      <c r="U106" s="190">
        <v>13</v>
      </c>
      <c r="V106" s="190">
        <v>13</v>
      </c>
      <c r="W106" s="190">
        <v>13</v>
      </c>
      <c r="X106" s="190">
        <v>13</v>
      </c>
      <c r="Y106" s="190">
        <v>13</v>
      </c>
      <c r="Z106" s="190">
        <v>13</v>
      </c>
      <c r="AA106" s="190">
        <v>13</v>
      </c>
      <c r="AB106" s="190">
        <v>13</v>
      </c>
      <c r="AC106" s="190">
        <v>13</v>
      </c>
    </row>
    <row r="107" spans="3:29" x14ac:dyDescent="0.2">
      <c r="C107" t="s">
        <v>24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281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3:29" ht="14.25" x14ac:dyDescent="0.2">
      <c r="C108" s="173"/>
    </row>
    <row r="109" spans="3:29" s="112" customFormat="1" x14ac:dyDescent="0.2"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</row>
    <row r="111" spans="3:29" ht="18" x14ac:dyDescent="0.25">
      <c r="C111" s="176"/>
    </row>
    <row r="114" spans="3:23" ht="14.25" x14ac:dyDescent="0.2">
      <c r="C114" s="173"/>
      <c r="D114" s="178"/>
      <c r="E114" s="178"/>
      <c r="F114" s="178"/>
      <c r="G114" s="178"/>
      <c r="H114" s="178"/>
      <c r="I114" s="178"/>
      <c r="J114" s="178"/>
      <c r="K114" s="178"/>
      <c r="L114" s="178"/>
      <c r="M114" s="281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</row>
    <row r="115" spans="3:23" x14ac:dyDescent="0.2">
      <c r="C115" s="177"/>
      <c r="D115" s="224"/>
      <c r="E115" s="224"/>
      <c r="F115" s="224"/>
      <c r="G115" s="224"/>
      <c r="H115" s="224"/>
      <c r="I115" s="224"/>
      <c r="J115" s="224"/>
      <c r="K115" s="224"/>
      <c r="L115" s="224"/>
      <c r="M115" s="282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3:23" x14ac:dyDescent="0.2">
      <c r="C116" s="177"/>
    </row>
    <row r="117" spans="3:23" x14ac:dyDescent="0.2">
      <c r="D117" s="201"/>
      <c r="E117" s="201"/>
      <c r="F117" s="201"/>
      <c r="G117" s="201"/>
      <c r="H117" s="201"/>
      <c r="I117" s="201"/>
      <c r="J117" s="201"/>
      <c r="K117" s="201"/>
      <c r="L117" s="201"/>
      <c r="M117" s="287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</row>
    <row r="118" spans="3:23" x14ac:dyDescent="0.2">
      <c r="D118" s="192"/>
      <c r="E118" s="192"/>
      <c r="F118" s="192"/>
      <c r="G118" s="192"/>
      <c r="H118" s="192"/>
      <c r="I118" s="192"/>
      <c r="J118" s="192"/>
      <c r="K118" s="192"/>
      <c r="L118" s="192"/>
      <c r="M118" s="288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spans="3:23" x14ac:dyDescent="0.2">
      <c r="D119" s="193"/>
      <c r="E119" s="193"/>
      <c r="F119" s="193"/>
      <c r="G119" s="193"/>
      <c r="H119" s="193"/>
      <c r="I119" s="193"/>
      <c r="J119" s="193"/>
      <c r="K119" s="193"/>
      <c r="L119" s="193"/>
      <c r="M119" s="289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</row>
    <row r="120" spans="3:23" x14ac:dyDescent="0.2">
      <c r="D120" s="192"/>
      <c r="E120" s="192"/>
      <c r="F120" s="192"/>
      <c r="G120" s="192"/>
      <c r="H120" s="192"/>
      <c r="I120" s="192"/>
      <c r="J120" s="192"/>
      <c r="K120" s="192"/>
      <c r="L120" s="192"/>
      <c r="M120" s="288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spans="3:23" x14ac:dyDescent="0.2">
      <c r="D121" s="192"/>
      <c r="E121" s="192"/>
      <c r="F121" s="192"/>
      <c r="G121" s="192"/>
      <c r="H121" s="192"/>
      <c r="I121" s="192"/>
      <c r="J121" s="192"/>
      <c r="K121" s="192"/>
      <c r="L121" s="192"/>
      <c r="M121" s="288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spans="3:23" x14ac:dyDescent="0.2">
      <c r="D122" s="192"/>
      <c r="E122" s="192"/>
      <c r="F122" s="192"/>
      <c r="G122" s="192"/>
      <c r="H122" s="192"/>
      <c r="I122" s="192"/>
      <c r="J122" s="192"/>
      <c r="K122" s="192"/>
      <c r="L122" s="192"/>
      <c r="M122" s="288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spans="3:23" x14ac:dyDescent="0.2">
      <c r="D123" s="192"/>
      <c r="E123" s="192"/>
      <c r="F123" s="192"/>
      <c r="G123" s="192"/>
      <c r="H123" s="192"/>
      <c r="I123" s="192"/>
      <c r="J123" s="192"/>
      <c r="K123" s="192"/>
      <c r="L123" s="192"/>
      <c r="M123" s="288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7" spans="3:23" ht="14.25" x14ac:dyDescent="0.2">
      <c r="C127" s="173"/>
    </row>
    <row r="129" spans="3:23" x14ac:dyDescent="0.2">
      <c r="C129" s="177"/>
    </row>
    <row r="130" spans="3:23" x14ac:dyDescent="0.2">
      <c r="D130" s="195"/>
      <c r="E130" s="195"/>
      <c r="F130" s="195"/>
      <c r="G130" s="195"/>
      <c r="H130" s="195"/>
      <c r="I130" s="195"/>
      <c r="J130" s="195"/>
      <c r="K130" s="195"/>
      <c r="L130" s="195"/>
      <c r="M130" s="288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3:23" x14ac:dyDescent="0.2">
      <c r="D131" s="194"/>
      <c r="E131" s="194"/>
      <c r="F131" s="194"/>
      <c r="G131" s="194"/>
      <c r="H131" s="194"/>
      <c r="I131" s="194"/>
      <c r="J131" s="194"/>
      <c r="K131" s="194"/>
      <c r="L131" s="194"/>
      <c r="M131" s="290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</row>
    <row r="132" spans="3:23" x14ac:dyDescent="0.2">
      <c r="D132" s="194"/>
      <c r="E132" s="194"/>
      <c r="F132" s="194"/>
      <c r="G132" s="194"/>
      <c r="H132" s="194"/>
      <c r="I132" s="194"/>
      <c r="J132" s="194"/>
      <c r="K132" s="194"/>
      <c r="L132" s="194"/>
      <c r="M132" s="290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</row>
    <row r="133" spans="3:23" x14ac:dyDescent="0.2">
      <c r="D133" s="194"/>
      <c r="E133" s="194"/>
      <c r="F133" s="194"/>
      <c r="G133" s="194"/>
      <c r="H133" s="194"/>
      <c r="I133" s="194"/>
      <c r="J133" s="194"/>
      <c r="K133" s="194"/>
      <c r="L133" s="194"/>
      <c r="M133" s="290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</row>
    <row r="134" spans="3:23" x14ac:dyDescent="0.2">
      <c r="D134" s="194"/>
      <c r="E134" s="194"/>
      <c r="F134" s="194"/>
      <c r="G134" s="194"/>
      <c r="H134" s="194"/>
      <c r="I134" s="194"/>
      <c r="J134" s="194"/>
      <c r="K134" s="194"/>
      <c r="L134" s="194"/>
      <c r="M134" s="290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</row>
    <row r="135" spans="3:23" x14ac:dyDescent="0.2">
      <c r="D135" s="194"/>
      <c r="E135" s="194"/>
      <c r="F135" s="194"/>
      <c r="G135" s="194"/>
      <c r="H135" s="194"/>
      <c r="I135" s="194"/>
      <c r="J135" s="194"/>
      <c r="K135" s="194"/>
      <c r="L135" s="194"/>
      <c r="M135" s="290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</row>
    <row r="136" spans="3:23" x14ac:dyDescent="0.2">
      <c r="D136" s="194"/>
      <c r="E136" s="194"/>
      <c r="F136" s="194"/>
      <c r="G136" s="194"/>
      <c r="H136" s="194"/>
      <c r="I136" s="194"/>
      <c r="J136" s="194"/>
      <c r="K136" s="194"/>
      <c r="L136" s="194"/>
      <c r="M136" s="290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</row>
    <row r="141" spans="3:23" ht="14.45" customHeight="1" x14ac:dyDescent="0.2">
      <c r="C141" s="173"/>
    </row>
    <row r="142" spans="3:23" ht="14.45" customHeight="1" x14ac:dyDescent="0.2">
      <c r="C142" s="173"/>
    </row>
    <row r="143" spans="3:23" x14ac:dyDescent="0.2">
      <c r="C143" s="177"/>
    </row>
    <row r="144" spans="3:23" x14ac:dyDescent="0.2">
      <c r="D144" s="193"/>
      <c r="E144" s="193"/>
      <c r="F144" s="193"/>
      <c r="G144" s="193"/>
      <c r="H144" s="193"/>
      <c r="I144" s="193"/>
      <c r="J144" s="193"/>
      <c r="K144" s="193"/>
      <c r="L144" s="193"/>
      <c r="M144" s="289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</row>
    <row r="145" spans="3:23" x14ac:dyDescent="0.2">
      <c r="D145" s="193"/>
      <c r="E145" s="193"/>
      <c r="F145" s="193"/>
      <c r="G145" s="193"/>
      <c r="H145" s="193"/>
      <c r="I145" s="193"/>
      <c r="J145" s="193"/>
      <c r="K145" s="193"/>
      <c r="L145" s="193"/>
      <c r="M145" s="289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</row>
    <row r="146" spans="3:23" x14ac:dyDescent="0.2">
      <c r="D146" s="193"/>
      <c r="E146" s="193"/>
      <c r="F146" s="193"/>
      <c r="G146" s="193"/>
      <c r="H146" s="193"/>
      <c r="I146" s="193"/>
      <c r="J146" s="193"/>
      <c r="K146" s="193"/>
      <c r="L146" s="193"/>
      <c r="M146" s="289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</row>
    <row r="147" spans="3:23" x14ac:dyDescent="0.2">
      <c r="D147" s="193"/>
      <c r="E147" s="193"/>
      <c r="F147" s="193"/>
      <c r="G147" s="193"/>
      <c r="H147" s="193"/>
      <c r="I147" s="193"/>
      <c r="J147" s="193"/>
      <c r="K147" s="193"/>
      <c r="L147" s="193"/>
      <c r="M147" s="289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</row>
    <row r="148" spans="3:23" x14ac:dyDescent="0.2">
      <c r="D148" s="193"/>
      <c r="E148" s="193"/>
      <c r="F148" s="193"/>
      <c r="G148" s="193"/>
      <c r="H148" s="193"/>
      <c r="I148" s="193"/>
      <c r="J148" s="193"/>
      <c r="K148" s="193"/>
      <c r="L148" s="193"/>
      <c r="M148" s="289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</row>
    <row r="149" spans="3:23" x14ac:dyDescent="0.2">
      <c r="D149" s="193"/>
      <c r="E149" s="193"/>
      <c r="F149" s="193"/>
      <c r="G149" s="193"/>
      <c r="H149" s="193"/>
      <c r="I149" s="193"/>
      <c r="J149" s="193"/>
      <c r="K149" s="193"/>
      <c r="L149" s="193"/>
      <c r="M149" s="289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</row>
    <row r="150" spans="3:23" x14ac:dyDescent="0.2">
      <c r="D150" s="193"/>
      <c r="E150" s="193"/>
      <c r="F150" s="193"/>
      <c r="G150" s="193"/>
      <c r="H150" s="193"/>
      <c r="I150" s="193"/>
      <c r="J150" s="193"/>
      <c r="K150" s="193"/>
      <c r="L150" s="193"/>
      <c r="M150" s="289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</row>
    <row r="154" spans="3:23" ht="14.25" x14ac:dyDescent="0.2">
      <c r="C154" s="173"/>
    </row>
    <row r="156" spans="3:23" x14ac:dyDescent="0.2">
      <c r="C156" s="177"/>
    </row>
    <row r="157" spans="3:23" x14ac:dyDescent="0.2">
      <c r="D157" s="196"/>
      <c r="E157" s="196"/>
      <c r="F157" s="196"/>
      <c r="G157" s="196"/>
      <c r="H157" s="196"/>
      <c r="I157" s="196"/>
      <c r="J157" s="196"/>
      <c r="K157" s="196"/>
      <c r="L157" s="196"/>
      <c r="M157" s="289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</row>
    <row r="158" spans="3:23" x14ac:dyDescent="0.2">
      <c r="D158" s="193"/>
      <c r="E158" s="193"/>
      <c r="F158" s="193"/>
      <c r="G158" s="193"/>
      <c r="H158" s="193"/>
      <c r="I158" s="193"/>
      <c r="J158" s="193"/>
      <c r="K158" s="193"/>
      <c r="L158" s="193"/>
      <c r="M158" s="289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</row>
    <row r="159" spans="3:23" x14ac:dyDescent="0.2">
      <c r="D159" s="193"/>
      <c r="E159" s="193"/>
      <c r="F159" s="193"/>
      <c r="G159" s="193"/>
      <c r="H159" s="193"/>
      <c r="I159" s="193"/>
      <c r="J159" s="193"/>
      <c r="K159" s="193"/>
      <c r="L159" s="193"/>
      <c r="M159" s="289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</row>
    <row r="160" spans="3:23" x14ac:dyDescent="0.2">
      <c r="D160" s="193"/>
      <c r="E160" s="193"/>
      <c r="F160" s="193"/>
      <c r="G160" s="193"/>
      <c r="H160" s="193"/>
      <c r="I160" s="193"/>
      <c r="J160" s="193"/>
      <c r="K160" s="193"/>
      <c r="L160" s="193"/>
      <c r="M160" s="289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</row>
    <row r="161" spans="3:23" x14ac:dyDescent="0.2">
      <c r="D161" s="193"/>
      <c r="E161" s="193"/>
      <c r="F161" s="193"/>
      <c r="G161" s="193"/>
      <c r="H161" s="193"/>
      <c r="I161" s="193"/>
      <c r="J161" s="193"/>
      <c r="K161" s="193"/>
      <c r="L161" s="193"/>
      <c r="M161" s="289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</row>
    <row r="162" spans="3:23" x14ac:dyDescent="0.2">
      <c r="D162" s="193"/>
      <c r="E162" s="193"/>
      <c r="F162" s="193"/>
      <c r="G162" s="193"/>
      <c r="H162" s="193"/>
      <c r="I162" s="193"/>
      <c r="J162" s="193"/>
      <c r="K162" s="193"/>
      <c r="L162" s="193"/>
      <c r="M162" s="289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</row>
    <row r="163" spans="3:23" x14ac:dyDescent="0.2">
      <c r="D163" s="193"/>
      <c r="E163" s="193"/>
      <c r="F163" s="193"/>
      <c r="G163" s="193"/>
      <c r="H163" s="193"/>
      <c r="I163" s="193"/>
      <c r="J163" s="193"/>
      <c r="K163" s="193"/>
      <c r="L163" s="193"/>
      <c r="M163" s="289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</row>
    <row r="168" spans="3:23" ht="14.25" x14ac:dyDescent="0.2">
      <c r="C168" s="173"/>
    </row>
    <row r="170" spans="3:23" x14ac:dyDescent="0.2">
      <c r="C170" s="177"/>
    </row>
    <row r="171" spans="3:23" x14ac:dyDescent="0.2">
      <c r="D171" s="210"/>
      <c r="E171" s="196"/>
      <c r="F171" s="196"/>
      <c r="G171" s="196"/>
      <c r="H171" s="196"/>
      <c r="I171" s="196"/>
      <c r="J171" s="196"/>
      <c r="K171" s="196"/>
      <c r="L171" s="196"/>
      <c r="M171" s="289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</row>
    <row r="172" spans="3:23" x14ac:dyDescent="0.2">
      <c r="D172" s="193"/>
      <c r="E172" s="193"/>
      <c r="F172" s="193"/>
      <c r="G172" s="193"/>
      <c r="H172" s="193"/>
      <c r="I172" s="193"/>
      <c r="J172" s="193"/>
      <c r="K172" s="193"/>
      <c r="L172" s="193"/>
      <c r="M172" s="289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</row>
    <row r="173" spans="3:23" x14ac:dyDescent="0.2">
      <c r="D173" s="193"/>
      <c r="E173" s="193"/>
      <c r="F173" s="193"/>
      <c r="G173" s="193"/>
      <c r="H173" s="193"/>
      <c r="I173" s="193"/>
      <c r="J173" s="193"/>
      <c r="K173" s="193"/>
      <c r="L173" s="193"/>
      <c r="M173" s="289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</row>
    <row r="174" spans="3:23" x14ac:dyDescent="0.2">
      <c r="D174" s="193"/>
      <c r="E174" s="193"/>
      <c r="F174" s="193"/>
      <c r="G174" s="193"/>
      <c r="H174" s="193"/>
      <c r="I174" s="193"/>
      <c r="J174" s="193"/>
      <c r="K174" s="193"/>
      <c r="L174" s="193"/>
      <c r="M174" s="289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</row>
    <row r="175" spans="3:23" x14ac:dyDescent="0.2">
      <c r="D175" s="193"/>
      <c r="E175" s="193"/>
      <c r="F175" s="193"/>
      <c r="G175" s="193"/>
      <c r="H175" s="193"/>
      <c r="I175" s="193"/>
      <c r="J175" s="193"/>
      <c r="K175" s="193"/>
      <c r="L175" s="193"/>
      <c r="M175" s="289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</row>
    <row r="176" spans="3:23" x14ac:dyDescent="0.2">
      <c r="D176" s="193"/>
      <c r="E176" s="193"/>
      <c r="F176" s="193"/>
      <c r="G176" s="193"/>
      <c r="H176" s="193"/>
      <c r="I176" s="193"/>
      <c r="J176" s="193"/>
      <c r="K176" s="193"/>
      <c r="L176" s="193"/>
      <c r="M176" s="289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</row>
    <row r="177" spans="4:23" x14ac:dyDescent="0.2">
      <c r="D177" s="193"/>
      <c r="E177" s="193"/>
      <c r="F177" s="193"/>
      <c r="G177" s="193"/>
      <c r="H177" s="193"/>
      <c r="I177" s="193"/>
      <c r="J177" s="193"/>
      <c r="K177" s="193"/>
      <c r="L177" s="193"/>
      <c r="M177" s="289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9"/>
  <dimension ref="A1:BG73"/>
  <sheetViews>
    <sheetView tabSelected="1" topLeftCell="A43" zoomScale="120" zoomScaleNormal="120" workbookViewId="0">
      <selection activeCell="J71" sqref="J71"/>
    </sheetView>
  </sheetViews>
  <sheetFormatPr defaultRowHeight="12.75" x14ac:dyDescent="0.2"/>
  <cols>
    <col min="2" max="2" width="32.5703125" customWidth="1"/>
    <col min="3" max="3" width="14.7109375" customWidth="1"/>
    <col min="4" max="18" width="12" bestFit="1" customWidth="1"/>
    <col min="22" max="24" width="12.85546875" bestFit="1" customWidth="1"/>
    <col min="25" max="28" width="13.28515625" bestFit="1" customWidth="1"/>
    <col min="29" max="29" width="13.28515625" customWidth="1"/>
  </cols>
  <sheetData>
    <row r="1" spans="1:59" x14ac:dyDescent="0.2"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59" ht="13.5" thickBot="1" x14ac:dyDescent="0.25">
      <c r="A2" s="225" t="s">
        <v>62</v>
      </c>
      <c r="B2" s="226"/>
      <c r="C2" s="226" t="s">
        <v>63</v>
      </c>
      <c r="D2" s="226" t="s">
        <v>64</v>
      </c>
      <c r="E2" s="226">
        <v>96.41098149409963</v>
      </c>
      <c r="F2" s="226">
        <v>94.719229376363884</v>
      </c>
      <c r="G2" s="226">
        <v>96.155432919121807</v>
      </c>
      <c r="H2" s="226">
        <v>96.758516889385902</v>
      </c>
      <c r="I2" s="226">
        <v>97.178398012937805</v>
      </c>
      <c r="J2" s="226">
        <v>97.826526407613542</v>
      </c>
      <c r="K2" s="226">
        <v>101.85723529319469</v>
      </c>
      <c r="L2" s="226">
        <v>106.1262933115656</v>
      </c>
      <c r="M2" s="226">
        <v>110.19551346675344</v>
      </c>
      <c r="N2" s="226">
        <v>114.15946951931691</v>
      </c>
      <c r="O2" s="226">
        <v>117.85210159719443</v>
      </c>
      <c r="P2" s="226">
        <v>121.97629476376503</v>
      </c>
      <c r="Q2" s="226">
        <v>125.60610727618138</v>
      </c>
      <c r="R2" s="226">
        <v>127.89371936183781</v>
      </c>
      <c r="S2" s="226">
        <v>129.00745728917073</v>
      </c>
      <c r="T2" s="226">
        <v>128.53125682145549</v>
      </c>
      <c r="U2" s="226">
        <v>127.18088264834323</v>
      </c>
      <c r="V2" s="226">
        <v>125.33866345857844</v>
      </c>
      <c r="W2" s="226">
        <v>123.12779856631354</v>
      </c>
      <c r="X2" s="226">
        <v>120.64550869549066</v>
      </c>
      <c r="Y2" s="226">
        <v>117.72036379129521</v>
      </c>
      <c r="Z2" s="226">
        <v>114.74830846154656</v>
      </c>
      <c r="AA2" s="226">
        <v>112.16162525689118</v>
      </c>
      <c r="AB2" s="226">
        <v>109.94092015548308</v>
      </c>
      <c r="AC2" s="226">
        <v>107.86879726518688</v>
      </c>
      <c r="AD2" s="227">
        <v>0</v>
      </c>
    </row>
    <row r="3" spans="1:59" x14ac:dyDescent="0.2">
      <c r="E3">
        <v>96.41</v>
      </c>
      <c r="F3">
        <v>94.71</v>
      </c>
      <c r="G3">
        <v>96.15</v>
      </c>
      <c r="H3">
        <v>96.76</v>
      </c>
      <c r="I3">
        <v>97.18</v>
      </c>
      <c r="J3">
        <v>97.83</v>
      </c>
      <c r="K3">
        <v>101.86</v>
      </c>
      <c r="L3">
        <v>106.13</v>
      </c>
      <c r="M3">
        <v>110.2</v>
      </c>
      <c r="N3">
        <v>114.16</v>
      </c>
      <c r="O3">
        <v>117.85</v>
      </c>
      <c r="P3">
        <v>121.97</v>
      </c>
      <c r="Q3">
        <v>125.61</v>
      </c>
    </row>
    <row r="4" spans="1:59" x14ac:dyDescent="0.2">
      <c r="E4">
        <f>E3*1000-40%*E3*1000</f>
        <v>57846</v>
      </c>
      <c r="F4">
        <f t="shared" ref="F4:Q4" si="0">F3*1000-40%*F3*1000</f>
        <v>56826</v>
      </c>
      <c r="G4">
        <f t="shared" si="0"/>
        <v>57689.999999999993</v>
      </c>
      <c r="H4">
        <f t="shared" si="0"/>
        <v>58055.999999999993</v>
      </c>
      <c r="I4">
        <f t="shared" si="0"/>
        <v>58307.999999999993</v>
      </c>
      <c r="J4">
        <f t="shared" si="0"/>
        <v>58697.999999999993</v>
      </c>
      <c r="K4">
        <f t="shared" si="0"/>
        <v>61116</v>
      </c>
      <c r="L4">
        <f t="shared" si="0"/>
        <v>63678</v>
      </c>
      <c r="M4">
        <f t="shared" si="0"/>
        <v>66120</v>
      </c>
      <c r="N4">
        <f t="shared" si="0"/>
        <v>68496</v>
      </c>
      <c r="O4">
        <f t="shared" si="0"/>
        <v>70710</v>
      </c>
      <c r="P4">
        <f t="shared" si="0"/>
        <v>73182</v>
      </c>
      <c r="Q4">
        <f t="shared" si="0"/>
        <v>75366</v>
      </c>
    </row>
    <row r="5" spans="1:59" x14ac:dyDescent="0.2">
      <c r="E5" s="206">
        <f>E4/'[1]Лист1_Базовые цены'!N14</f>
        <v>1.0883170370559518</v>
      </c>
      <c r="F5" s="206">
        <f>F4/'[1]Лист1_Базовые цены'!O14</f>
        <v>1.0630306940242131</v>
      </c>
      <c r="G5" s="206">
        <f>G4/'[1]Лист1_Базовые цены'!P14</f>
        <v>1.070939402110296</v>
      </c>
      <c r="H5" s="206">
        <f>H4/'[1]Лист1_Базовые цены'!Q14</f>
        <v>1.0728202366193997</v>
      </c>
      <c r="I5" s="206">
        <f>I4/'[1]Лист1_Базовые цены'!R14</f>
        <v>1.0759338860478636</v>
      </c>
      <c r="J5" s="206">
        <f>J4/'[1]Лист1_Базовые цены'!S14</f>
        <v>1.1055714804603918</v>
      </c>
      <c r="K5" s="206">
        <f>K4/'[1]Лист1_Базовые цены'!T14</f>
        <v>1.1679513219026001</v>
      </c>
      <c r="L5" s="206">
        <f>L4/'[1]Лист1_Базовые цены'!U14</f>
        <v>1.2332431785818436</v>
      </c>
      <c r="M5" s="206">
        <f>M4/'[1]Лист1_Базовые цены'!V14</f>
        <v>1.2966996479984725</v>
      </c>
      <c r="N5" s="206">
        <f>N4/'[1]Лист1_Базовые цены'!W14</f>
        <v>1.3612939159438249</v>
      </c>
      <c r="O5" s="206">
        <f>O4/'[1]Лист1_Базовые цены'!X14</f>
        <v>1.4232867647166847</v>
      </c>
      <c r="P5" s="206">
        <f>P4/'[1]Лист1_Базовые цены'!Y14</f>
        <v>1.491171406114753</v>
      </c>
      <c r="Q5" s="206">
        <f>Q4/'[1]Лист1_Базовые цены'!Z14</f>
        <v>1.5512735869088488</v>
      </c>
    </row>
    <row r="6" spans="1:59" x14ac:dyDescent="0.2">
      <c r="A6" s="182"/>
      <c r="B6" s="18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7"/>
      <c r="AA6" s="183"/>
      <c r="AB6" s="183"/>
      <c r="AC6" s="183"/>
      <c r="AD6" s="185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4"/>
      <c r="BF6" s="184"/>
      <c r="BG6" s="184"/>
    </row>
    <row r="7" spans="1:59" x14ac:dyDescent="0.2">
      <c r="A7" s="182"/>
      <c r="B7" s="180"/>
      <c r="F7" s="188"/>
      <c r="G7" s="188"/>
      <c r="H7" s="188"/>
      <c r="I7" s="188"/>
      <c r="J7" s="188"/>
      <c r="K7" s="188"/>
      <c r="L7" s="188"/>
      <c r="M7" s="188"/>
      <c r="AA7" s="183"/>
      <c r="AB7" s="183"/>
      <c r="AC7" s="183"/>
      <c r="AD7" s="185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4"/>
      <c r="BF7" s="184"/>
      <c r="BG7" s="184"/>
    </row>
    <row r="29" spans="6:6" x14ac:dyDescent="0.2">
      <c r="F29" s="228"/>
    </row>
    <row r="30" spans="6:6" x14ac:dyDescent="0.2">
      <c r="F30" s="228"/>
    </row>
    <row r="31" spans="6:6" x14ac:dyDescent="0.2">
      <c r="F31" s="228"/>
    </row>
    <row r="32" spans="6:6" x14ac:dyDescent="0.2">
      <c r="F32" s="228"/>
    </row>
    <row r="33" spans="1:30" x14ac:dyDescent="0.2">
      <c r="F33" s="228"/>
    </row>
    <row r="34" spans="1:30" x14ac:dyDescent="0.2">
      <c r="F34" s="228"/>
    </row>
    <row r="35" spans="1:30" x14ac:dyDescent="0.2">
      <c r="F35" s="228"/>
      <c r="H35" s="229"/>
    </row>
    <row r="41" spans="1:30" s="263" customFormat="1" ht="15.75" x14ac:dyDescent="0.25"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</row>
    <row r="43" spans="1:30" ht="16.5" thickBot="1" x14ac:dyDescent="0.3">
      <c r="C43" s="388" t="s">
        <v>166</v>
      </c>
      <c r="D43" s="388" t="s">
        <v>167</v>
      </c>
      <c r="E43" s="388" t="s">
        <v>168</v>
      </c>
      <c r="F43" s="388" t="s">
        <v>169</v>
      </c>
      <c r="G43" s="388" t="s">
        <v>170</v>
      </c>
      <c r="H43" s="388" t="s">
        <v>171</v>
      </c>
      <c r="I43" s="388" t="s">
        <v>172</v>
      </c>
      <c r="J43" s="388" t="s">
        <v>173</v>
      </c>
      <c r="K43" s="388" t="s">
        <v>174</v>
      </c>
      <c r="L43" s="388" t="s">
        <v>175</v>
      </c>
      <c r="M43" s="388" t="s">
        <v>176</v>
      </c>
    </row>
    <row r="44" spans="1:30" x14ac:dyDescent="0.2">
      <c r="A44" t="s">
        <v>130</v>
      </c>
      <c r="K44" s="112"/>
    </row>
    <row r="45" spans="1:30" s="198" customFormat="1" x14ac:dyDescent="0.2">
      <c r="C45" s="198">
        <v>2005</v>
      </c>
      <c r="D45" s="198">
        <v>2006</v>
      </c>
      <c r="E45" s="198">
        <v>2007</v>
      </c>
      <c r="F45" s="198">
        <v>2008</v>
      </c>
      <c r="G45" s="198">
        <v>2009</v>
      </c>
      <c r="H45" s="293">
        <v>2010</v>
      </c>
      <c r="I45" s="198">
        <v>2011</v>
      </c>
      <c r="J45" s="198">
        <v>2012</v>
      </c>
      <c r="K45" s="198">
        <v>2013</v>
      </c>
      <c r="L45" s="198">
        <v>2014</v>
      </c>
      <c r="M45" s="198">
        <v>2015</v>
      </c>
      <c r="N45" s="198">
        <v>2016</v>
      </c>
      <c r="O45" s="198">
        <v>2017</v>
      </c>
      <c r="P45" s="198">
        <v>2018</v>
      </c>
      <c r="Q45" s="198">
        <v>2019</v>
      </c>
      <c r="R45" s="198">
        <v>2020</v>
      </c>
      <c r="S45" s="198">
        <v>2021</v>
      </c>
      <c r="T45" s="198">
        <v>2022</v>
      </c>
      <c r="U45" s="198">
        <v>2023</v>
      </c>
      <c r="V45" s="198">
        <v>2024</v>
      </c>
      <c r="W45" s="198">
        <v>2025</v>
      </c>
      <c r="X45" s="198">
        <v>2026</v>
      </c>
      <c r="Y45" s="198">
        <v>2027</v>
      </c>
      <c r="Z45" s="198">
        <v>2028</v>
      </c>
      <c r="AA45" s="198">
        <v>2029</v>
      </c>
      <c r="AB45" s="198">
        <v>2030</v>
      </c>
      <c r="AC45" s="198">
        <v>2031</v>
      </c>
    </row>
    <row r="46" spans="1:30" x14ac:dyDescent="0.2">
      <c r="B46" s="316" t="s">
        <v>131</v>
      </c>
      <c r="C46">
        <v>53259.525086106078</v>
      </c>
      <c r="D46">
        <v>54281.055003694222</v>
      </c>
      <c r="E46">
        <v>55810.690880394657</v>
      </c>
      <c r="F46">
        <v>56459.580051206081</v>
      </c>
      <c r="G46">
        <v>56623.497869131235</v>
      </c>
      <c r="H46" s="112">
        <v>57672.527326982978</v>
      </c>
      <c r="I46">
        <v>58595.097144231084</v>
      </c>
      <c r="J46">
        <v>60296.115258397767</v>
      </c>
      <c r="K46">
        <v>61783.584228375548</v>
      </c>
      <c r="L46">
        <v>61934.345926756418</v>
      </c>
      <c r="M46">
        <v>61866.393916666137</v>
      </c>
      <c r="N46">
        <v>61234.917058107611</v>
      </c>
      <c r="O46">
        <v>60094.985537993089</v>
      </c>
      <c r="P46">
        <v>58553.196812456306</v>
      </c>
      <c r="Q46">
        <v>56563.526548790818</v>
      </c>
      <c r="R46">
        <v>54331.880589472428</v>
      </c>
      <c r="S46">
        <v>51917.51619851873</v>
      </c>
      <c r="T46">
        <v>49411.967933042077</v>
      </c>
      <c r="U46">
        <v>47071.707761599188</v>
      </c>
      <c r="V46">
        <v>44801.225668811581</v>
      </c>
      <c r="W46">
        <v>42622.608952952869</v>
      </c>
      <c r="X46">
        <v>40600.664914762965</v>
      </c>
      <c r="Y46">
        <v>38600</v>
      </c>
      <c r="Z46">
        <v>37000</v>
      </c>
      <c r="AA46">
        <v>36000</v>
      </c>
      <c r="AB46">
        <v>35000</v>
      </c>
      <c r="AC46">
        <v>35000</v>
      </c>
      <c r="AD46" t="s">
        <v>212</v>
      </c>
    </row>
    <row r="47" spans="1:30" x14ac:dyDescent="0.2">
      <c r="B47" t="s">
        <v>131</v>
      </c>
      <c r="C47">
        <f>C46+18000</f>
        <v>71259.525086106078</v>
      </c>
      <c r="D47">
        <f>D46+18000</f>
        <v>72281.05500369423</v>
      </c>
      <c r="E47">
        <f t="shared" ref="E47" si="1">E46+18000</f>
        <v>73810.690880394657</v>
      </c>
      <c r="F47">
        <f>F46+19000</f>
        <v>75459.580051206081</v>
      </c>
      <c r="G47">
        <f>G46+21000</f>
        <v>77623.497869131243</v>
      </c>
      <c r="H47">
        <f>H46+22000</f>
        <v>79672.527326982978</v>
      </c>
      <c r="I47">
        <f>I46+23000</f>
        <v>81595.097144231084</v>
      </c>
      <c r="J47">
        <f>J46+24000</f>
        <v>84296.115258397767</v>
      </c>
      <c r="K47">
        <f>K46+23000</f>
        <v>84783.584228375548</v>
      </c>
      <c r="L47">
        <f>L46+25000</f>
        <v>86934.345926756418</v>
      </c>
      <c r="M47">
        <f>M46+26000</f>
        <v>87866.393916666129</v>
      </c>
      <c r="N47">
        <f>N46+27000</f>
        <v>88234.917058107618</v>
      </c>
      <c r="O47">
        <f>O46+28000</f>
        <v>88094.985537993081</v>
      </c>
      <c r="P47">
        <f>P46+29000</f>
        <v>87553.196812456299</v>
      </c>
      <c r="Q47">
        <f>Q46+30000</f>
        <v>86563.526548790818</v>
      </c>
      <c r="R47">
        <f>R46+31000</f>
        <v>85331.880589472421</v>
      </c>
      <c r="S47">
        <f>S46+31000</f>
        <v>82917.51619851873</v>
      </c>
      <c r="T47">
        <f>T46+32000</f>
        <v>81411.967933042077</v>
      </c>
      <c r="U47">
        <f>U46+32000</f>
        <v>79071.707761599188</v>
      </c>
      <c r="V47">
        <f>V46+33000</f>
        <v>77801.225668811589</v>
      </c>
      <c r="W47">
        <f>W46+34000</f>
        <v>76622.608952952869</v>
      </c>
      <c r="X47">
        <f>X46+32000</f>
        <v>72600.664914762965</v>
      </c>
      <c r="Y47">
        <f>Y46+29000</f>
        <v>67600</v>
      </c>
      <c r="Z47">
        <f>Z46+29000</f>
        <v>66000</v>
      </c>
      <c r="AA47">
        <f>AA46+29000</f>
        <v>65000</v>
      </c>
      <c r="AB47">
        <f>AB46+29000</f>
        <v>64000</v>
      </c>
      <c r="AC47">
        <f>AC46+29000</f>
        <v>64000</v>
      </c>
    </row>
    <row r="48" spans="1:30" x14ac:dyDescent="0.2">
      <c r="B48" t="s">
        <v>132</v>
      </c>
      <c r="C48">
        <f>ROUND(0.001*C47,3)</f>
        <v>71.260000000000005</v>
      </c>
      <c r="D48">
        <f t="shared" ref="D48:AB48" si="2">ROUND(0.001*D47,3)</f>
        <v>72.281000000000006</v>
      </c>
      <c r="E48">
        <f t="shared" si="2"/>
        <v>73.811000000000007</v>
      </c>
      <c r="F48">
        <f t="shared" si="2"/>
        <v>75.459999999999994</v>
      </c>
      <c r="G48">
        <f t="shared" si="2"/>
        <v>77.623000000000005</v>
      </c>
      <c r="H48" s="112">
        <f t="shared" si="2"/>
        <v>79.673000000000002</v>
      </c>
      <c r="I48">
        <f t="shared" si="2"/>
        <v>81.594999999999999</v>
      </c>
      <c r="J48">
        <f t="shared" si="2"/>
        <v>84.296000000000006</v>
      </c>
      <c r="K48">
        <f t="shared" si="2"/>
        <v>84.784000000000006</v>
      </c>
      <c r="L48">
        <f t="shared" si="2"/>
        <v>86.933999999999997</v>
      </c>
      <c r="M48">
        <f t="shared" si="2"/>
        <v>87.866</v>
      </c>
      <c r="N48">
        <f t="shared" si="2"/>
        <v>88.234999999999999</v>
      </c>
      <c r="O48">
        <f t="shared" si="2"/>
        <v>88.094999999999999</v>
      </c>
      <c r="P48">
        <f t="shared" si="2"/>
        <v>87.552999999999997</v>
      </c>
      <c r="Q48">
        <f t="shared" si="2"/>
        <v>86.563999999999993</v>
      </c>
      <c r="R48">
        <f t="shared" si="2"/>
        <v>85.331999999999994</v>
      </c>
      <c r="S48">
        <f t="shared" si="2"/>
        <v>82.918000000000006</v>
      </c>
      <c r="T48">
        <f t="shared" si="2"/>
        <v>81.412000000000006</v>
      </c>
      <c r="U48">
        <f t="shared" si="2"/>
        <v>79.072000000000003</v>
      </c>
      <c r="V48">
        <f t="shared" si="2"/>
        <v>77.801000000000002</v>
      </c>
      <c r="W48">
        <f t="shared" si="2"/>
        <v>76.623000000000005</v>
      </c>
      <c r="X48">
        <f t="shared" si="2"/>
        <v>72.600999999999999</v>
      </c>
      <c r="Y48">
        <f t="shared" si="2"/>
        <v>67.599999999999994</v>
      </c>
      <c r="Z48">
        <f t="shared" si="2"/>
        <v>66</v>
      </c>
      <c r="AA48">
        <f t="shared" si="2"/>
        <v>65</v>
      </c>
      <c r="AB48">
        <f t="shared" si="2"/>
        <v>64</v>
      </c>
      <c r="AC48">
        <f t="shared" ref="AC48" si="3">ROUND(0.001*AC47,3)</f>
        <v>64</v>
      </c>
    </row>
    <row r="49" spans="1:29" x14ac:dyDescent="0.2">
      <c r="H49" s="112"/>
    </row>
    <row r="50" spans="1:29" x14ac:dyDescent="0.2">
      <c r="B50" s="321" t="s">
        <v>165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</row>
    <row r="51" spans="1:29" x14ac:dyDescent="0.2">
      <c r="B51" t="s">
        <v>133</v>
      </c>
      <c r="C51" s="322">
        <v>1132.8</v>
      </c>
      <c r="D51" s="322">
        <v>1123.3</v>
      </c>
      <c r="E51" s="322">
        <v>1115.0999999999999</v>
      </c>
      <c r="F51" s="322">
        <v>1111.4000000000001</v>
      </c>
      <c r="G51" s="322">
        <v>1109.2</v>
      </c>
      <c r="H51" s="322">
        <v>1109</v>
      </c>
      <c r="I51" s="322">
        <v>1106.2</v>
      </c>
      <c r="J51" s="322">
        <v>1099.4000000000001</v>
      </c>
      <c r="K51" s="322">
        <v>1095.2</v>
      </c>
    </row>
    <row r="52" spans="1:29" x14ac:dyDescent="0.2">
      <c r="B52" t="s">
        <v>141</v>
      </c>
      <c r="C52" s="188">
        <v>1134.087</v>
      </c>
      <c r="D52">
        <v>1124.873</v>
      </c>
      <c r="E52">
        <v>1117.0160000000001</v>
      </c>
      <c r="F52">
        <v>1112.3920000000001</v>
      </c>
      <c r="G52">
        <v>1106.271</v>
      </c>
      <c r="H52" s="112">
        <v>1099.616</v>
      </c>
      <c r="I52">
        <v>1095.7</v>
      </c>
      <c r="J52">
        <v>1090.7329999999999</v>
      </c>
      <c r="K52">
        <v>1084.335</v>
      </c>
      <c r="L52">
        <v>1077.701</v>
      </c>
      <c r="M52">
        <v>1068.9639999999999</v>
      </c>
      <c r="N52">
        <v>1059.835</v>
      </c>
      <c r="O52">
        <v>1049.913</v>
      </c>
      <c r="P52">
        <v>1038.808</v>
      </c>
      <c r="Q52">
        <v>1026.4010000000001</v>
      </c>
      <c r="R52">
        <v>1013.885</v>
      </c>
      <c r="S52">
        <v>999.85299999999995</v>
      </c>
      <c r="T52">
        <v>984.61300000000006</v>
      </c>
      <c r="U52">
        <v>967.98599999999999</v>
      </c>
      <c r="V52" s="188">
        <v>949.79499999999996</v>
      </c>
      <c r="W52" s="188">
        <v>931.62300000000005</v>
      </c>
      <c r="X52" s="188">
        <v>920</v>
      </c>
      <c r="Y52" s="206">
        <v>910</v>
      </c>
      <c r="Z52" s="206">
        <v>900</v>
      </c>
      <c r="AA52" s="206">
        <v>895</v>
      </c>
      <c r="AB52" s="206">
        <v>889</v>
      </c>
      <c r="AC52" s="206">
        <v>889</v>
      </c>
    </row>
    <row r="53" spans="1:29" x14ac:dyDescent="0.2">
      <c r="A53" t="s">
        <v>135</v>
      </c>
      <c r="B53" t="s">
        <v>142</v>
      </c>
      <c r="C53" s="188">
        <v>180860.90506405718</v>
      </c>
      <c r="D53">
        <v>172756.44252633367</v>
      </c>
      <c r="E53">
        <v>164186.13432296636</v>
      </c>
      <c r="F53">
        <v>155927.03292626026</v>
      </c>
      <c r="G53">
        <v>148658.58515616148</v>
      </c>
      <c r="H53" s="112">
        <v>142392.94699568924</v>
      </c>
      <c r="I53">
        <v>141461.65262787454</v>
      </c>
      <c r="J53">
        <v>139486.25879704507</v>
      </c>
      <c r="K53">
        <v>137502.8502970254</v>
      </c>
      <c r="L53">
        <v>139201.97056698127</v>
      </c>
      <c r="M53">
        <v>140934.42527820377</v>
      </c>
      <c r="N53">
        <v>142947.12386274902</v>
      </c>
      <c r="O53">
        <v>145159.89983607156</v>
      </c>
      <c r="P53">
        <v>147868.84083290937</v>
      </c>
      <c r="Q53">
        <v>150030.03746370747</v>
      </c>
      <c r="R53">
        <v>151097.53889128406</v>
      </c>
      <c r="S53">
        <v>151312.05088531174</v>
      </c>
      <c r="T53">
        <v>150888.25305743425</v>
      </c>
      <c r="U53">
        <v>150288.19679681666</v>
      </c>
      <c r="V53" s="188">
        <v>148796.25335643161</v>
      </c>
      <c r="W53" s="188">
        <v>145493.91186002354</v>
      </c>
      <c r="X53" s="188">
        <v>141707.38333496018</v>
      </c>
    </row>
    <row r="54" spans="1:29" x14ac:dyDescent="0.2">
      <c r="A54" t="s">
        <v>137</v>
      </c>
      <c r="B54" t="s">
        <v>143</v>
      </c>
      <c r="C54" s="188">
        <v>90569.638090054155</v>
      </c>
      <c r="D54">
        <v>86361.752452318324</v>
      </c>
      <c r="E54">
        <v>81357.130110942278</v>
      </c>
      <c r="F54">
        <v>75694.614430776361</v>
      </c>
      <c r="G54">
        <v>73984.225474749095</v>
      </c>
      <c r="H54" s="112">
        <v>73227.800844605459</v>
      </c>
      <c r="I54">
        <v>68029.528564362015</v>
      </c>
      <c r="J54">
        <v>62910.764284722456</v>
      </c>
      <c r="K54">
        <v>57925.269532534279</v>
      </c>
      <c r="L54">
        <v>51205.00692340004</v>
      </c>
      <c r="M54">
        <v>49249.82119975314</v>
      </c>
      <c r="N54">
        <v>47015.203207066916</v>
      </c>
      <c r="O54">
        <v>44560.930328098228</v>
      </c>
      <c r="P54">
        <v>43967.029955838058</v>
      </c>
      <c r="Q54">
        <v>43678.242394387926</v>
      </c>
      <c r="R54">
        <v>44339.377066898705</v>
      </c>
      <c r="S54">
        <v>45384.579710880585</v>
      </c>
      <c r="T54">
        <v>46967.085325884167</v>
      </c>
      <c r="U54">
        <v>47688.665355509787</v>
      </c>
      <c r="V54" s="188">
        <v>47789.582898085006</v>
      </c>
      <c r="W54" s="188">
        <v>48842.190488539905</v>
      </c>
      <c r="X54" s="188">
        <v>49867.157827331161</v>
      </c>
    </row>
    <row r="55" spans="1:29" x14ac:dyDescent="0.2">
      <c r="H55" s="112"/>
    </row>
    <row r="56" spans="1:29" x14ac:dyDescent="0.2">
      <c r="B56" t="s">
        <v>159</v>
      </c>
      <c r="C56">
        <f t="shared" ref="C56:X56" si="4">ROUND((C53+C54*$D58)*0.001,3)</f>
        <v>217.089</v>
      </c>
      <c r="D56">
        <f t="shared" si="4"/>
        <v>207.30099999999999</v>
      </c>
      <c r="E56">
        <f t="shared" si="4"/>
        <v>196.72900000000001</v>
      </c>
      <c r="F56">
        <f t="shared" si="4"/>
        <v>186.20500000000001</v>
      </c>
      <c r="G56">
        <f t="shared" si="4"/>
        <v>178.25200000000001</v>
      </c>
      <c r="H56" s="112">
        <f t="shared" si="4"/>
        <v>171.684</v>
      </c>
      <c r="I56">
        <f t="shared" si="4"/>
        <v>168.673</v>
      </c>
      <c r="J56">
        <f t="shared" si="4"/>
        <v>164.65100000000001</v>
      </c>
      <c r="K56">
        <f t="shared" si="4"/>
        <v>160.673</v>
      </c>
      <c r="L56">
        <f t="shared" si="4"/>
        <v>159.684</v>
      </c>
      <c r="M56">
        <f t="shared" si="4"/>
        <v>160.63399999999999</v>
      </c>
      <c r="N56">
        <f t="shared" si="4"/>
        <v>161.75299999999999</v>
      </c>
      <c r="O56">
        <f t="shared" si="4"/>
        <v>162.98400000000001</v>
      </c>
      <c r="P56">
        <f t="shared" si="4"/>
        <v>165.45599999999999</v>
      </c>
      <c r="Q56">
        <f t="shared" si="4"/>
        <v>167.501</v>
      </c>
      <c r="R56">
        <f t="shared" si="4"/>
        <v>168.833</v>
      </c>
      <c r="S56">
        <f t="shared" si="4"/>
        <v>169.46600000000001</v>
      </c>
      <c r="T56">
        <f t="shared" si="4"/>
        <v>169.67500000000001</v>
      </c>
      <c r="U56">
        <f t="shared" si="4"/>
        <v>169.364</v>
      </c>
      <c r="V56">
        <f t="shared" si="4"/>
        <v>167.91200000000001</v>
      </c>
      <c r="W56">
        <f t="shared" si="4"/>
        <v>165.03100000000001</v>
      </c>
      <c r="X56">
        <f t="shared" si="4"/>
        <v>161.654</v>
      </c>
    </row>
    <row r="57" spans="1:29" x14ac:dyDescent="0.2">
      <c r="K57" s="112"/>
    </row>
    <row r="58" spans="1:29" x14ac:dyDescent="0.2">
      <c r="B58" t="s">
        <v>139</v>
      </c>
      <c r="D58" s="240">
        <v>0.4</v>
      </c>
      <c r="K58" s="112"/>
    </row>
    <row r="59" spans="1:29" s="316" customFormat="1" x14ac:dyDescent="0.2"/>
    <row r="60" spans="1:29" x14ac:dyDescent="0.2">
      <c r="A60" s="239" t="s">
        <v>144</v>
      </c>
    </row>
    <row r="61" spans="1:29" x14ac:dyDescent="0.2">
      <c r="B61" t="s">
        <v>134</v>
      </c>
      <c r="C61" s="206">
        <f>C52</f>
        <v>1134.087</v>
      </c>
      <c r="D61" s="206">
        <f t="shared" ref="D61:X61" si="5">D52</f>
        <v>1124.873</v>
      </c>
      <c r="E61" s="206">
        <f t="shared" si="5"/>
        <v>1117.0160000000001</v>
      </c>
      <c r="F61" s="206">
        <f t="shared" si="5"/>
        <v>1112.3920000000001</v>
      </c>
      <c r="G61" s="206">
        <f t="shared" si="5"/>
        <v>1106.271</v>
      </c>
      <c r="H61" s="206">
        <f t="shared" si="5"/>
        <v>1099.616</v>
      </c>
      <c r="I61" s="206">
        <f t="shared" si="5"/>
        <v>1095.7</v>
      </c>
      <c r="J61" s="206">
        <f t="shared" si="5"/>
        <v>1090.7329999999999</v>
      </c>
      <c r="K61" s="206">
        <f t="shared" si="5"/>
        <v>1084.335</v>
      </c>
      <c r="L61" s="206">
        <f t="shared" si="5"/>
        <v>1077.701</v>
      </c>
      <c r="M61" s="206">
        <f t="shared" si="5"/>
        <v>1068.9639999999999</v>
      </c>
      <c r="N61" s="206">
        <f t="shared" si="5"/>
        <v>1059.835</v>
      </c>
      <c r="O61" s="206">
        <f t="shared" si="5"/>
        <v>1049.913</v>
      </c>
      <c r="P61" s="206">
        <f t="shared" si="5"/>
        <v>1038.808</v>
      </c>
      <c r="Q61" s="206">
        <f t="shared" si="5"/>
        <v>1026.4010000000001</v>
      </c>
      <c r="R61" s="206">
        <f t="shared" si="5"/>
        <v>1013.885</v>
      </c>
      <c r="S61" s="206">
        <f t="shared" si="5"/>
        <v>999.85299999999995</v>
      </c>
      <c r="T61" s="206">
        <f t="shared" si="5"/>
        <v>984.61300000000006</v>
      </c>
      <c r="U61" s="206">
        <f t="shared" si="5"/>
        <v>967.98599999999999</v>
      </c>
      <c r="V61" s="206">
        <f t="shared" si="5"/>
        <v>949.79499999999996</v>
      </c>
      <c r="W61" s="206">
        <f t="shared" si="5"/>
        <v>931.62300000000005</v>
      </c>
      <c r="X61" s="206">
        <f t="shared" si="5"/>
        <v>920</v>
      </c>
      <c r="Y61" s="323">
        <f>-9.8721*Y50+1161.2</f>
        <v>934.14170000000001</v>
      </c>
      <c r="Z61" s="323">
        <f t="shared" ref="Z61:AB61" si="6">-9.8721*Z50+1161.2</f>
        <v>924.26960000000008</v>
      </c>
      <c r="AA61" s="323">
        <f t="shared" si="6"/>
        <v>914.39750000000004</v>
      </c>
      <c r="AB61" s="323">
        <f t="shared" si="6"/>
        <v>904.52539999999999</v>
      </c>
      <c r="AC61" s="323">
        <f t="shared" ref="AC61" si="7">-9.8721*AC50+1161.2</f>
        <v>894.65330000000006</v>
      </c>
    </row>
    <row r="62" spans="1:29" x14ac:dyDescent="0.2">
      <c r="B62" t="s">
        <v>136</v>
      </c>
      <c r="C62" s="206">
        <f>C53*0.001</f>
        <v>180.86090506405719</v>
      </c>
      <c r="D62" s="206">
        <f t="shared" ref="D62:X62" si="8">D53*0.001</f>
        <v>172.75644252633367</v>
      </c>
      <c r="E62" s="206">
        <f t="shared" si="8"/>
        <v>164.18613432296635</v>
      </c>
      <c r="F62" s="206">
        <f t="shared" si="8"/>
        <v>155.92703292626027</v>
      </c>
      <c r="G62" s="206">
        <f t="shared" si="8"/>
        <v>148.65858515616148</v>
      </c>
      <c r="H62" s="206">
        <f t="shared" si="8"/>
        <v>142.39294699568924</v>
      </c>
      <c r="I62" s="206">
        <f t="shared" si="8"/>
        <v>141.46165262787454</v>
      </c>
      <c r="J62" s="206">
        <f t="shared" si="8"/>
        <v>139.48625879704508</v>
      </c>
      <c r="K62" s="206">
        <f t="shared" si="8"/>
        <v>137.50285029702542</v>
      </c>
      <c r="L62" s="206">
        <f t="shared" si="8"/>
        <v>139.20197056698126</v>
      </c>
      <c r="M62" s="206">
        <f t="shared" si="8"/>
        <v>140.93442527820378</v>
      </c>
      <c r="N62" s="206">
        <f t="shared" si="8"/>
        <v>142.94712386274904</v>
      </c>
      <c r="O62" s="206">
        <f t="shared" si="8"/>
        <v>145.15989983607156</v>
      </c>
      <c r="P62" s="206">
        <f t="shared" si="8"/>
        <v>147.86884083290937</v>
      </c>
      <c r="Q62" s="206">
        <f t="shared" si="8"/>
        <v>150.03003746370749</v>
      </c>
      <c r="R62" s="206">
        <f t="shared" si="8"/>
        <v>151.09753889128407</v>
      </c>
      <c r="S62" s="206">
        <f t="shared" si="8"/>
        <v>151.31205088531175</v>
      </c>
      <c r="T62" s="206">
        <f t="shared" si="8"/>
        <v>150.88825305743427</v>
      </c>
      <c r="U62" s="206">
        <f t="shared" si="8"/>
        <v>150.28819679681666</v>
      </c>
      <c r="V62" s="206">
        <f t="shared" si="8"/>
        <v>148.79625335643161</v>
      </c>
      <c r="W62" s="206">
        <f t="shared" si="8"/>
        <v>145.49391186002353</v>
      </c>
      <c r="X62" s="206">
        <f t="shared" si="8"/>
        <v>141.70738333496018</v>
      </c>
      <c r="Y62" s="323">
        <v>139.24</v>
      </c>
      <c r="Z62" s="323">
        <v>138.9</v>
      </c>
      <c r="AA62" s="323">
        <v>137.44999999999999</v>
      </c>
      <c r="AB62" s="323">
        <v>137.99</v>
      </c>
      <c r="AC62" s="323">
        <v>137.99</v>
      </c>
    </row>
    <row r="63" spans="1:29" x14ac:dyDescent="0.2">
      <c r="B63" t="s">
        <v>138</v>
      </c>
      <c r="C63" s="206">
        <f>C54*0.001</f>
        <v>90.569638090054156</v>
      </c>
      <c r="D63" s="206">
        <f t="shared" ref="D63:X63" si="9">D54*0.001</f>
        <v>86.361752452318328</v>
      </c>
      <c r="E63" s="206">
        <f t="shared" si="9"/>
        <v>81.357130110942279</v>
      </c>
      <c r="F63" s="206">
        <f t="shared" si="9"/>
        <v>75.694614430776369</v>
      </c>
      <c r="G63" s="206">
        <f t="shared" si="9"/>
        <v>73.984225474749095</v>
      </c>
      <c r="H63" s="206">
        <f t="shared" si="9"/>
        <v>73.227800844605454</v>
      </c>
      <c r="I63" s="206">
        <f t="shared" si="9"/>
        <v>68.02952856436201</v>
      </c>
      <c r="J63" s="206">
        <f t="shared" si="9"/>
        <v>62.910764284722454</v>
      </c>
      <c r="K63" s="206">
        <f t="shared" si="9"/>
        <v>57.92526953253428</v>
      </c>
      <c r="L63" s="206">
        <f t="shared" si="9"/>
        <v>51.205006923400042</v>
      </c>
      <c r="M63" s="206">
        <f t="shared" si="9"/>
        <v>49.249821199753143</v>
      </c>
      <c r="N63" s="206">
        <f t="shared" si="9"/>
        <v>47.015203207066918</v>
      </c>
      <c r="O63" s="206">
        <f t="shared" si="9"/>
        <v>44.56093032809823</v>
      </c>
      <c r="P63" s="206">
        <f t="shared" si="9"/>
        <v>43.967029955838058</v>
      </c>
      <c r="Q63" s="206">
        <f t="shared" si="9"/>
        <v>43.678242394387929</v>
      </c>
      <c r="R63" s="206">
        <f t="shared" si="9"/>
        <v>44.339377066898706</v>
      </c>
      <c r="S63" s="206">
        <f t="shared" si="9"/>
        <v>45.384579710880587</v>
      </c>
      <c r="T63" s="206">
        <f t="shared" si="9"/>
        <v>46.96708532588417</v>
      </c>
      <c r="U63" s="206">
        <f t="shared" si="9"/>
        <v>47.688665355509791</v>
      </c>
      <c r="V63" s="206">
        <f t="shared" si="9"/>
        <v>47.789582898085008</v>
      </c>
      <c r="W63" s="206">
        <f t="shared" si="9"/>
        <v>48.842190488539906</v>
      </c>
      <c r="X63" s="206">
        <f t="shared" si="9"/>
        <v>49.867157827331162</v>
      </c>
      <c r="Y63" s="323">
        <v>50.09</v>
      </c>
      <c r="Z63" s="323">
        <v>52.09</v>
      </c>
      <c r="AA63" s="323">
        <v>54.66</v>
      </c>
      <c r="AB63" s="323">
        <v>57.88</v>
      </c>
      <c r="AC63" s="323">
        <v>57.88</v>
      </c>
    </row>
    <row r="66" spans="2:29" x14ac:dyDescent="0.2">
      <c r="C66" t="b">
        <f>AND(C52=C61)</f>
        <v>1</v>
      </c>
      <c r="D66" t="b">
        <f t="shared" ref="D66:AC66" si="10">AND(D52=D61)</f>
        <v>1</v>
      </c>
      <c r="E66" t="b">
        <f t="shared" si="10"/>
        <v>1</v>
      </c>
      <c r="F66" t="b">
        <f t="shared" si="10"/>
        <v>1</v>
      </c>
      <c r="G66" t="b">
        <f t="shared" si="10"/>
        <v>1</v>
      </c>
      <c r="H66" t="b">
        <f t="shared" si="10"/>
        <v>1</v>
      </c>
      <c r="I66" t="b">
        <f t="shared" si="10"/>
        <v>1</v>
      </c>
      <c r="J66" t="b">
        <f t="shared" si="10"/>
        <v>1</v>
      </c>
      <c r="K66" t="b">
        <f t="shared" si="10"/>
        <v>1</v>
      </c>
      <c r="L66" t="b">
        <f t="shared" si="10"/>
        <v>1</v>
      </c>
      <c r="M66" t="b">
        <f t="shared" si="10"/>
        <v>1</v>
      </c>
      <c r="N66" t="b">
        <f t="shared" si="10"/>
        <v>1</v>
      </c>
      <c r="O66" t="b">
        <f t="shared" si="10"/>
        <v>1</v>
      </c>
      <c r="P66" t="b">
        <f t="shared" si="10"/>
        <v>1</v>
      </c>
      <c r="Q66" t="b">
        <f t="shared" si="10"/>
        <v>1</v>
      </c>
      <c r="R66" t="b">
        <f t="shared" si="10"/>
        <v>1</v>
      </c>
      <c r="S66" t="b">
        <f t="shared" si="10"/>
        <v>1</v>
      </c>
      <c r="T66" t="b">
        <f t="shared" si="10"/>
        <v>1</v>
      </c>
      <c r="U66" t="b">
        <f t="shared" si="10"/>
        <v>1</v>
      </c>
      <c r="V66" t="b">
        <f t="shared" si="10"/>
        <v>1</v>
      </c>
      <c r="W66" t="b">
        <f t="shared" si="10"/>
        <v>1</v>
      </c>
      <c r="X66" t="b">
        <f t="shared" si="10"/>
        <v>1</v>
      </c>
      <c r="Y66" t="b">
        <f t="shared" si="10"/>
        <v>0</v>
      </c>
      <c r="Z66" t="b">
        <f t="shared" si="10"/>
        <v>0</v>
      </c>
      <c r="AA66" t="b">
        <f t="shared" si="10"/>
        <v>0</v>
      </c>
      <c r="AB66" t="b">
        <f t="shared" si="10"/>
        <v>0</v>
      </c>
      <c r="AC66" t="b">
        <f t="shared" si="10"/>
        <v>0</v>
      </c>
    </row>
    <row r="70" spans="2:29" s="198" customFormat="1" x14ac:dyDescent="0.2">
      <c r="B70" s="321" t="s">
        <v>140</v>
      </c>
      <c r="C70" s="198">
        <v>2005</v>
      </c>
      <c r="D70" s="198">
        <v>2006</v>
      </c>
      <c r="E70" s="198">
        <v>2007</v>
      </c>
      <c r="F70" s="198">
        <v>2008</v>
      </c>
      <c r="G70" s="198">
        <v>2009</v>
      </c>
      <c r="H70" s="293">
        <v>2010</v>
      </c>
      <c r="I70" s="198">
        <v>2011</v>
      </c>
      <c r="J70" s="198">
        <v>2012</v>
      </c>
      <c r="K70" s="198">
        <v>2013</v>
      </c>
      <c r="L70" s="198">
        <v>2014</v>
      </c>
      <c r="M70" s="198">
        <v>2015</v>
      </c>
      <c r="N70" s="198">
        <v>2016</v>
      </c>
      <c r="O70" s="198">
        <v>2017</v>
      </c>
      <c r="P70" s="198">
        <v>2018</v>
      </c>
      <c r="Q70" s="198">
        <v>2019</v>
      </c>
      <c r="R70" s="198">
        <v>2020</v>
      </c>
      <c r="S70" s="198">
        <v>2021</v>
      </c>
      <c r="T70" s="198">
        <v>2022</v>
      </c>
      <c r="U70" s="198">
        <v>2023</v>
      </c>
      <c r="V70" s="198">
        <v>2024</v>
      </c>
      <c r="W70" s="198">
        <v>2025</v>
      </c>
      <c r="X70" s="198">
        <v>2026</v>
      </c>
      <c r="Y70" s="198">
        <v>2027</v>
      </c>
      <c r="Z70" s="198">
        <v>2028</v>
      </c>
      <c r="AA70" s="198">
        <v>2029</v>
      </c>
      <c r="AB70" s="198">
        <v>2030</v>
      </c>
      <c r="AC70" s="198">
        <v>2031</v>
      </c>
    </row>
    <row r="71" spans="2:29" x14ac:dyDescent="0.2">
      <c r="B71" t="s">
        <v>141</v>
      </c>
      <c r="C71" s="206">
        <f>C52</f>
        <v>1134.087</v>
      </c>
      <c r="D71" s="206">
        <f t="shared" ref="D71:AB71" si="11">D52</f>
        <v>1124.873</v>
      </c>
      <c r="E71" s="206">
        <f t="shared" si="11"/>
        <v>1117.0160000000001</v>
      </c>
      <c r="F71" s="206">
        <f t="shared" si="11"/>
        <v>1112.3920000000001</v>
      </c>
      <c r="G71" s="206">
        <f t="shared" si="11"/>
        <v>1106.271</v>
      </c>
      <c r="H71" s="206">
        <f t="shared" si="11"/>
        <v>1099.616</v>
      </c>
      <c r="I71" s="206">
        <f t="shared" si="11"/>
        <v>1095.7</v>
      </c>
      <c r="J71" s="206">
        <f t="shared" si="11"/>
        <v>1090.7329999999999</v>
      </c>
      <c r="K71" s="206">
        <f t="shared" si="11"/>
        <v>1084.335</v>
      </c>
      <c r="L71" s="206">
        <f t="shared" si="11"/>
        <v>1077.701</v>
      </c>
      <c r="M71" s="206">
        <f t="shared" si="11"/>
        <v>1068.9639999999999</v>
      </c>
      <c r="N71" s="206">
        <f t="shared" si="11"/>
        <v>1059.835</v>
      </c>
      <c r="O71" s="206">
        <f t="shared" si="11"/>
        <v>1049.913</v>
      </c>
      <c r="P71" s="206">
        <f t="shared" si="11"/>
        <v>1038.808</v>
      </c>
      <c r="Q71" s="206">
        <f t="shared" si="11"/>
        <v>1026.4010000000001</v>
      </c>
      <c r="R71" s="206">
        <f t="shared" si="11"/>
        <v>1013.885</v>
      </c>
      <c r="S71" s="206">
        <f t="shared" si="11"/>
        <v>999.85299999999995</v>
      </c>
      <c r="T71" s="206">
        <f t="shared" si="11"/>
        <v>984.61300000000006</v>
      </c>
      <c r="U71" s="206">
        <f t="shared" si="11"/>
        <v>967.98599999999999</v>
      </c>
      <c r="V71" s="206">
        <f t="shared" si="11"/>
        <v>949.79499999999996</v>
      </c>
      <c r="W71" s="206">
        <f t="shared" si="11"/>
        <v>931.62300000000005</v>
      </c>
      <c r="X71" s="206">
        <f t="shared" si="11"/>
        <v>920</v>
      </c>
      <c r="Y71" s="206">
        <f t="shared" si="11"/>
        <v>910</v>
      </c>
      <c r="Z71" s="206">
        <f t="shared" si="11"/>
        <v>900</v>
      </c>
      <c r="AA71" s="206">
        <f t="shared" si="11"/>
        <v>895</v>
      </c>
      <c r="AB71" s="206">
        <f t="shared" si="11"/>
        <v>889</v>
      </c>
      <c r="AC71" s="206">
        <f t="shared" ref="AC71" si="12">AC52</f>
        <v>889</v>
      </c>
    </row>
    <row r="72" spans="2:29" x14ac:dyDescent="0.2">
      <c r="B72" t="s">
        <v>132</v>
      </c>
      <c r="C72">
        <f t="shared" ref="C72:AB72" si="13">C48</f>
        <v>71.260000000000005</v>
      </c>
      <c r="D72">
        <f t="shared" si="13"/>
        <v>72.281000000000006</v>
      </c>
      <c r="E72">
        <f t="shared" si="13"/>
        <v>73.811000000000007</v>
      </c>
      <c r="F72">
        <f t="shared" si="13"/>
        <v>75.459999999999994</v>
      </c>
      <c r="G72">
        <f t="shared" si="13"/>
        <v>77.623000000000005</v>
      </c>
      <c r="H72">
        <f t="shared" si="13"/>
        <v>79.673000000000002</v>
      </c>
      <c r="I72">
        <f t="shared" si="13"/>
        <v>81.594999999999999</v>
      </c>
      <c r="J72">
        <f t="shared" si="13"/>
        <v>84.296000000000006</v>
      </c>
      <c r="K72">
        <f t="shared" si="13"/>
        <v>84.784000000000006</v>
      </c>
      <c r="L72">
        <f t="shared" si="13"/>
        <v>86.933999999999997</v>
      </c>
      <c r="M72">
        <f t="shared" si="13"/>
        <v>87.866</v>
      </c>
      <c r="N72">
        <f t="shared" si="13"/>
        <v>88.234999999999999</v>
      </c>
      <c r="O72">
        <f t="shared" si="13"/>
        <v>88.094999999999999</v>
      </c>
      <c r="P72">
        <f t="shared" si="13"/>
        <v>87.552999999999997</v>
      </c>
      <c r="Q72">
        <f t="shared" si="13"/>
        <v>86.563999999999993</v>
      </c>
      <c r="R72">
        <f t="shared" si="13"/>
        <v>85.331999999999994</v>
      </c>
      <c r="S72">
        <f t="shared" si="13"/>
        <v>82.918000000000006</v>
      </c>
      <c r="T72">
        <f t="shared" si="13"/>
        <v>81.412000000000006</v>
      </c>
      <c r="U72">
        <f t="shared" si="13"/>
        <v>79.072000000000003</v>
      </c>
      <c r="V72">
        <f t="shared" si="13"/>
        <v>77.801000000000002</v>
      </c>
      <c r="W72">
        <f t="shared" si="13"/>
        <v>76.623000000000005</v>
      </c>
      <c r="X72">
        <f t="shared" si="13"/>
        <v>72.600999999999999</v>
      </c>
      <c r="Y72">
        <f t="shared" si="13"/>
        <v>67.599999999999994</v>
      </c>
      <c r="Z72" s="316">
        <f t="shared" si="13"/>
        <v>66</v>
      </c>
      <c r="AA72" s="316">
        <f t="shared" si="13"/>
        <v>65</v>
      </c>
      <c r="AB72" s="316">
        <f t="shared" si="13"/>
        <v>64</v>
      </c>
      <c r="AC72" s="316">
        <f t="shared" ref="AC72" si="14">AC48</f>
        <v>64</v>
      </c>
    </row>
    <row r="73" spans="2:29" x14ac:dyDescent="0.2">
      <c r="B73" t="s">
        <v>159</v>
      </c>
      <c r="C73">
        <f t="shared" ref="C73:X73" si="15">C56</f>
        <v>217.089</v>
      </c>
      <c r="D73">
        <f t="shared" si="15"/>
        <v>207.30099999999999</v>
      </c>
      <c r="E73">
        <f t="shared" si="15"/>
        <v>196.72900000000001</v>
      </c>
      <c r="F73">
        <f t="shared" si="15"/>
        <v>186.20500000000001</v>
      </c>
      <c r="G73">
        <f t="shared" si="15"/>
        <v>178.25200000000001</v>
      </c>
      <c r="H73">
        <f t="shared" si="15"/>
        <v>171.684</v>
      </c>
      <c r="I73">
        <f t="shared" si="15"/>
        <v>168.673</v>
      </c>
      <c r="J73">
        <f t="shared" si="15"/>
        <v>164.65100000000001</v>
      </c>
      <c r="K73">
        <f t="shared" si="15"/>
        <v>160.673</v>
      </c>
      <c r="L73">
        <f t="shared" si="15"/>
        <v>159.684</v>
      </c>
      <c r="M73">
        <f t="shared" si="15"/>
        <v>160.63399999999999</v>
      </c>
      <c r="N73">
        <f t="shared" si="15"/>
        <v>161.75299999999999</v>
      </c>
      <c r="O73">
        <f t="shared" si="15"/>
        <v>162.98400000000001</v>
      </c>
      <c r="P73">
        <f t="shared" si="15"/>
        <v>165.45599999999999</v>
      </c>
      <c r="Q73">
        <f t="shared" si="15"/>
        <v>167.501</v>
      </c>
      <c r="R73">
        <f t="shared" si="15"/>
        <v>168.833</v>
      </c>
      <c r="S73">
        <f t="shared" si="15"/>
        <v>169.46600000000001</v>
      </c>
      <c r="T73">
        <f t="shared" si="15"/>
        <v>169.67500000000001</v>
      </c>
      <c r="U73">
        <f t="shared" si="15"/>
        <v>169.364</v>
      </c>
      <c r="V73">
        <f t="shared" si="15"/>
        <v>167.91200000000001</v>
      </c>
      <c r="W73">
        <f t="shared" si="15"/>
        <v>165.03100000000001</v>
      </c>
      <c r="X73">
        <f t="shared" si="15"/>
        <v>161.654</v>
      </c>
      <c r="Y73">
        <v>161.5</v>
      </c>
      <c r="Z73" s="316">
        <v>161.30000000000001</v>
      </c>
      <c r="AA73" s="316">
        <v>161.19999999999999</v>
      </c>
      <c r="AB73" s="316">
        <v>161.1</v>
      </c>
      <c r="AC73" s="316">
        <v>162.1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"/>
  <sheetViews>
    <sheetView workbookViewId="0">
      <selection activeCell="G35" sqref="G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M1:AD3"/>
  <sheetViews>
    <sheetView workbookViewId="0">
      <selection sqref="A1:XFD3"/>
    </sheetView>
  </sheetViews>
  <sheetFormatPr defaultRowHeight="12.75" x14ac:dyDescent="0.2"/>
  <sheetData>
    <row r="1" spans="13:30" s="550" customFormat="1" x14ac:dyDescent="0.2">
      <c r="M1" s="112"/>
      <c r="P1" s="278"/>
    </row>
    <row r="2" spans="13:30" s="550" customFormat="1" x14ac:dyDescent="0.2">
      <c r="M2" s="112"/>
      <c r="P2" s="278"/>
    </row>
    <row r="3" spans="13:30" s="550" customFormat="1" x14ac:dyDescent="0.2">
      <c r="M3" s="112"/>
      <c r="N3" s="384"/>
      <c r="O3" s="384"/>
      <c r="P3" s="278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2:B3"/>
  <sheetViews>
    <sheetView topLeftCell="A25" workbookViewId="0">
      <selection activeCell="C49" sqref="C49"/>
    </sheetView>
  </sheetViews>
  <sheetFormatPr defaultRowHeight="12.75" x14ac:dyDescent="0.2"/>
  <cols>
    <col min="1" max="1" width="14.140625" customWidth="1"/>
  </cols>
  <sheetData>
    <row r="2" spans="1:2" x14ac:dyDescent="0.2">
      <c r="A2" s="310"/>
      <c r="B2" s="178" t="s">
        <v>123</v>
      </c>
    </row>
    <row r="3" spans="1:2" x14ac:dyDescent="0.2">
      <c r="A3" s="203"/>
      <c r="B3" s="3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F345"/>
  <sheetViews>
    <sheetView topLeftCell="A24" zoomScale="70" zoomScaleNormal="70" workbookViewId="0">
      <selection activeCell="C14" sqref="C14"/>
    </sheetView>
  </sheetViews>
  <sheetFormatPr defaultColWidth="9.140625" defaultRowHeight="12.75" x14ac:dyDescent="0.2"/>
  <cols>
    <col min="1" max="1" width="15.42578125" style="2" bestFit="1" customWidth="1"/>
    <col min="2" max="2" width="60.7109375" style="2" customWidth="1"/>
    <col min="3" max="3" width="16.28515625" style="2" bestFit="1" customWidth="1"/>
    <col min="4" max="4" width="35.140625" style="2" bestFit="1" customWidth="1"/>
    <col min="5" max="5" width="21" style="2" customWidth="1"/>
    <col min="6" max="6" width="11.5703125" style="2" customWidth="1"/>
    <col min="7" max="7" width="9.42578125" style="2" bestFit="1" customWidth="1"/>
    <col min="8" max="9" width="8.28515625" style="2" bestFit="1" customWidth="1"/>
    <col min="10" max="10" width="9.42578125" style="2" bestFit="1" customWidth="1"/>
    <col min="11" max="11" width="8.28515625" style="2" bestFit="1" customWidth="1"/>
    <col min="12" max="12" width="8.28515625" style="5" bestFit="1" customWidth="1"/>
    <col min="13" max="29" width="8.28515625" style="2" bestFit="1" customWidth="1"/>
    <col min="30" max="16384" width="9.140625" style="2"/>
  </cols>
  <sheetData>
    <row r="1" spans="1:15" x14ac:dyDescent="0.2">
      <c r="A1" s="197" t="s">
        <v>35</v>
      </c>
      <c r="B1" s="1"/>
    </row>
    <row r="2" spans="1:15" ht="15" x14ac:dyDescent="0.2">
      <c r="A2" s="199" t="s">
        <v>38</v>
      </c>
      <c r="B2" s="172" t="s">
        <v>0</v>
      </c>
    </row>
    <row r="3" spans="1:15" ht="15" x14ac:dyDescent="0.2">
      <c r="C3" s="3"/>
      <c r="G3" s="4"/>
    </row>
    <row r="4" spans="1:15" x14ac:dyDescent="0.2">
      <c r="A4" s="5"/>
      <c r="B4" s="179" t="s">
        <v>162</v>
      </c>
    </row>
    <row r="5" spans="1:15" x14ac:dyDescent="0.2">
      <c r="J5" s="7"/>
    </row>
    <row r="7" spans="1:15" ht="14.25" x14ac:dyDescent="0.2">
      <c r="B7" s="173" t="s">
        <v>1</v>
      </c>
      <c r="C7" s="9">
        <v>7</v>
      </c>
      <c r="D7" s="10" t="s">
        <v>2</v>
      </c>
      <c r="G7" s="11"/>
      <c r="H7" s="378"/>
      <c r="I7" s="378"/>
      <c r="J7" s="81"/>
      <c r="K7" s="81"/>
      <c r="L7" s="167"/>
      <c r="M7" s="81"/>
      <c r="N7" s="81"/>
      <c r="O7" s="81"/>
    </row>
    <row r="8" spans="1:15" x14ac:dyDescent="0.2">
      <c r="B8" s="12"/>
      <c r="F8" s="13"/>
      <c r="H8" s="81"/>
      <c r="I8" s="378"/>
      <c r="J8" s="81"/>
      <c r="K8" s="81"/>
      <c r="L8" s="167"/>
      <c r="M8" s="81"/>
      <c r="N8" s="81"/>
      <c r="O8" s="81"/>
    </row>
    <row r="9" spans="1:15" ht="14.25" x14ac:dyDescent="0.2">
      <c r="B9" s="6" t="s">
        <v>3</v>
      </c>
      <c r="C9" s="13"/>
      <c r="F9" s="6"/>
      <c r="G9" s="8"/>
      <c r="H9" s="81"/>
      <c r="I9" s="81"/>
      <c r="J9" s="14"/>
      <c r="K9" s="14"/>
      <c r="L9" s="117"/>
      <c r="M9" s="14"/>
      <c r="N9" s="14"/>
      <c r="O9" s="81"/>
    </row>
    <row r="10" spans="1:15" x14ac:dyDescent="0.2">
      <c r="C10" s="13"/>
      <c r="F10" s="13"/>
      <c r="G10"/>
      <c r="H10" s="346"/>
      <c r="I10" s="378"/>
      <c r="J10" s="15"/>
      <c r="K10" s="15"/>
      <c r="L10" s="166"/>
      <c r="M10" s="15"/>
      <c r="N10" s="15"/>
      <c r="O10" s="81"/>
    </row>
    <row r="11" spans="1:15" ht="15.75" customHeight="1" x14ac:dyDescent="0.25">
      <c r="B11" s="173" t="s">
        <v>5</v>
      </c>
      <c r="C11" s="2">
        <v>1</v>
      </c>
      <c r="D11" s="20" t="s">
        <v>4</v>
      </c>
      <c r="F11" s="17"/>
      <c r="G11"/>
      <c r="H11" s="375"/>
      <c r="I11" s="378"/>
      <c r="J11" s="15"/>
      <c r="K11" s="15"/>
      <c r="L11" s="166"/>
      <c r="M11" s="15"/>
      <c r="N11" s="15"/>
      <c r="O11" s="81"/>
    </row>
    <row r="12" spans="1:15" x14ac:dyDescent="0.2">
      <c r="C12" s="2">
        <v>2</v>
      </c>
      <c r="D12" s="275" t="s">
        <v>18</v>
      </c>
      <c r="E12" s="1"/>
      <c r="F12" s="13"/>
      <c r="H12" s="375"/>
      <c r="I12" s="378"/>
      <c r="J12" s="375"/>
      <c r="K12" s="81"/>
      <c r="L12" s="167"/>
      <c r="M12" s="81"/>
      <c r="N12" s="81"/>
      <c r="O12" s="81"/>
    </row>
    <row r="13" spans="1:15" x14ac:dyDescent="0.2">
      <c r="C13" s="2">
        <v>3</v>
      </c>
      <c r="D13" s="275" t="s">
        <v>39</v>
      </c>
      <c r="F13" s="13"/>
      <c r="G13"/>
      <c r="H13" s="13"/>
      <c r="I13" s="20"/>
      <c r="J13" s="20"/>
      <c r="K13" s="20"/>
      <c r="L13" s="230"/>
      <c r="M13" s="20"/>
    </row>
    <row r="14" spans="1:15" x14ac:dyDescent="0.2">
      <c r="C14" s="2">
        <v>4</v>
      </c>
      <c r="D14" s="275" t="s">
        <v>20</v>
      </c>
      <c r="F14" s="13"/>
      <c r="G14"/>
      <c r="H14" s="13"/>
      <c r="I14" s="20"/>
      <c r="J14" s="20"/>
      <c r="K14" s="20"/>
      <c r="L14" s="230"/>
      <c r="M14" s="20"/>
    </row>
    <row r="15" spans="1:15" x14ac:dyDescent="0.2">
      <c r="C15" s="2">
        <v>5</v>
      </c>
      <c r="D15" s="275" t="s">
        <v>21</v>
      </c>
      <c r="F15" s="13"/>
      <c r="G15"/>
    </row>
    <row r="16" spans="1:15" x14ac:dyDescent="0.2">
      <c r="C16" s="2">
        <v>6</v>
      </c>
      <c r="D16" s="275" t="s">
        <v>6</v>
      </c>
      <c r="F16" s="13"/>
      <c r="G16"/>
    </row>
    <row r="17" spans="1:30" x14ac:dyDescent="0.2">
      <c r="C17" s="2">
        <v>7</v>
      </c>
      <c r="D17" s="275" t="s">
        <v>7</v>
      </c>
      <c r="F17" s="13"/>
      <c r="G17"/>
    </row>
    <row r="18" spans="1:30" x14ac:dyDescent="0.2">
      <c r="C18" s="13"/>
      <c r="F18" s="13"/>
    </row>
    <row r="19" spans="1:30" x14ac:dyDescent="0.2">
      <c r="B19" s="6" t="s">
        <v>8</v>
      </c>
      <c r="D19" s="13"/>
      <c r="G19" s="21"/>
      <c r="H19" s="1"/>
      <c r="M19" s="13"/>
    </row>
    <row r="20" spans="1:30" x14ac:dyDescent="0.2">
      <c r="D20" s="22" t="s">
        <v>9</v>
      </c>
      <c r="E20" s="22"/>
      <c r="M20" s="13"/>
    </row>
    <row r="21" spans="1:30" ht="18.75" x14ac:dyDescent="0.3">
      <c r="B21" s="173" t="s">
        <v>10</v>
      </c>
      <c r="C21" s="2">
        <v>1</v>
      </c>
      <c r="D21" s="20" t="s">
        <v>11</v>
      </c>
      <c r="E21" s="402">
        <f>[2]Мощности!E3</f>
        <v>21169000</v>
      </c>
      <c r="G21" s="1"/>
      <c r="H21" s="23"/>
      <c r="M21" s="13"/>
    </row>
    <row r="22" spans="1:30" ht="18.75" x14ac:dyDescent="0.3">
      <c r="C22" s="2">
        <v>2</v>
      </c>
      <c r="D22" s="20" t="s">
        <v>12</v>
      </c>
      <c r="E22" s="402">
        <f>[2]Мощности!E4</f>
        <v>40900</v>
      </c>
      <c r="G22" s="1"/>
      <c r="H22" s="23"/>
      <c r="M22" s="13"/>
    </row>
    <row r="23" spans="1:30" ht="18.75" x14ac:dyDescent="0.3">
      <c r="C23" s="2">
        <v>3</v>
      </c>
      <c r="D23" s="20" t="s">
        <v>12</v>
      </c>
      <c r="E23" s="402">
        <f>[2]Мощности!E5</f>
        <v>198878</v>
      </c>
      <c r="F23" s="1"/>
      <c r="G23" s="24"/>
      <c r="H23" s="23"/>
      <c r="M23" s="13"/>
    </row>
    <row r="24" spans="1:30" ht="18.75" x14ac:dyDescent="0.3">
      <c r="C24" s="2">
        <v>4</v>
      </c>
      <c r="D24" s="20" t="s">
        <v>54</v>
      </c>
      <c r="E24" s="402">
        <f>[2]Мощности!E6</f>
        <v>15560</v>
      </c>
      <c r="G24" s="403"/>
      <c r="H24" s="23"/>
      <c r="M24" s="13"/>
    </row>
    <row r="25" spans="1:30" ht="18.75" x14ac:dyDescent="0.3">
      <c r="C25" s="2">
        <v>5</v>
      </c>
      <c r="D25" s="20" t="s">
        <v>36</v>
      </c>
      <c r="E25" s="402">
        <f>[2]Мощности!E7</f>
        <v>25612</v>
      </c>
      <c r="G25" s="404"/>
      <c r="H25" s="23"/>
      <c r="M25" s="13"/>
    </row>
    <row r="26" spans="1:30" ht="18.75" x14ac:dyDescent="0.3">
      <c r="B26" s="25"/>
      <c r="C26" s="2">
        <v>6</v>
      </c>
      <c r="D26" s="20" t="s">
        <v>11</v>
      </c>
      <c r="E26" s="402">
        <f>[2]Мощности!E8</f>
        <v>125500</v>
      </c>
      <c r="G26" s="405"/>
      <c r="M26" s="13"/>
    </row>
    <row r="27" spans="1:30" ht="18.75" x14ac:dyDescent="0.3">
      <c r="B27" s="6"/>
      <c r="C27" s="2">
        <v>7</v>
      </c>
      <c r="D27" s="20" t="s">
        <v>23</v>
      </c>
      <c r="E27" s="402">
        <f>[2]Мощности!E9</f>
        <v>125500</v>
      </c>
      <c r="G27" s="406"/>
      <c r="M27" s="13"/>
    </row>
    <row r="28" spans="1:30" x14ac:dyDescent="0.2">
      <c r="A28" s="2">
        <v>1</v>
      </c>
      <c r="B28" s="6"/>
      <c r="F28" s="13"/>
      <c r="G28" s="406"/>
      <c r="M28" s="13"/>
    </row>
    <row r="29" spans="1:30" x14ac:dyDescent="0.2">
      <c r="B29" s="6"/>
      <c r="D29" s="390"/>
      <c r="E29" s="390"/>
      <c r="F29" s="390"/>
      <c r="G29" s="406"/>
      <c r="H29" s="390"/>
      <c r="I29" s="390"/>
      <c r="J29" s="389"/>
      <c r="M29" s="13"/>
    </row>
    <row r="30" spans="1:30" x14ac:dyDescent="0.2">
      <c r="B30" s="6"/>
      <c r="G30" s="406"/>
      <c r="M30" s="13"/>
    </row>
    <row r="31" spans="1:30" ht="13.5" thickBot="1" x14ac:dyDescent="0.25">
      <c r="B31" s="6" t="s">
        <v>37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449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</row>
    <row r="32" spans="1:30" ht="13.5" thickBot="1" x14ac:dyDescent="0.25">
      <c r="D32" s="366">
        <v>2005</v>
      </c>
      <c r="E32" s="430">
        <v>2006</v>
      </c>
      <c r="F32" s="431">
        <v>2007</v>
      </c>
      <c r="G32" s="432">
        <v>2008</v>
      </c>
      <c r="H32" s="431">
        <v>2009</v>
      </c>
      <c r="I32" s="432">
        <v>2010</v>
      </c>
      <c r="J32" s="431">
        <v>2011</v>
      </c>
      <c r="K32" s="432">
        <v>2012</v>
      </c>
      <c r="L32" s="431">
        <v>2013</v>
      </c>
      <c r="M32" s="450">
        <v>2014</v>
      </c>
      <c r="N32" s="432">
        <v>2015</v>
      </c>
      <c r="O32" s="431">
        <v>2016</v>
      </c>
      <c r="P32" s="432">
        <v>2017</v>
      </c>
      <c r="Q32" s="431">
        <v>2018</v>
      </c>
      <c r="R32" s="432">
        <v>2019</v>
      </c>
      <c r="S32" s="431">
        <v>2020</v>
      </c>
      <c r="T32" s="432">
        <v>2021</v>
      </c>
      <c r="U32" s="431">
        <v>2022</v>
      </c>
      <c r="V32" s="431">
        <v>2023</v>
      </c>
      <c r="W32" s="432">
        <v>2024</v>
      </c>
      <c r="X32" s="431">
        <v>2025</v>
      </c>
      <c r="Y32" s="432">
        <v>2026</v>
      </c>
      <c r="Z32" s="431">
        <v>2027</v>
      </c>
      <c r="AA32" s="432">
        <v>2028</v>
      </c>
      <c r="AB32" s="431">
        <v>2029</v>
      </c>
      <c r="AC32" s="433">
        <v>2030</v>
      </c>
      <c r="AD32" s="433">
        <v>2031</v>
      </c>
    </row>
    <row r="33" spans="1:32" ht="15" thickBot="1" x14ac:dyDescent="0.25">
      <c r="A33" s="510">
        <f>SUM(E33:L33)/8</f>
        <v>0.19162499999999999</v>
      </c>
      <c r="B33" s="173" t="s">
        <v>178</v>
      </c>
      <c r="C33" s="294">
        <v>1</v>
      </c>
      <c r="D33" s="446">
        <v>0.18853260988475515</v>
      </c>
      <c r="E33" s="510">
        <v>0.17599999999999999</v>
      </c>
      <c r="F33" s="510">
        <v>0.19</v>
      </c>
      <c r="G33" s="510">
        <v>0.19</v>
      </c>
      <c r="H33" s="510">
        <v>0.21</v>
      </c>
      <c r="I33" s="510">
        <v>0.2</v>
      </c>
      <c r="J33" s="510">
        <v>0.2</v>
      </c>
      <c r="K33" s="510">
        <v>0.19</v>
      </c>
      <c r="L33" s="510">
        <v>0.17699999999999999</v>
      </c>
      <c r="M33" s="451">
        <v>0.2</v>
      </c>
      <c r="N33" s="451">
        <v>0.2</v>
      </c>
      <c r="O33" s="451">
        <v>0.2</v>
      </c>
      <c r="P33" s="451">
        <v>0.2</v>
      </c>
      <c r="Q33" s="451">
        <v>0.2</v>
      </c>
      <c r="R33" s="451">
        <v>0.2</v>
      </c>
      <c r="S33" s="451">
        <v>0.2</v>
      </c>
      <c r="T33" s="451">
        <v>0.2</v>
      </c>
      <c r="U33" s="451">
        <v>0.2</v>
      </c>
      <c r="V33" s="451">
        <v>0.2</v>
      </c>
      <c r="W33" s="451">
        <v>0.2</v>
      </c>
      <c r="X33" s="451">
        <v>0.2</v>
      </c>
      <c r="Y33" s="451">
        <v>0.2</v>
      </c>
      <c r="Z33" s="451">
        <v>0.2</v>
      </c>
      <c r="AA33" s="451">
        <v>0.2</v>
      </c>
      <c r="AB33" s="451">
        <v>0.2</v>
      </c>
      <c r="AC33" s="451">
        <v>0.2</v>
      </c>
      <c r="AD33" s="451">
        <v>0.2</v>
      </c>
    </row>
    <row r="34" spans="1:32" s="5" customFormat="1" ht="13.5" thickBot="1" x14ac:dyDescent="0.25">
      <c r="A34" s="510">
        <f t="shared" ref="A34:A39" si="0">SUM(E34:L34)/8</f>
        <v>11.19375</v>
      </c>
      <c r="C34" s="294">
        <v>2</v>
      </c>
      <c r="D34" s="447">
        <v>11.705791531020681</v>
      </c>
      <c r="E34" s="511">
        <v>11.8</v>
      </c>
      <c r="F34" s="511">
        <v>10.9</v>
      </c>
      <c r="G34" s="511">
        <v>12.75</v>
      </c>
      <c r="H34" s="511">
        <v>13.5</v>
      </c>
      <c r="I34" s="511">
        <v>8.5</v>
      </c>
      <c r="J34" s="511">
        <v>10.5</v>
      </c>
      <c r="K34" s="511">
        <v>11</v>
      </c>
      <c r="L34" s="511">
        <v>10.6</v>
      </c>
      <c r="M34" s="451">
        <v>12</v>
      </c>
      <c r="N34" s="451">
        <v>12</v>
      </c>
      <c r="O34" s="451">
        <v>12</v>
      </c>
      <c r="P34" s="451">
        <v>12</v>
      </c>
      <c r="Q34" s="451">
        <v>12</v>
      </c>
      <c r="R34" s="451">
        <v>12</v>
      </c>
      <c r="S34" s="451">
        <v>12</v>
      </c>
      <c r="T34" s="451">
        <v>12</v>
      </c>
      <c r="U34" s="451">
        <v>12</v>
      </c>
      <c r="V34" s="451">
        <v>12</v>
      </c>
      <c r="W34" s="451">
        <v>12</v>
      </c>
      <c r="X34" s="451">
        <v>12</v>
      </c>
      <c r="Y34" s="451">
        <v>12</v>
      </c>
      <c r="Z34" s="451">
        <v>12</v>
      </c>
      <c r="AA34" s="451">
        <v>12</v>
      </c>
      <c r="AB34" s="451">
        <v>12</v>
      </c>
      <c r="AC34" s="451">
        <v>12</v>
      </c>
      <c r="AD34" s="451">
        <v>12</v>
      </c>
    </row>
    <row r="35" spans="1:32" s="116" customFormat="1" ht="13.5" thickBot="1" x14ac:dyDescent="0.25">
      <c r="A35" s="510">
        <f t="shared" si="0"/>
        <v>16.287500000000001</v>
      </c>
      <c r="C35" s="391">
        <v>3</v>
      </c>
      <c r="D35" s="447">
        <v>8.4032173716409133</v>
      </c>
      <c r="E35" s="512">
        <v>10.8</v>
      </c>
      <c r="F35" s="512">
        <v>11.7</v>
      </c>
      <c r="G35" s="512">
        <v>7.8</v>
      </c>
      <c r="H35" s="512">
        <v>9</v>
      </c>
      <c r="I35" s="512">
        <v>11</v>
      </c>
      <c r="J35" s="512">
        <v>9</v>
      </c>
      <c r="K35" s="512">
        <v>36</v>
      </c>
      <c r="L35" s="512">
        <v>35</v>
      </c>
      <c r="M35" s="451">
        <v>31</v>
      </c>
      <c r="N35" s="451">
        <v>31</v>
      </c>
      <c r="O35" s="451">
        <v>31</v>
      </c>
      <c r="P35" s="451">
        <v>31</v>
      </c>
      <c r="Q35" s="451">
        <v>31</v>
      </c>
      <c r="R35" s="451">
        <v>31</v>
      </c>
      <c r="S35" s="451">
        <v>31</v>
      </c>
      <c r="T35" s="451">
        <v>31</v>
      </c>
      <c r="U35" s="451">
        <v>31</v>
      </c>
      <c r="V35" s="451">
        <v>31</v>
      </c>
      <c r="W35" s="451">
        <v>31</v>
      </c>
      <c r="X35" s="451">
        <v>31</v>
      </c>
      <c r="Y35" s="451">
        <v>31</v>
      </c>
      <c r="Z35" s="451">
        <v>31</v>
      </c>
      <c r="AA35" s="451">
        <v>31</v>
      </c>
      <c r="AB35" s="451">
        <v>31</v>
      </c>
      <c r="AC35" s="451">
        <v>31</v>
      </c>
      <c r="AD35" s="451">
        <v>31</v>
      </c>
    </row>
    <row r="36" spans="1:32" ht="13.5" thickBot="1" x14ac:dyDescent="0.25">
      <c r="A36" s="510">
        <f t="shared" si="0"/>
        <v>121.25</v>
      </c>
      <c r="C36" s="294">
        <v>4</v>
      </c>
      <c r="D36" s="447">
        <v>186.67053929627028</v>
      </c>
      <c r="E36" s="513">
        <v>215</v>
      </c>
      <c r="F36" s="513">
        <v>225</v>
      </c>
      <c r="G36" s="513">
        <v>150</v>
      </c>
      <c r="H36" s="513">
        <v>77</v>
      </c>
      <c r="I36" s="513">
        <v>86</v>
      </c>
      <c r="J36" s="513">
        <v>90</v>
      </c>
      <c r="K36" s="513">
        <v>66</v>
      </c>
      <c r="L36" s="513">
        <v>61</v>
      </c>
      <c r="M36" s="451">
        <v>60</v>
      </c>
      <c r="N36" s="451">
        <v>60</v>
      </c>
      <c r="O36" s="451">
        <v>60</v>
      </c>
      <c r="P36" s="451">
        <v>60</v>
      </c>
      <c r="Q36" s="451">
        <v>60</v>
      </c>
      <c r="R36" s="451">
        <v>60</v>
      </c>
      <c r="S36" s="451">
        <v>60</v>
      </c>
      <c r="T36" s="451">
        <v>60</v>
      </c>
      <c r="U36" s="451">
        <v>60</v>
      </c>
      <c r="V36" s="451">
        <v>60</v>
      </c>
      <c r="W36" s="451">
        <v>60</v>
      </c>
      <c r="X36" s="451">
        <v>60</v>
      </c>
      <c r="Y36" s="451">
        <v>60</v>
      </c>
      <c r="Z36" s="451">
        <v>60</v>
      </c>
      <c r="AA36" s="451">
        <v>60</v>
      </c>
      <c r="AB36" s="451">
        <v>60</v>
      </c>
      <c r="AC36" s="451">
        <v>60</v>
      </c>
      <c r="AD36" s="451">
        <v>60</v>
      </c>
    </row>
    <row r="37" spans="1:32" ht="13.5" thickBot="1" x14ac:dyDescent="0.25">
      <c r="A37" s="510">
        <f t="shared" si="0"/>
        <v>18.75</v>
      </c>
      <c r="C37" s="294">
        <v>5</v>
      </c>
      <c r="D37" s="447">
        <v>13.0389699494065</v>
      </c>
      <c r="E37" s="513">
        <v>16</v>
      </c>
      <c r="F37" s="513">
        <v>14</v>
      </c>
      <c r="G37" s="513">
        <v>21</v>
      </c>
      <c r="H37" s="513">
        <v>21</v>
      </c>
      <c r="I37" s="513">
        <v>21.5</v>
      </c>
      <c r="J37" s="513">
        <v>19</v>
      </c>
      <c r="K37" s="513">
        <v>19</v>
      </c>
      <c r="L37" s="513">
        <v>18.5</v>
      </c>
      <c r="M37" s="451">
        <v>19</v>
      </c>
      <c r="N37" s="451">
        <v>19</v>
      </c>
      <c r="O37" s="451">
        <v>19</v>
      </c>
      <c r="P37" s="451">
        <v>19</v>
      </c>
      <c r="Q37" s="451">
        <v>19</v>
      </c>
      <c r="R37" s="451">
        <v>19</v>
      </c>
      <c r="S37" s="451">
        <v>19</v>
      </c>
      <c r="T37" s="451">
        <v>19</v>
      </c>
      <c r="U37" s="451">
        <v>19</v>
      </c>
      <c r="V37" s="451">
        <v>19</v>
      </c>
      <c r="W37" s="451">
        <v>19</v>
      </c>
      <c r="X37" s="451">
        <v>19</v>
      </c>
      <c r="Y37" s="451">
        <v>19</v>
      </c>
      <c r="Z37" s="451">
        <v>19</v>
      </c>
      <c r="AA37" s="451">
        <v>19</v>
      </c>
      <c r="AB37" s="451">
        <v>19</v>
      </c>
      <c r="AC37" s="451">
        <v>19</v>
      </c>
      <c r="AD37" s="451">
        <v>19</v>
      </c>
    </row>
    <row r="38" spans="1:32" ht="13.5" thickBot="1" x14ac:dyDescent="0.25">
      <c r="A38" s="510">
        <f t="shared" si="0"/>
        <v>2.7375000000000003</v>
      </c>
      <c r="C38" s="294">
        <v>6</v>
      </c>
      <c r="D38" s="447">
        <v>2.1692113773343977</v>
      </c>
      <c r="E38" s="513">
        <v>2.2999999999999998</v>
      </c>
      <c r="F38" s="513">
        <v>2.35</v>
      </c>
      <c r="G38" s="513">
        <v>1.1499999999999999</v>
      </c>
      <c r="H38" s="513">
        <v>1.6</v>
      </c>
      <c r="I38" s="513">
        <v>2.2000000000000002</v>
      </c>
      <c r="J38" s="513">
        <v>2.2999999999999998</v>
      </c>
      <c r="K38" s="513">
        <v>5</v>
      </c>
      <c r="L38" s="513">
        <v>5</v>
      </c>
      <c r="M38" s="451">
        <v>5</v>
      </c>
      <c r="N38" s="451">
        <v>5</v>
      </c>
      <c r="O38" s="451">
        <v>5</v>
      </c>
      <c r="P38" s="451">
        <v>5</v>
      </c>
      <c r="Q38" s="451">
        <v>5</v>
      </c>
      <c r="R38" s="451">
        <v>5</v>
      </c>
      <c r="S38" s="451">
        <v>5</v>
      </c>
      <c r="T38" s="451">
        <v>5</v>
      </c>
      <c r="U38" s="451">
        <v>5</v>
      </c>
      <c r="V38" s="451">
        <v>5</v>
      </c>
      <c r="W38" s="451">
        <v>5</v>
      </c>
      <c r="X38" s="451">
        <v>5</v>
      </c>
      <c r="Y38" s="451">
        <v>5</v>
      </c>
      <c r="Z38" s="451">
        <v>5</v>
      </c>
      <c r="AA38" s="451">
        <v>5</v>
      </c>
      <c r="AB38" s="451">
        <v>5</v>
      </c>
      <c r="AC38" s="451">
        <v>5</v>
      </c>
      <c r="AD38" s="451">
        <v>5</v>
      </c>
    </row>
    <row r="39" spans="1:32" ht="13.5" thickBot="1" x14ac:dyDescent="0.25">
      <c r="A39" s="510">
        <f t="shared" si="0"/>
        <v>1.095</v>
      </c>
      <c r="C39" s="294">
        <v>7</v>
      </c>
      <c r="D39" s="448">
        <v>2.082721826014553</v>
      </c>
      <c r="E39" s="514">
        <v>1.7</v>
      </c>
      <c r="F39" s="514">
        <v>1.6</v>
      </c>
      <c r="G39" s="514">
        <v>1.3</v>
      </c>
      <c r="H39" s="514">
        <v>0.92</v>
      </c>
      <c r="I39" s="514">
        <v>0.7</v>
      </c>
      <c r="J39" s="514">
        <v>0.7</v>
      </c>
      <c r="K39" s="514">
        <v>0.9</v>
      </c>
      <c r="L39" s="514">
        <v>0.94</v>
      </c>
      <c r="M39" s="452">
        <v>1.2</v>
      </c>
      <c r="N39" s="452">
        <v>1.2</v>
      </c>
      <c r="O39" s="452">
        <v>1.2</v>
      </c>
      <c r="P39" s="452">
        <v>1.2</v>
      </c>
      <c r="Q39" s="452">
        <v>1.2</v>
      </c>
      <c r="R39" s="452">
        <v>1.2</v>
      </c>
      <c r="S39" s="452">
        <v>1.2</v>
      </c>
      <c r="T39" s="452">
        <v>1.2</v>
      </c>
      <c r="U39" s="452">
        <v>1.2</v>
      </c>
      <c r="V39" s="452">
        <v>1.2</v>
      </c>
      <c r="W39" s="452">
        <v>1.2</v>
      </c>
      <c r="X39" s="452">
        <v>1.2</v>
      </c>
      <c r="Y39" s="452">
        <v>1.2</v>
      </c>
      <c r="Z39" s="452">
        <v>1.2</v>
      </c>
      <c r="AA39" s="452">
        <v>1.2</v>
      </c>
      <c r="AB39" s="452">
        <v>1.2</v>
      </c>
      <c r="AC39" s="452">
        <v>1.2</v>
      </c>
      <c r="AD39" s="452">
        <v>1.2</v>
      </c>
    </row>
    <row r="40" spans="1:32" x14ac:dyDescent="0.2">
      <c r="C40" s="10"/>
      <c r="D40" s="13"/>
    </row>
    <row r="41" spans="1:32" ht="13.5" thickBot="1" x14ac:dyDescent="0.25">
      <c r="B41" s="6" t="s">
        <v>13</v>
      </c>
      <c r="C41" s="10"/>
      <c r="D41" s="13"/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449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25</v>
      </c>
      <c r="AD41" s="1">
        <v>26</v>
      </c>
    </row>
    <row r="42" spans="1:32" x14ac:dyDescent="0.2">
      <c r="D42" s="366">
        <v>2005</v>
      </c>
      <c r="E42" s="434">
        <v>2006</v>
      </c>
      <c r="F42" s="435">
        <v>2007</v>
      </c>
      <c r="G42" s="436">
        <v>2008</v>
      </c>
      <c r="H42" s="435">
        <v>2009</v>
      </c>
      <c r="I42" s="436">
        <v>2010</v>
      </c>
      <c r="J42" s="435">
        <v>2011</v>
      </c>
      <c r="K42" s="436">
        <v>2012</v>
      </c>
      <c r="L42" s="435">
        <v>2013</v>
      </c>
      <c r="M42" s="453">
        <v>2014</v>
      </c>
      <c r="N42" s="436">
        <v>2015</v>
      </c>
      <c r="O42" s="435">
        <v>2016</v>
      </c>
      <c r="P42" s="436">
        <v>2017</v>
      </c>
      <c r="Q42" s="435">
        <v>2018</v>
      </c>
      <c r="R42" s="436">
        <v>2019</v>
      </c>
      <c r="S42" s="435">
        <v>2020</v>
      </c>
      <c r="T42" s="436">
        <v>2021</v>
      </c>
      <c r="U42" s="435">
        <v>2022</v>
      </c>
      <c r="V42" s="435">
        <v>2023</v>
      </c>
      <c r="W42" s="436">
        <v>2024</v>
      </c>
      <c r="X42" s="435">
        <v>2025</v>
      </c>
      <c r="Y42" s="436">
        <v>2026</v>
      </c>
      <c r="Z42" s="435">
        <v>2027</v>
      </c>
      <c r="AA42" s="436">
        <v>2028</v>
      </c>
      <c r="AB42" s="435">
        <v>2029</v>
      </c>
      <c r="AC42" s="437">
        <v>2030</v>
      </c>
      <c r="AD42" s="437">
        <v>2031</v>
      </c>
    </row>
    <row r="43" spans="1:32" ht="14.25" x14ac:dyDescent="0.2">
      <c r="B43" s="173" t="s">
        <v>14</v>
      </c>
      <c r="C43" s="10">
        <v>1</v>
      </c>
      <c r="D43" s="427">
        <f>'[2]Число занятых в отрасли'!$C$3/'НачСост_НС_БД '!E21</f>
        <v>6.5662053002031274E-3</v>
      </c>
      <c r="E43" s="456">
        <f>'[2]Число занятых в отрасли'!D3/E21</f>
        <v>7.369266380084085E-3</v>
      </c>
      <c r="F43" s="438">
        <v>7.369266380084085E-3</v>
      </c>
      <c r="G43" s="438">
        <v>7.369266380084085E-3</v>
      </c>
      <c r="H43" s="438">
        <v>7.369266380084085E-3</v>
      </c>
      <c r="I43" s="438">
        <v>7.369266380084085E-3</v>
      </c>
      <c r="J43" s="438">
        <v>7.369266380084085E-3</v>
      </c>
      <c r="K43" s="438">
        <v>7.369266380084085E-3</v>
      </c>
      <c r="L43" s="439">
        <v>7.369266380084085E-3</v>
      </c>
      <c r="M43" s="454">
        <v>7.369266380084085E-3</v>
      </c>
      <c r="N43" s="438">
        <v>7.369266380084085E-3</v>
      </c>
      <c r="O43" s="438">
        <v>7.369266380084085E-3</v>
      </c>
      <c r="P43" s="438">
        <v>7.369266380084085E-3</v>
      </c>
      <c r="Q43" s="438">
        <v>7.369266380084085E-3</v>
      </c>
      <c r="R43" s="438">
        <v>7.369266380084085E-3</v>
      </c>
      <c r="S43" s="438">
        <v>7.369266380084085E-3</v>
      </c>
      <c r="T43" s="438">
        <v>7.369266380084085E-3</v>
      </c>
      <c r="U43" s="438">
        <v>7.369266380084085E-3</v>
      </c>
      <c r="V43" s="438">
        <v>7.369266380084085E-3</v>
      </c>
      <c r="W43" s="438">
        <v>7.369266380084085E-3</v>
      </c>
      <c r="X43" s="438">
        <v>7.369266380084085E-3</v>
      </c>
      <c r="Y43" s="438">
        <v>7.369266380084085E-3</v>
      </c>
      <c r="Z43" s="438">
        <v>7.369266380084085E-3</v>
      </c>
      <c r="AA43" s="438">
        <v>7.369266380084085E-3</v>
      </c>
      <c r="AB43" s="438">
        <v>7.369266380084085E-3</v>
      </c>
      <c r="AC43" s="440">
        <v>7.369266380084085E-3</v>
      </c>
      <c r="AD43" s="440">
        <v>7.369266380084085E-3</v>
      </c>
    </row>
    <row r="44" spans="1:32" x14ac:dyDescent="0.2">
      <c r="C44" s="10">
        <v>2</v>
      </c>
      <c r="D44" s="428">
        <f>'[2]Число занятых в отрасли'!$C$4/E22</f>
        <v>0.13863080684596576</v>
      </c>
      <c r="E44" s="456">
        <f>'[2]Число занятых в отрасли'!D4/E22</f>
        <v>0.14176039119804401</v>
      </c>
      <c r="F44" s="438">
        <v>0.14176039119804401</v>
      </c>
      <c r="G44" s="438">
        <v>0.14176039119804401</v>
      </c>
      <c r="H44" s="438">
        <v>0.14176039119804401</v>
      </c>
      <c r="I44" s="438">
        <v>0.14176039119804401</v>
      </c>
      <c r="J44" s="438">
        <v>0.14176039119804401</v>
      </c>
      <c r="K44" s="438">
        <v>0.14176039119804401</v>
      </c>
      <c r="L44" s="439">
        <v>0.14176039119804401</v>
      </c>
      <c r="M44" s="454">
        <v>0.14199999999999999</v>
      </c>
      <c r="N44" s="438">
        <v>0.14199999999999999</v>
      </c>
      <c r="O44" s="438">
        <v>0.14199999999999999</v>
      </c>
      <c r="P44" s="438">
        <v>0.14199999999999999</v>
      </c>
      <c r="Q44" s="438">
        <v>0.14199999999999999</v>
      </c>
      <c r="R44" s="438">
        <v>0.14199999999999999</v>
      </c>
      <c r="S44" s="438">
        <v>0.14199999999999999</v>
      </c>
      <c r="T44" s="438">
        <v>0.14199999999999999</v>
      </c>
      <c r="U44" s="438">
        <v>0.14199999999999999</v>
      </c>
      <c r="V44" s="438">
        <v>0.14199999999999999</v>
      </c>
      <c r="W44" s="438">
        <v>0.14199999999999999</v>
      </c>
      <c r="X44" s="438">
        <v>0.14199999999999999</v>
      </c>
      <c r="Y44" s="438">
        <v>0.14199999999999999</v>
      </c>
      <c r="Z44" s="438">
        <v>0.14199999999999999</v>
      </c>
      <c r="AA44" s="438">
        <v>0.14199999999999999</v>
      </c>
      <c r="AB44" s="438">
        <v>0.14199999999999999</v>
      </c>
      <c r="AC44" s="438">
        <v>0.14199999999999999</v>
      </c>
      <c r="AD44" s="438">
        <v>0.14199999999999999</v>
      </c>
      <c r="AF44" s="2">
        <v>0.23899999999999999</v>
      </c>
    </row>
    <row r="45" spans="1:32" x14ac:dyDescent="0.2">
      <c r="C45" s="10">
        <v>3</v>
      </c>
      <c r="D45" s="428">
        <f>'[2]Число занятых в отрасли'!$C$5/'НачСост_НС_БД '!E23</f>
        <v>0.14900592322931647</v>
      </c>
      <c r="E45" s="456">
        <f>'[2]Число занятых в отрасли'!D5/E23</f>
        <v>0.14950874405414374</v>
      </c>
      <c r="F45" s="438">
        <v>0.14950874405414374</v>
      </c>
      <c r="G45" s="438">
        <v>0.14950874405414374</v>
      </c>
      <c r="H45" s="438">
        <v>0.14950874405414374</v>
      </c>
      <c r="I45" s="438">
        <v>0.14950874405414374</v>
      </c>
      <c r="J45" s="438">
        <v>0.14950874405414374</v>
      </c>
      <c r="K45" s="438">
        <v>0.14950874405414374</v>
      </c>
      <c r="L45" s="439">
        <v>0.14950874405414374</v>
      </c>
      <c r="M45" s="454">
        <v>0.14950874405414374</v>
      </c>
      <c r="N45" s="438">
        <v>0.14950874405414374</v>
      </c>
      <c r="O45" s="438">
        <v>0.14950874405414374</v>
      </c>
      <c r="P45" s="438">
        <v>0.14950874405414374</v>
      </c>
      <c r="Q45" s="438">
        <v>0.14950874405414374</v>
      </c>
      <c r="R45" s="438">
        <v>0.14950874405414374</v>
      </c>
      <c r="S45" s="438">
        <v>0.14950874405414374</v>
      </c>
      <c r="T45" s="438">
        <v>0.14950874405414374</v>
      </c>
      <c r="U45" s="438">
        <v>0.14950874405414374</v>
      </c>
      <c r="V45" s="438">
        <v>0.14950874405414374</v>
      </c>
      <c r="W45" s="438">
        <v>0.14950874405414374</v>
      </c>
      <c r="X45" s="438">
        <v>0.14950874405414374</v>
      </c>
      <c r="Y45" s="438">
        <v>0.14950874405414374</v>
      </c>
      <c r="Z45" s="438">
        <v>0.14950874405414374</v>
      </c>
      <c r="AA45" s="438">
        <v>0.14950874405414374</v>
      </c>
      <c r="AB45" s="438">
        <v>0.14950874405414374</v>
      </c>
      <c r="AC45" s="440">
        <v>0.14950874405414374</v>
      </c>
      <c r="AD45" s="440">
        <v>0.14950874405414374</v>
      </c>
    </row>
    <row r="46" spans="1:32" x14ac:dyDescent="0.2">
      <c r="C46" s="10">
        <v>4</v>
      </c>
      <c r="D46" s="428">
        <f>'[2]Число занятых в отрасли'!C6*Gipoteza_Zdrav_zan*0.01/'НачСост_НС_БД '!E24</f>
        <v>1.0367705655526993</v>
      </c>
      <c r="E46" s="457">
        <f>'[2]Число занятых в отрасли'!D6*Gipoteza_Zdrav_zan*0.01/E24</f>
        <v>1.0652313624678664</v>
      </c>
      <c r="F46" s="441">
        <v>1.0652313624678664</v>
      </c>
      <c r="G46" s="441">
        <v>1.0652313624678664</v>
      </c>
      <c r="H46" s="441">
        <v>1.0652313624678664</v>
      </c>
      <c r="I46" s="441">
        <v>1.0652313624678664</v>
      </c>
      <c r="J46" s="441">
        <v>1.0652313624678664</v>
      </c>
      <c r="K46" s="441">
        <v>1.0652313624678664</v>
      </c>
      <c r="L46" s="442">
        <v>1.0652313624678664</v>
      </c>
      <c r="M46" s="442">
        <v>1.0652313624678664</v>
      </c>
      <c r="N46" s="442">
        <v>1.0652313624678664</v>
      </c>
      <c r="O46" s="442">
        <v>1.0652313624678664</v>
      </c>
      <c r="P46" s="442">
        <v>1.0652313624678664</v>
      </c>
      <c r="Q46" s="442">
        <v>1.0652313624678664</v>
      </c>
      <c r="R46" s="442">
        <v>1.0652313624678664</v>
      </c>
      <c r="S46" s="442">
        <v>1.0652313624678664</v>
      </c>
      <c r="T46" s="442">
        <v>1.0652313624678664</v>
      </c>
      <c r="U46" s="442">
        <v>1.0652313624678664</v>
      </c>
      <c r="V46" s="442">
        <v>1.0652313624678664</v>
      </c>
      <c r="W46" s="442">
        <v>1.0652313624678664</v>
      </c>
      <c r="X46" s="442">
        <v>1.0652313624678664</v>
      </c>
      <c r="Y46" s="442">
        <v>1.0652313624678664</v>
      </c>
      <c r="Z46" s="442">
        <v>1.0652313624678664</v>
      </c>
      <c r="AA46" s="442">
        <v>1.0652313624678664</v>
      </c>
      <c r="AB46" s="442">
        <v>1.0652313624678664</v>
      </c>
      <c r="AC46" s="442">
        <v>1.0652313624678664</v>
      </c>
      <c r="AD46" s="442">
        <v>1.0652313624678664</v>
      </c>
      <c r="AF46" s="2">
        <v>0.877</v>
      </c>
    </row>
    <row r="47" spans="1:32" x14ac:dyDescent="0.2">
      <c r="C47" s="10">
        <v>5</v>
      </c>
      <c r="D47" s="428">
        <f>'[2]Число занятых в отрасли'!C6*(100-Gipoteza_Zdrav_zan)*0.01/'НачСост_НС_БД '!E25</f>
        <v>0.11115297516789005</v>
      </c>
      <c r="E47" s="457">
        <f>'[2]Число занятых в отрасли'!D6*(100-Gipoteza_Zdrav_zan)*0.01/'НачСост_НС_БД '!E25</f>
        <v>0.11420427924410433</v>
      </c>
      <c r="F47" s="441">
        <v>0.11420427924410433</v>
      </c>
      <c r="G47" s="441">
        <v>0.11420427924410433</v>
      </c>
      <c r="H47" s="441">
        <v>0.11420427924410433</v>
      </c>
      <c r="I47" s="441">
        <v>0.11420427924410433</v>
      </c>
      <c r="J47" s="441">
        <v>0.11420427924410433</v>
      </c>
      <c r="K47" s="441">
        <v>0.11420427924410433</v>
      </c>
      <c r="L47" s="442">
        <v>0.11420427924410433</v>
      </c>
      <c r="M47" s="442">
        <v>0.11420427924410433</v>
      </c>
      <c r="N47" s="442">
        <v>0.11420427924410433</v>
      </c>
      <c r="O47" s="442">
        <v>0.11420427924410433</v>
      </c>
      <c r="P47" s="442">
        <v>0.11420427924410433</v>
      </c>
      <c r="Q47" s="442">
        <v>0.11420427924410433</v>
      </c>
      <c r="R47" s="442">
        <v>0.11420427924410433</v>
      </c>
      <c r="S47" s="442">
        <v>0.11420427924410433</v>
      </c>
      <c r="T47" s="442">
        <v>0.11420427924410433</v>
      </c>
      <c r="U47" s="442">
        <v>0.11420427924410433</v>
      </c>
      <c r="V47" s="442">
        <v>0.11420427924410433</v>
      </c>
      <c r="W47" s="442">
        <v>0.11420427924410433</v>
      </c>
      <c r="X47" s="442">
        <v>0.11420427924410433</v>
      </c>
      <c r="Y47" s="442">
        <v>0.11420427924410433</v>
      </c>
      <c r="Z47" s="442">
        <v>0.11420427924410433</v>
      </c>
      <c r="AA47" s="442">
        <v>0.11420427924410433</v>
      </c>
      <c r="AB47" s="442">
        <v>0.11420427924410433</v>
      </c>
      <c r="AC47" s="442">
        <v>0.11420427924410433</v>
      </c>
      <c r="AD47" s="442">
        <v>0.11420427924410433</v>
      </c>
      <c r="AF47" s="2">
        <v>0.22800000000000001</v>
      </c>
    </row>
    <row r="48" spans="1:32" x14ac:dyDescent="0.2">
      <c r="C48" s="10">
        <v>6</v>
      </c>
      <c r="D48" s="428">
        <f>'[2]Число занятых в отрасли'!$C$8/E27</f>
        <v>2.3904382470119521E-2</v>
      </c>
      <c r="E48" s="456">
        <f>'[2]Число занятых в отрасли'!D8/E26</f>
        <v>2.4143426294820716E-2</v>
      </c>
      <c r="F48" s="438">
        <v>2.4143426294820716E-2</v>
      </c>
      <c r="G48" s="438">
        <v>2.4143426294820716E-2</v>
      </c>
      <c r="H48" s="438">
        <v>2.4143426294820716E-2</v>
      </c>
      <c r="I48" s="438">
        <v>2.4143426294820716E-2</v>
      </c>
      <c r="J48" s="438">
        <v>2.4143426294820716E-2</v>
      </c>
      <c r="K48" s="438">
        <v>2.4143426294820716E-2</v>
      </c>
      <c r="L48" s="439">
        <v>2.4143426294820716E-2</v>
      </c>
      <c r="M48" s="454">
        <v>2.4143426294820716E-2</v>
      </c>
      <c r="N48" s="438">
        <v>2.4143426294820716E-2</v>
      </c>
      <c r="O48" s="438">
        <v>2.4143426294820716E-2</v>
      </c>
      <c r="P48" s="438">
        <v>2.4143426294820716E-2</v>
      </c>
      <c r="Q48" s="438">
        <v>2.4143426294820716E-2</v>
      </c>
      <c r="R48" s="438">
        <v>2.4143426294820716E-2</v>
      </c>
      <c r="S48" s="438">
        <v>2.4143426294820716E-2</v>
      </c>
      <c r="T48" s="438">
        <v>2.4143426294820716E-2</v>
      </c>
      <c r="U48" s="438">
        <v>2.4143426294820716E-2</v>
      </c>
      <c r="V48" s="438">
        <v>2.4143426294820716E-2</v>
      </c>
      <c r="W48" s="438">
        <v>2.4143426294820716E-2</v>
      </c>
      <c r="X48" s="438">
        <v>2.4143426294820716E-2</v>
      </c>
      <c r="Y48" s="438">
        <v>2.4143426294820716E-2</v>
      </c>
      <c r="Z48" s="438">
        <v>2.4143426294820716E-2</v>
      </c>
      <c r="AA48" s="438">
        <v>2.4143426294820716E-2</v>
      </c>
      <c r="AB48" s="438">
        <v>2.4143426294820716E-2</v>
      </c>
      <c r="AC48" s="440">
        <v>2.4143426294820716E-2</v>
      </c>
      <c r="AD48" s="440">
        <v>2.4143426294820716E-2</v>
      </c>
    </row>
    <row r="49" spans="1:30" ht="13.5" thickBot="1" x14ac:dyDescent="0.25">
      <c r="C49" s="10">
        <v>7</v>
      </c>
      <c r="D49" s="429">
        <f>'[2]Число занятых в отрасли'!$C$9/E27</f>
        <v>1.8318725099601595E-2</v>
      </c>
      <c r="E49" s="458">
        <f>'[2]Число занятых в отрасли'!D9/E27</f>
        <v>2.0613545816733067E-2</v>
      </c>
      <c r="F49" s="443">
        <v>2.0613545816733067E-2</v>
      </c>
      <c r="G49" s="443">
        <v>2.0613545816733067E-2</v>
      </c>
      <c r="H49" s="443">
        <v>2.0613545816733067E-2</v>
      </c>
      <c r="I49" s="443">
        <v>2.0613545816733067E-2</v>
      </c>
      <c r="J49" s="443">
        <v>2.0613545816733067E-2</v>
      </c>
      <c r="K49" s="443">
        <v>2.0613545816733067E-2</v>
      </c>
      <c r="L49" s="444">
        <v>2.0613545816733067E-2</v>
      </c>
      <c r="M49" s="455">
        <v>2.0613545816733067E-2</v>
      </c>
      <c r="N49" s="443">
        <v>2.0613545816733067E-2</v>
      </c>
      <c r="O49" s="443">
        <v>2.0613545816733067E-2</v>
      </c>
      <c r="P49" s="443">
        <v>2.0613545816733067E-2</v>
      </c>
      <c r="Q49" s="443">
        <v>2.0613545816733067E-2</v>
      </c>
      <c r="R49" s="443">
        <v>2.0613545816733067E-2</v>
      </c>
      <c r="S49" s="443">
        <v>2.0613545816733067E-2</v>
      </c>
      <c r="T49" s="443">
        <v>2.0613545816733067E-2</v>
      </c>
      <c r="U49" s="443">
        <v>2.0613545816733067E-2</v>
      </c>
      <c r="V49" s="443">
        <v>2.0613545816733067E-2</v>
      </c>
      <c r="W49" s="443">
        <v>2.0613545816733067E-2</v>
      </c>
      <c r="X49" s="443">
        <v>2.0613545816733067E-2</v>
      </c>
      <c r="Y49" s="443">
        <v>2.0613545816733067E-2</v>
      </c>
      <c r="Z49" s="443">
        <v>2.0613545816733067E-2</v>
      </c>
      <c r="AA49" s="443">
        <v>2.0613545816733067E-2</v>
      </c>
      <c r="AB49" s="443">
        <v>2.0613545816733067E-2</v>
      </c>
      <c r="AC49" s="445">
        <v>2.0613545816733067E-2</v>
      </c>
      <c r="AD49" s="445">
        <v>2.0613545816733067E-2</v>
      </c>
    </row>
    <row r="50" spans="1:30" x14ac:dyDescent="0.2">
      <c r="C50" s="10"/>
      <c r="D50" s="13"/>
      <c r="H50" s="367"/>
    </row>
    <row r="51" spans="1:30" x14ac:dyDescent="0.2">
      <c r="B51" s="6" t="s">
        <v>46</v>
      </c>
      <c r="C51" s="10"/>
      <c r="D51" s="13"/>
      <c r="F51" s="3"/>
      <c r="H51" s="367"/>
    </row>
    <row r="52" spans="1:30" ht="13.5" thickBot="1" x14ac:dyDescent="0.25">
      <c r="C52" s="10"/>
      <c r="D52" s="366">
        <v>2005</v>
      </c>
      <c r="E52" s="1"/>
      <c r="F52" s="22"/>
      <c r="G52" s="1"/>
      <c r="H52" s="22"/>
      <c r="I52" s="1"/>
      <c r="J52" s="22"/>
      <c r="K52" s="1"/>
      <c r="L52" s="393"/>
      <c r="M52" s="1"/>
      <c r="N52" s="22"/>
      <c r="O52" s="1"/>
      <c r="P52" s="22"/>
      <c r="Q52" s="1"/>
      <c r="R52" s="22"/>
      <c r="S52" s="1"/>
      <c r="T52" s="22"/>
      <c r="U52" s="1"/>
      <c r="V52" s="22"/>
      <c r="W52" s="1"/>
      <c r="X52" s="22"/>
      <c r="Y52" s="1"/>
      <c r="Z52" s="22"/>
      <c r="AA52" s="1"/>
      <c r="AB52" s="22"/>
      <c r="AC52" s="1"/>
    </row>
    <row r="53" spans="1:30" ht="14.25" x14ac:dyDescent="0.2">
      <c r="B53" s="173" t="s">
        <v>15</v>
      </c>
      <c r="C53" s="10">
        <v>1</v>
      </c>
      <c r="D53" s="424">
        <f>'[2]Заработная плата'!C5*12*0.001</f>
        <v>92.867399999999989</v>
      </c>
      <c r="E53" s="422"/>
      <c r="F53" s="422"/>
      <c r="G53" s="422"/>
      <c r="H53" s="422"/>
      <c r="I53" s="422"/>
      <c r="J53" s="422"/>
      <c r="K53" s="422"/>
      <c r="L53" s="423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81"/>
    </row>
    <row r="54" spans="1:30" x14ac:dyDescent="0.2">
      <c r="C54" s="10">
        <v>2</v>
      </c>
      <c r="D54" s="425">
        <f>'[2]Заработная плата'!C6*12*0.001</f>
        <v>51.9</v>
      </c>
      <c r="E54" s="374"/>
      <c r="F54" s="374"/>
      <c r="G54" s="374"/>
      <c r="H54" s="374"/>
      <c r="I54" s="374"/>
      <c r="J54" s="374"/>
      <c r="K54" s="374"/>
      <c r="L54" s="39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374"/>
      <c r="AB54" s="374"/>
      <c r="AC54" s="374"/>
      <c r="AD54" s="81"/>
    </row>
    <row r="55" spans="1:30" x14ac:dyDescent="0.2">
      <c r="C55" s="10">
        <v>3</v>
      </c>
      <c r="D55" s="425">
        <f>'[2]Заработная плата'!C7*12*0.001</f>
        <v>93.600000000000009</v>
      </c>
      <c r="E55" s="375"/>
      <c r="F55" s="375"/>
      <c r="G55" s="375"/>
      <c r="H55" s="375"/>
      <c r="I55" s="375"/>
      <c r="J55" s="375"/>
      <c r="K55" s="375"/>
      <c r="L55" s="39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81"/>
    </row>
    <row r="56" spans="1:30" x14ac:dyDescent="0.2">
      <c r="C56" s="10">
        <v>4</v>
      </c>
      <c r="D56" s="425">
        <f>'[2]Заработная плата'!C8*12*0.001</f>
        <v>70.606799999999993</v>
      </c>
      <c r="E56" s="375"/>
      <c r="F56" s="375"/>
      <c r="G56" s="375"/>
      <c r="H56" s="375"/>
      <c r="I56" s="375"/>
      <c r="J56" s="375"/>
      <c r="K56" s="375"/>
      <c r="L56" s="39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375"/>
      <c r="AD56" s="81"/>
    </row>
    <row r="57" spans="1:30" x14ac:dyDescent="0.2">
      <c r="C57" s="10">
        <v>5</v>
      </c>
      <c r="D57" s="425">
        <f>'[2]Заработная плата'!C9*12*0.001</f>
        <v>70.606799999999993</v>
      </c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81"/>
    </row>
    <row r="58" spans="1:30" x14ac:dyDescent="0.2">
      <c r="C58" s="10">
        <v>6</v>
      </c>
      <c r="D58" s="425">
        <f>'[2]Заработная плата'!C10*12*0.001</f>
        <v>70.815600000000003</v>
      </c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81"/>
    </row>
    <row r="59" spans="1:30" ht="13.5" thickBot="1" x14ac:dyDescent="0.25">
      <c r="C59" s="10">
        <v>7</v>
      </c>
      <c r="D59" s="426">
        <f>'[2]Заработная плата'!C11*12*0.001</f>
        <v>60.559200000000004</v>
      </c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81"/>
    </row>
    <row r="60" spans="1:30" x14ac:dyDescent="0.2">
      <c r="C60" s="10"/>
      <c r="D60" s="375"/>
      <c r="E60" s="81"/>
      <c r="F60" s="81"/>
      <c r="G60" s="81"/>
      <c r="H60" s="81"/>
      <c r="I60" s="81"/>
      <c r="J60" s="81"/>
      <c r="K60" s="81"/>
      <c r="L60" s="167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</row>
    <row r="61" spans="1:30" x14ac:dyDescent="0.2">
      <c r="B61" s="6" t="s">
        <v>16</v>
      </c>
    </row>
    <row r="62" spans="1:30" ht="13.5" thickBot="1" x14ac:dyDescent="0.25">
      <c r="D62" s="366">
        <v>2005</v>
      </c>
      <c r="E62" s="1"/>
      <c r="F62" s="22"/>
      <c r="G62" s="1"/>
      <c r="H62" s="22"/>
      <c r="I62" s="1"/>
      <c r="J62" s="22"/>
      <c r="K62" s="1"/>
      <c r="L62" s="393"/>
      <c r="M62" s="1"/>
      <c r="N62" s="22"/>
      <c r="O62" s="1"/>
      <c r="P62" s="22"/>
      <c r="Q62" s="1"/>
      <c r="R62" s="22"/>
      <c r="S62" s="1"/>
      <c r="T62" s="22"/>
      <c r="U62" s="1"/>
      <c r="V62" s="22"/>
      <c r="W62" s="1"/>
      <c r="X62" s="22"/>
      <c r="Y62" s="1"/>
      <c r="Z62" s="22"/>
      <c r="AA62" s="1"/>
      <c r="AB62" s="22"/>
    </row>
    <row r="63" spans="1:30" ht="14.25" x14ac:dyDescent="0.2">
      <c r="B63" s="173" t="s">
        <v>17</v>
      </c>
      <c r="C63" s="10">
        <v>1</v>
      </c>
      <c r="D63" s="379">
        <f>'[2]Плата населения'!C3/E21/1000</f>
        <v>0.12822995890216829</v>
      </c>
      <c r="E63" s="377"/>
      <c r="F63" s="377"/>
      <c r="G63" s="377"/>
      <c r="H63" s="377"/>
      <c r="I63" s="377"/>
      <c r="J63" s="377"/>
      <c r="K63" s="377"/>
      <c r="L63" s="396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  <c r="AB63" s="377"/>
      <c r="AC63" s="81"/>
    </row>
    <row r="64" spans="1:30" x14ac:dyDescent="0.2">
      <c r="A64"/>
      <c r="C64" s="10">
        <v>2</v>
      </c>
      <c r="D64" s="420">
        <f>'[2]Плата населения'!C4/E22/1000</f>
        <v>4.8410757946210268</v>
      </c>
      <c r="E64" s="377"/>
      <c r="F64" s="377"/>
      <c r="G64" s="377"/>
      <c r="H64" s="377"/>
      <c r="I64" s="377"/>
      <c r="J64" s="377"/>
      <c r="K64" s="377"/>
      <c r="L64" s="396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81"/>
    </row>
    <row r="65" spans="1:29" x14ac:dyDescent="0.2">
      <c r="A65"/>
      <c r="C65" s="10">
        <v>3</v>
      </c>
      <c r="D65" s="420">
        <f>'[2]Плата населения'!C5/E23/1000</f>
        <v>2.9968121159705952</v>
      </c>
      <c r="E65" s="377"/>
      <c r="F65" s="377"/>
      <c r="G65" s="377"/>
      <c r="H65" s="377"/>
      <c r="I65" s="377"/>
      <c r="J65" s="377"/>
      <c r="K65" s="377"/>
      <c r="L65" s="396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81"/>
    </row>
    <row r="66" spans="1:29" x14ac:dyDescent="0.2">
      <c r="A66"/>
      <c r="C66" s="10">
        <v>4</v>
      </c>
      <c r="D66" s="420">
        <f>'[2]Плата населения'!C6/E24/1000</f>
        <v>6.5571979434447307</v>
      </c>
      <c r="E66" s="377"/>
      <c r="F66" s="377"/>
      <c r="G66" s="377"/>
      <c r="H66" s="377"/>
      <c r="I66" s="377"/>
      <c r="J66" s="377"/>
      <c r="K66" s="377"/>
      <c r="L66" s="396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377"/>
      <c r="AB66" s="377"/>
      <c r="AC66" s="81"/>
    </row>
    <row r="67" spans="1:29" x14ac:dyDescent="0.2">
      <c r="A67"/>
      <c r="C67" s="10">
        <v>5</v>
      </c>
      <c r="D67" s="420">
        <f>'[2]Плата населения'!C7/E25/1000</f>
        <v>9.2952522255192864</v>
      </c>
      <c r="E67" s="377"/>
      <c r="F67" s="377"/>
      <c r="G67" s="377"/>
      <c r="H67" s="377"/>
      <c r="I67" s="377"/>
      <c r="J67" s="377"/>
      <c r="K67" s="377"/>
      <c r="L67" s="396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81"/>
    </row>
    <row r="68" spans="1:29" x14ac:dyDescent="0.2">
      <c r="C68" s="10">
        <v>6</v>
      </c>
      <c r="D68" s="420">
        <f>'[2]Плата населения'!C8/E26/1000</f>
        <v>0.57211155378486056</v>
      </c>
      <c r="E68" s="378"/>
      <c r="F68" s="378"/>
      <c r="G68" s="378"/>
      <c r="H68" s="378"/>
      <c r="I68" s="378"/>
      <c r="J68" s="378"/>
      <c r="K68" s="378"/>
      <c r="L68" s="144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81"/>
    </row>
    <row r="69" spans="1:29" ht="13.5" thickBot="1" x14ac:dyDescent="0.25">
      <c r="C69" s="10">
        <v>7</v>
      </c>
      <c r="D69" s="421">
        <f>'[2]Плата населения'!C9/E27/1000</f>
        <v>0.11792828685258963</v>
      </c>
      <c r="E69" s="378"/>
      <c r="F69" s="378"/>
      <c r="G69" s="378"/>
      <c r="H69" s="378"/>
      <c r="I69" s="378"/>
      <c r="J69" s="378"/>
      <c r="K69" s="378"/>
      <c r="L69" s="144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81"/>
    </row>
    <row r="70" spans="1:29" x14ac:dyDescent="0.2">
      <c r="C70" s="10"/>
      <c r="D70" s="213"/>
      <c r="E70" s="378"/>
      <c r="F70" s="81"/>
      <c r="G70" s="81"/>
      <c r="H70" s="81"/>
      <c r="I70" s="81"/>
      <c r="J70" s="81"/>
      <c r="K70" s="81"/>
      <c r="L70" s="167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x14ac:dyDescent="0.2">
      <c r="C71" s="10"/>
      <c r="D71" s="213"/>
      <c r="E71" s="1"/>
    </row>
    <row r="72" spans="1:29" x14ac:dyDescent="0.2">
      <c r="B72" s="6" t="s">
        <v>114</v>
      </c>
      <c r="C72" s="10"/>
      <c r="E72" s="1"/>
    </row>
    <row r="73" spans="1:29" ht="14.25" x14ac:dyDescent="0.2">
      <c r="B73" s="6"/>
      <c r="C73" s="10"/>
      <c r="D73" s="173"/>
      <c r="E73" s="1"/>
    </row>
    <row r="74" spans="1:29" ht="14.25" x14ac:dyDescent="0.2">
      <c r="B74" s="173" t="s">
        <v>113</v>
      </c>
      <c r="C74" s="10"/>
      <c r="D74" s="407">
        <v>1</v>
      </c>
      <c r="E74" s="408">
        <v>2</v>
      </c>
      <c r="F74" s="407">
        <v>3</v>
      </c>
      <c r="G74" s="408">
        <v>4</v>
      </c>
      <c r="H74" s="407">
        <v>5</v>
      </c>
      <c r="I74" s="408">
        <v>6</v>
      </c>
      <c r="J74" s="407">
        <v>7</v>
      </c>
      <c r="K74" s="408">
        <v>8</v>
      </c>
      <c r="L74" s="409">
        <v>9</v>
      </c>
      <c r="M74" s="408">
        <v>10</v>
      </c>
      <c r="N74" s="407">
        <v>11</v>
      </c>
      <c r="O74" s="408">
        <v>12</v>
      </c>
      <c r="P74" s="407">
        <v>13</v>
      </c>
      <c r="Q74" s="408">
        <v>14</v>
      </c>
      <c r="R74" s="407">
        <v>15</v>
      </c>
      <c r="S74" s="408">
        <v>16</v>
      </c>
      <c r="T74" s="407">
        <v>17</v>
      </c>
      <c r="U74" s="408">
        <v>18</v>
      </c>
      <c r="V74" s="407">
        <v>19</v>
      </c>
      <c r="W74" s="408">
        <v>20</v>
      </c>
      <c r="X74" s="407">
        <v>21</v>
      </c>
      <c r="Y74" s="408">
        <v>22</v>
      </c>
      <c r="Z74" s="407">
        <v>23</v>
      </c>
      <c r="AA74" s="408">
        <v>24</v>
      </c>
      <c r="AB74" s="407">
        <v>25</v>
      </c>
      <c r="AC74" s="408">
        <v>26</v>
      </c>
    </row>
    <row r="75" spans="1:29" ht="15" thickBot="1" x14ac:dyDescent="0.25">
      <c r="B75" s="173"/>
      <c r="C75" s="368">
        <v>2005</v>
      </c>
      <c r="D75" s="410">
        <v>2006</v>
      </c>
      <c r="E75" s="411">
        <v>2007</v>
      </c>
      <c r="F75" s="410">
        <v>2008</v>
      </c>
      <c r="G75" s="411">
        <v>2009</v>
      </c>
      <c r="H75" s="410">
        <v>2010</v>
      </c>
      <c r="I75" s="411">
        <v>2011</v>
      </c>
      <c r="J75" s="410">
        <v>2012</v>
      </c>
      <c r="K75" s="411">
        <v>2013</v>
      </c>
      <c r="L75" s="412">
        <v>2014</v>
      </c>
      <c r="M75" s="411">
        <v>2015</v>
      </c>
      <c r="N75" s="410">
        <v>2016</v>
      </c>
      <c r="O75" s="411">
        <v>2017</v>
      </c>
      <c r="P75" s="410">
        <v>2018</v>
      </c>
      <c r="Q75" s="411">
        <v>2019</v>
      </c>
      <c r="R75" s="410">
        <v>2020</v>
      </c>
      <c r="S75" s="411">
        <v>2021</v>
      </c>
      <c r="T75" s="410">
        <v>2022</v>
      </c>
      <c r="U75" s="411">
        <v>2023</v>
      </c>
      <c r="V75" s="410">
        <v>2024</v>
      </c>
      <c r="W75" s="411">
        <v>2025</v>
      </c>
      <c r="X75" s="410">
        <v>2026</v>
      </c>
      <c r="Y75" s="411">
        <v>2027</v>
      </c>
      <c r="Z75" s="410">
        <v>2028</v>
      </c>
      <c r="AA75" s="411">
        <v>2029</v>
      </c>
      <c r="AB75" s="410">
        <v>2030</v>
      </c>
      <c r="AC75" s="411">
        <v>2031</v>
      </c>
    </row>
    <row r="76" spans="1:29" ht="13.5" thickBot="1" x14ac:dyDescent="0.25">
      <c r="A76" s="510">
        <f t="shared" ref="A76:A82" si="1">SUM(E76:L76)/8</f>
        <v>29.625</v>
      </c>
      <c r="B76" s="20" t="s">
        <v>4</v>
      </c>
      <c r="C76" s="369">
        <v>13</v>
      </c>
      <c r="D76" s="345">
        <v>20</v>
      </c>
      <c r="E76" s="345">
        <v>20</v>
      </c>
      <c r="F76" s="345">
        <v>32</v>
      </c>
      <c r="G76" s="345">
        <v>31.5</v>
      </c>
      <c r="H76" s="345">
        <v>31.5</v>
      </c>
      <c r="I76" s="345">
        <v>30</v>
      </c>
      <c r="J76" s="345">
        <v>30</v>
      </c>
      <c r="K76" s="345">
        <v>30</v>
      </c>
      <c r="L76" s="398">
        <v>32</v>
      </c>
      <c r="M76" s="398">
        <v>32</v>
      </c>
      <c r="N76" s="398">
        <v>32</v>
      </c>
      <c r="O76" s="398">
        <v>32</v>
      </c>
      <c r="P76" s="398">
        <v>32</v>
      </c>
      <c r="Q76" s="398">
        <v>32</v>
      </c>
      <c r="R76" s="398">
        <v>32</v>
      </c>
      <c r="S76" s="398">
        <v>32</v>
      </c>
      <c r="T76" s="398">
        <v>32</v>
      </c>
      <c r="U76" s="398">
        <v>32</v>
      </c>
      <c r="V76" s="398">
        <v>32</v>
      </c>
      <c r="W76" s="398">
        <v>32</v>
      </c>
      <c r="X76" s="398">
        <v>32</v>
      </c>
      <c r="Y76" s="398">
        <v>32</v>
      </c>
      <c r="Z76" s="398">
        <v>32</v>
      </c>
      <c r="AA76" s="398">
        <v>32</v>
      </c>
      <c r="AB76" s="398">
        <v>32</v>
      </c>
      <c r="AC76" s="398">
        <v>32</v>
      </c>
    </row>
    <row r="77" spans="1:29" ht="13.5" thickBot="1" x14ac:dyDescent="0.25">
      <c r="A77" s="510">
        <f t="shared" si="1"/>
        <v>221.25</v>
      </c>
      <c r="B77" s="275" t="s">
        <v>18</v>
      </c>
      <c r="C77" s="369">
        <f>'[2]Стоимость ввода за единицу'!C14*0.001</f>
        <v>250</v>
      </c>
      <c r="D77" s="413">
        <v>200</v>
      </c>
      <c r="E77" s="413">
        <v>200</v>
      </c>
      <c r="F77" s="413">
        <v>250</v>
      </c>
      <c r="G77" s="413">
        <v>250</v>
      </c>
      <c r="H77" s="413">
        <v>220</v>
      </c>
      <c r="I77" s="413">
        <v>200</v>
      </c>
      <c r="J77" s="413">
        <v>200</v>
      </c>
      <c r="K77" s="413">
        <v>200</v>
      </c>
      <c r="L77" s="399">
        <v>250</v>
      </c>
      <c r="M77" s="399">
        <v>250</v>
      </c>
      <c r="N77" s="399">
        <v>250</v>
      </c>
      <c r="O77" s="399">
        <v>250</v>
      </c>
      <c r="P77" s="399">
        <v>250</v>
      </c>
      <c r="Q77" s="399">
        <v>250</v>
      </c>
      <c r="R77" s="399">
        <v>250</v>
      </c>
      <c r="S77" s="399">
        <v>250</v>
      </c>
      <c r="T77" s="399">
        <v>250</v>
      </c>
      <c r="U77" s="399">
        <v>250</v>
      </c>
      <c r="V77" s="399">
        <v>250</v>
      </c>
      <c r="W77" s="399">
        <v>250</v>
      </c>
      <c r="X77" s="399">
        <v>250</v>
      </c>
      <c r="Y77" s="399">
        <v>250</v>
      </c>
      <c r="Z77" s="399">
        <v>250</v>
      </c>
      <c r="AA77" s="399">
        <v>250</v>
      </c>
      <c r="AB77" s="399">
        <v>250</v>
      </c>
      <c r="AC77" s="399">
        <v>250</v>
      </c>
    </row>
    <row r="78" spans="1:29" ht="13.5" thickBot="1" x14ac:dyDescent="0.25">
      <c r="A78" s="510">
        <f t="shared" si="1"/>
        <v>130</v>
      </c>
      <c r="B78" s="275" t="s">
        <v>39</v>
      </c>
      <c r="C78" s="369">
        <f>'[2]Стоимость ввода за единицу'!C15*0.001</f>
        <v>100</v>
      </c>
      <c r="D78" s="413">
        <v>100</v>
      </c>
      <c r="E78" s="413">
        <v>150</v>
      </c>
      <c r="F78" s="413">
        <v>200</v>
      </c>
      <c r="G78" s="413">
        <v>160</v>
      </c>
      <c r="H78" s="413">
        <v>150</v>
      </c>
      <c r="I78" s="413">
        <v>120</v>
      </c>
      <c r="J78" s="413">
        <v>100</v>
      </c>
      <c r="K78" s="413">
        <v>50</v>
      </c>
      <c r="L78" s="399">
        <v>110</v>
      </c>
      <c r="M78" s="399">
        <v>110</v>
      </c>
      <c r="N78" s="399">
        <v>110</v>
      </c>
      <c r="O78" s="399">
        <v>110</v>
      </c>
      <c r="P78" s="399">
        <v>110</v>
      </c>
      <c r="Q78" s="399">
        <v>110</v>
      </c>
      <c r="R78" s="399">
        <v>110</v>
      </c>
      <c r="S78" s="399">
        <v>110</v>
      </c>
      <c r="T78" s="399">
        <v>110</v>
      </c>
      <c r="U78" s="399">
        <v>110</v>
      </c>
      <c r="V78" s="399">
        <v>110</v>
      </c>
      <c r="W78" s="399">
        <v>110</v>
      </c>
      <c r="X78" s="399">
        <v>110</v>
      </c>
      <c r="Y78" s="399">
        <v>110</v>
      </c>
      <c r="Z78" s="399">
        <v>110</v>
      </c>
      <c r="AA78" s="399">
        <v>110</v>
      </c>
      <c r="AB78" s="399">
        <v>110</v>
      </c>
      <c r="AC78" s="399">
        <v>110</v>
      </c>
    </row>
    <row r="79" spans="1:29" ht="13.5" thickBot="1" x14ac:dyDescent="0.25">
      <c r="A79" s="510">
        <f t="shared" si="1"/>
        <v>443.75</v>
      </c>
      <c r="B79" s="275" t="s">
        <v>20</v>
      </c>
      <c r="C79" s="369">
        <f>'[2]Стоимость ввода за единицу'!C16*0.001</f>
        <v>300</v>
      </c>
      <c r="D79" s="413">
        <v>400</v>
      </c>
      <c r="E79" s="413">
        <v>400</v>
      </c>
      <c r="F79" s="413">
        <v>500</v>
      </c>
      <c r="G79" s="413">
        <v>500</v>
      </c>
      <c r="H79" s="413">
        <v>500</v>
      </c>
      <c r="I79" s="413">
        <v>400</v>
      </c>
      <c r="J79" s="413">
        <v>400</v>
      </c>
      <c r="K79" s="413">
        <v>400</v>
      </c>
      <c r="L79" s="399">
        <v>450</v>
      </c>
      <c r="M79" s="399">
        <v>450</v>
      </c>
      <c r="N79" s="399">
        <v>450</v>
      </c>
      <c r="O79" s="399">
        <v>450</v>
      </c>
      <c r="P79" s="399">
        <v>450</v>
      </c>
      <c r="Q79" s="399">
        <v>450</v>
      </c>
      <c r="R79" s="399">
        <v>450</v>
      </c>
      <c r="S79" s="399">
        <v>450</v>
      </c>
      <c r="T79" s="399">
        <v>450</v>
      </c>
      <c r="U79" s="399">
        <v>450</v>
      </c>
      <c r="V79" s="399">
        <v>450</v>
      </c>
      <c r="W79" s="399">
        <v>450</v>
      </c>
      <c r="X79" s="399">
        <v>450</v>
      </c>
      <c r="Y79" s="399">
        <v>450</v>
      </c>
      <c r="Z79" s="399">
        <v>450</v>
      </c>
      <c r="AA79" s="399">
        <v>450</v>
      </c>
      <c r="AB79" s="399">
        <v>450</v>
      </c>
      <c r="AC79" s="399">
        <v>450</v>
      </c>
    </row>
    <row r="80" spans="1:29" ht="13.5" thickBot="1" x14ac:dyDescent="0.25">
      <c r="A80" s="510">
        <f t="shared" si="1"/>
        <v>137.5</v>
      </c>
      <c r="B80" s="275" t="s">
        <v>21</v>
      </c>
      <c r="C80" s="369">
        <f>'[2]Стоимость ввода за единицу'!C17*0.001</f>
        <v>300</v>
      </c>
      <c r="D80" s="413">
        <v>100</v>
      </c>
      <c r="E80" s="413">
        <v>100</v>
      </c>
      <c r="F80" s="413">
        <v>150</v>
      </c>
      <c r="G80" s="413">
        <v>150</v>
      </c>
      <c r="H80" s="413">
        <v>150</v>
      </c>
      <c r="I80" s="413">
        <v>150</v>
      </c>
      <c r="J80" s="413">
        <v>150</v>
      </c>
      <c r="K80" s="413">
        <v>100</v>
      </c>
      <c r="L80" s="399">
        <v>150</v>
      </c>
      <c r="M80" s="399">
        <v>150</v>
      </c>
      <c r="N80" s="399">
        <v>150</v>
      </c>
      <c r="O80" s="399">
        <v>150</v>
      </c>
      <c r="P80" s="399">
        <v>150</v>
      </c>
      <c r="Q80" s="399">
        <v>150</v>
      </c>
      <c r="R80" s="399">
        <v>150</v>
      </c>
      <c r="S80" s="399">
        <v>150</v>
      </c>
      <c r="T80" s="399">
        <v>150</v>
      </c>
      <c r="U80" s="399">
        <v>150</v>
      </c>
      <c r="V80" s="399">
        <v>150</v>
      </c>
      <c r="W80" s="399">
        <v>150</v>
      </c>
      <c r="X80" s="399">
        <v>150</v>
      </c>
      <c r="Y80" s="399">
        <v>150</v>
      </c>
      <c r="Z80" s="399">
        <v>150</v>
      </c>
      <c r="AA80" s="399">
        <v>150</v>
      </c>
      <c r="AB80" s="399">
        <v>150</v>
      </c>
      <c r="AC80" s="399">
        <v>150</v>
      </c>
    </row>
    <row r="81" spans="1:29" ht="13.5" thickBot="1" x14ac:dyDescent="0.25">
      <c r="A81" s="510">
        <f t="shared" si="1"/>
        <v>95</v>
      </c>
      <c r="B81" s="275" t="s">
        <v>6</v>
      </c>
      <c r="C81" s="369">
        <f>'[2]Стоимость ввода за единицу'!C18*0.001</f>
        <v>60</v>
      </c>
      <c r="D81" s="413">
        <v>80</v>
      </c>
      <c r="E81" s="413">
        <v>80</v>
      </c>
      <c r="F81" s="413">
        <v>100</v>
      </c>
      <c r="G81" s="413">
        <v>100</v>
      </c>
      <c r="H81" s="413">
        <v>100</v>
      </c>
      <c r="I81" s="413">
        <v>100</v>
      </c>
      <c r="J81" s="413">
        <v>100</v>
      </c>
      <c r="K81" s="413">
        <v>80</v>
      </c>
      <c r="L81" s="399">
        <v>100</v>
      </c>
      <c r="M81" s="399">
        <v>100</v>
      </c>
      <c r="N81" s="399">
        <v>100</v>
      </c>
      <c r="O81" s="399">
        <v>100</v>
      </c>
      <c r="P81" s="399">
        <v>100</v>
      </c>
      <c r="Q81" s="399">
        <v>100</v>
      </c>
      <c r="R81" s="399">
        <v>100</v>
      </c>
      <c r="S81" s="399">
        <v>100</v>
      </c>
      <c r="T81" s="399">
        <v>100</v>
      </c>
      <c r="U81" s="399">
        <v>100</v>
      </c>
      <c r="V81" s="399">
        <v>100</v>
      </c>
      <c r="W81" s="399">
        <v>100</v>
      </c>
      <c r="X81" s="399">
        <v>100</v>
      </c>
      <c r="Y81" s="399">
        <v>100</v>
      </c>
      <c r="Z81" s="399">
        <v>100</v>
      </c>
      <c r="AA81" s="399">
        <v>100</v>
      </c>
      <c r="AB81" s="399">
        <v>100</v>
      </c>
      <c r="AC81" s="399">
        <v>100</v>
      </c>
    </row>
    <row r="82" spans="1:29" ht="13.5" thickBot="1" x14ac:dyDescent="0.25">
      <c r="A82" s="510">
        <f t="shared" si="1"/>
        <v>95</v>
      </c>
      <c r="B82" s="275" t="s">
        <v>7</v>
      </c>
      <c r="C82" s="369">
        <f>'[2]Стоимость ввода за единицу'!C19*0.001</f>
        <v>60</v>
      </c>
      <c r="D82" s="414">
        <v>80</v>
      </c>
      <c r="E82" s="414">
        <v>80</v>
      </c>
      <c r="F82" s="414">
        <v>100</v>
      </c>
      <c r="G82" s="414">
        <v>100</v>
      </c>
      <c r="H82" s="414">
        <v>100</v>
      </c>
      <c r="I82" s="414">
        <v>100</v>
      </c>
      <c r="J82" s="414">
        <v>100</v>
      </c>
      <c r="K82" s="414">
        <v>80</v>
      </c>
      <c r="L82" s="400">
        <v>100</v>
      </c>
      <c r="M82" s="400">
        <v>100</v>
      </c>
      <c r="N82" s="400">
        <v>100</v>
      </c>
      <c r="O82" s="400">
        <v>100</v>
      </c>
      <c r="P82" s="400">
        <v>100</v>
      </c>
      <c r="Q82" s="400">
        <v>100</v>
      </c>
      <c r="R82" s="400">
        <v>100</v>
      </c>
      <c r="S82" s="400">
        <v>100</v>
      </c>
      <c r="T82" s="400">
        <v>100</v>
      </c>
      <c r="U82" s="400">
        <v>100</v>
      </c>
      <c r="V82" s="400">
        <v>100</v>
      </c>
      <c r="W82" s="400">
        <v>100</v>
      </c>
      <c r="X82" s="400">
        <v>100</v>
      </c>
      <c r="Y82" s="400">
        <v>100</v>
      </c>
      <c r="Z82" s="400">
        <v>100</v>
      </c>
      <c r="AA82" s="400">
        <v>100</v>
      </c>
      <c r="AB82" s="400">
        <v>100</v>
      </c>
      <c r="AC82" s="400">
        <v>100</v>
      </c>
    </row>
    <row r="83" spans="1:29" x14ac:dyDescent="0.2">
      <c r="C83" s="10"/>
      <c r="D83" s="213"/>
      <c r="E83" s="116"/>
    </row>
    <row r="84" spans="1:29" x14ac:dyDescent="0.2">
      <c r="C84" s="10"/>
      <c r="D84" s="13"/>
      <c r="E84" s="1"/>
    </row>
    <row r="85" spans="1:29" x14ac:dyDescent="0.2">
      <c r="B85" s="6" t="s">
        <v>22</v>
      </c>
    </row>
    <row r="86" spans="1:29" x14ac:dyDescent="0.2">
      <c r="B86" s="1"/>
      <c r="D86" s="10"/>
      <c r="E86" s="10"/>
    </row>
    <row r="87" spans="1:29" x14ac:dyDescent="0.2">
      <c r="B87" s="380"/>
      <c r="C87" s="381"/>
      <c r="D87" s="382"/>
      <c r="E87" s="381"/>
      <c r="F87" s="381"/>
      <c r="G87" s="382"/>
      <c r="H87" s="382"/>
      <c r="I87" s="81"/>
    </row>
    <row r="88" spans="1:29" x14ac:dyDescent="0.2">
      <c r="A88" s="181"/>
      <c r="B88" s="25"/>
      <c r="D88" s="343"/>
      <c r="E88" s="343"/>
      <c r="F88" s="31"/>
      <c r="H88" s="32"/>
    </row>
    <row r="89" spans="1:29" x14ac:dyDescent="0.2">
      <c r="A89" s="181"/>
      <c r="B89" s="25"/>
      <c r="D89" s="343"/>
      <c r="E89" s="343"/>
      <c r="F89" s="31"/>
      <c r="H89" s="32"/>
    </row>
    <row r="90" spans="1:29" ht="14.25" x14ac:dyDescent="0.2">
      <c r="A90" s="181"/>
      <c r="B90" s="173" t="s">
        <v>160</v>
      </c>
      <c r="D90" s="343">
        <v>1</v>
      </c>
      <c r="E90" s="343">
        <v>2</v>
      </c>
      <c r="F90" s="343">
        <v>3</v>
      </c>
      <c r="G90" s="343">
        <v>4</v>
      </c>
      <c r="H90" s="343">
        <v>5</v>
      </c>
      <c r="I90" s="343">
        <v>6</v>
      </c>
      <c r="J90" s="343">
        <v>7</v>
      </c>
      <c r="K90" s="343">
        <v>8</v>
      </c>
      <c r="L90" s="401">
        <v>9</v>
      </c>
      <c r="M90" s="343">
        <v>10</v>
      </c>
      <c r="N90" s="343">
        <v>11</v>
      </c>
      <c r="O90" s="343">
        <v>12</v>
      </c>
      <c r="P90" s="343">
        <v>13</v>
      </c>
      <c r="Q90" s="343">
        <v>14</v>
      </c>
      <c r="R90" s="343">
        <v>15</v>
      </c>
      <c r="S90" s="343">
        <v>16</v>
      </c>
      <c r="T90" s="343">
        <v>17</v>
      </c>
      <c r="U90" s="343">
        <v>18</v>
      </c>
      <c r="V90" s="343">
        <v>19</v>
      </c>
      <c r="W90" s="343">
        <v>20</v>
      </c>
      <c r="X90" s="343">
        <v>21</v>
      </c>
      <c r="Y90" s="343">
        <v>22</v>
      </c>
      <c r="Z90" s="343">
        <v>23</v>
      </c>
      <c r="AA90" s="343">
        <v>24</v>
      </c>
      <c r="AB90" s="343">
        <v>25</v>
      </c>
      <c r="AC90" s="343">
        <v>26</v>
      </c>
    </row>
    <row r="91" spans="1:29" ht="13.5" thickBot="1" x14ac:dyDescent="0.25">
      <c r="A91" s="181"/>
      <c r="B91" s="30" t="s">
        <v>50</v>
      </c>
      <c r="C91" s="370">
        <v>2005</v>
      </c>
      <c r="D91" s="117">
        <v>2006</v>
      </c>
      <c r="E91" s="44">
        <v>2007</v>
      </c>
      <c r="F91" s="117">
        <v>2008</v>
      </c>
      <c r="G91" s="44">
        <v>2009</v>
      </c>
      <c r="H91" s="117">
        <v>2010</v>
      </c>
      <c r="I91" s="44">
        <v>2011</v>
      </c>
      <c r="J91" s="117">
        <v>2012</v>
      </c>
      <c r="K91" s="44">
        <v>2013</v>
      </c>
      <c r="L91" s="397">
        <v>2014</v>
      </c>
      <c r="M91" s="44">
        <v>2015</v>
      </c>
      <c r="N91" s="117">
        <v>2016</v>
      </c>
      <c r="O91" s="44">
        <v>2017</v>
      </c>
      <c r="P91" s="117">
        <v>2018</v>
      </c>
      <c r="Q91" s="44">
        <v>2019</v>
      </c>
      <c r="R91" s="117">
        <v>2020</v>
      </c>
      <c r="S91" s="44">
        <v>2021</v>
      </c>
      <c r="T91" s="117">
        <v>2022</v>
      </c>
      <c r="U91" s="44">
        <v>2023</v>
      </c>
      <c r="V91" s="117">
        <v>2024</v>
      </c>
      <c r="W91" s="44">
        <v>2025</v>
      </c>
      <c r="X91" s="117">
        <v>2026</v>
      </c>
      <c r="Y91" s="44">
        <v>2027</v>
      </c>
      <c r="Z91" s="117">
        <v>2028</v>
      </c>
      <c r="AA91" s="44">
        <v>2029</v>
      </c>
      <c r="AB91" s="117">
        <v>2030</v>
      </c>
      <c r="AC91" s="44">
        <v>2031</v>
      </c>
    </row>
    <row r="92" spans="1:29" ht="13.5" thickBot="1" x14ac:dyDescent="0.25">
      <c r="A92" s="510">
        <f t="shared" ref="A92:A98" si="2">SUM(E92:L92)/8</f>
        <v>0.70625000000000004</v>
      </c>
      <c r="B92" s="2">
        <v>1</v>
      </c>
      <c r="C92" s="371">
        <v>0.1</v>
      </c>
      <c r="D92" s="498">
        <v>0.5</v>
      </c>
      <c r="E92" s="360">
        <v>0.4</v>
      </c>
      <c r="F92" s="498">
        <v>0.8</v>
      </c>
      <c r="G92" s="498">
        <v>1</v>
      </c>
      <c r="H92" s="498">
        <v>0.7</v>
      </c>
      <c r="I92" s="498">
        <v>0.5</v>
      </c>
      <c r="J92" s="498">
        <v>0.75</v>
      </c>
      <c r="K92" s="498">
        <v>0.5</v>
      </c>
      <c r="L92" s="499">
        <f>'[1]Графики-прогноз'!$A$38</f>
        <v>1</v>
      </c>
      <c r="M92" s="499">
        <f>'[1]Графики-прогноз'!$A$38</f>
        <v>1</v>
      </c>
      <c r="N92" s="499">
        <f>'[1]Графики-прогноз'!$A$38</f>
        <v>1</v>
      </c>
      <c r="O92" s="499">
        <f>'[1]Графики-прогноз'!$A$38</f>
        <v>1</v>
      </c>
      <c r="P92" s="499">
        <f>'[1]Графики-прогноз'!$A$38</f>
        <v>1</v>
      </c>
      <c r="Q92" s="499">
        <f>'[1]Графики-прогноз'!$A$38</f>
        <v>1</v>
      </c>
      <c r="R92" s="499">
        <f>'[1]Графики-прогноз'!$A$38</f>
        <v>1</v>
      </c>
      <c r="S92" s="499">
        <f>'[1]Графики-прогноз'!$A$38</f>
        <v>1</v>
      </c>
      <c r="T92" s="499">
        <f>'[1]Графики-прогноз'!$A$38</f>
        <v>1</v>
      </c>
      <c r="U92" s="499">
        <f>'[1]Графики-прогноз'!$A$38</f>
        <v>1</v>
      </c>
      <c r="V92" s="499">
        <f>'[1]Графики-прогноз'!$A$38</f>
        <v>1</v>
      </c>
      <c r="W92" s="499">
        <f>'[1]Графики-прогноз'!$A$38</f>
        <v>1</v>
      </c>
      <c r="X92" s="499">
        <f>'[1]Графики-прогноз'!$A$38</f>
        <v>1</v>
      </c>
      <c r="Y92" s="499">
        <f>'[1]Графики-прогноз'!$A$38</f>
        <v>1</v>
      </c>
      <c r="Z92" s="499">
        <f>'[1]Графики-прогноз'!$A$38</f>
        <v>1</v>
      </c>
      <c r="AA92" s="499">
        <f>'[1]Графики-прогноз'!$A$38</f>
        <v>1</v>
      </c>
      <c r="AB92" s="499">
        <f>'[1]Графики-прогноз'!$A$38</f>
        <v>1</v>
      </c>
      <c r="AC92" s="499">
        <f>'[1]Графики-прогноз'!$A$38</f>
        <v>1</v>
      </c>
    </row>
    <row r="93" spans="1:29" s="5" customFormat="1" ht="13.5" thickBot="1" x14ac:dyDescent="0.25">
      <c r="A93" s="510">
        <f t="shared" si="2"/>
        <v>0.53750000000000009</v>
      </c>
      <c r="B93" s="5">
        <v>2</v>
      </c>
      <c r="C93" s="372">
        <v>2</v>
      </c>
      <c r="D93" s="498">
        <v>1</v>
      </c>
      <c r="E93" s="500">
        <v>0.7</v>
      </c>
      <c r="F93" s="498">
        <v>1</v>
      </c>
      <c r="G93" s="498">
        <v>0.2</v>
      </c>
      <c r="H93" s="498">
        <v>0.2</v>
      </c>
      <c r="I93" s="498">
        <v>0.1</v>
      </c>
      <c r="J93" s="498">
        <v>0.1</v>
      </c>
      <c r="K93" s="498">
        <v>1</v>
      </c>
      <c r="L93" s="499">
        <f>'[1]Графики-прогноз'!$A$38</f>
        <v>1</v>
      </c>
      <c r="M93" s="499">
        <f>'[1]Графики-прогноз'!$A$38</f>
        <v>1</v>
      </c>
      <c r="N93" s="499">
        <f>'[1]Графики-прогноз'!$A$38</f>
        <v>1</v>
      </c>
      <c r="O93" s="499">
        <f>'[1]Графики-прогноз'!$A$38</f>
        <v>1</v>
      </c>
      <c r="P93" s="499">
        <f>'[1]Графики-прогноз'!$A$38</f>
        <v>1</v>
      </c>
      <c r="Q93" s="499">
        <f>'[1]Графики-прогноз'!$A$38</f>
        <v>1</v>
      </c>
      <c r="R93" s="499">
        <f>'[1]Графики-прогноз'!$A$38</f>
        <v>1</v>
      </c>
      <c r="S93" s="499">
        <f>'[1]Графики-прогноз'!$A$38</f>
        <v>1</v>
      </c>
      <c r="T93" s="499">
        <f>'[1]Графики-прогноз'!$A$38</f>
        <v>1</v>
      </c>
      <c r="U93" s="499">
        <f>'[1]Графики-прогноз'!$A$38</f>
        <v>1</v>
      </c>
      <c r="V93" s="499">
        <f>'[1]Графики-прогноз'!$A$38</f>
        <v>1</v>
      </c>
      <c r="W93" s="499">
        <f>'[1]Графики-прогноз'!$A$38</f>
        <v>1</v>
      </c>
      <c r="X93" s="499">
        <f>'[1]Графики-прогноз'!$A$38</f>
        <v>1</v>
      </c>
      <c r="Y93" s="499">
        <f>'[1]Графики-прогноз'!$A$38</f>
        <v>1</v>
      </c>
      <c r="Z93" s="499">
        <f>'[1]Графики-прогноз'!$A$38</f>
        <v>1</v>
      </c>
      <c r="AA93" s="499">
        <f>'[1]Графики-прогноз'!$A$38</f>
        <v>1</v>
      </c>
      <c r="AB93" s="499">
        <f>'[1]Графики-прогноз'!$A$38</f>
        <v>1</v>
      </c>
      <c r="AC93" s="499">
        <f>'[1]Графики-прогноз'!$A$38</f>
        <v>1</v>
      </c>
    </row>
    <row r="94" spans="1:29" s="5" customFormat="1" ht="13.5" thickBot="1" x14ac:dyDescent="0.25">
      <c r="A94" s="510">
        <f t="shared" si="2"/>
        <v>2.1124999999999998</v>
      </c>
      <c r="B94" s="5">
        <v>3</v>
      </c>
      <c r="C94" s="373">
        <v>2.2000000000000002</v>
      </c>
      <c r="D94" s="498">
        <v>5</v>
      </c>
      <c r="E94" s="500">
        <v>4.5</v>
      </c>
      <c r="F94" s="498">
        <v>2</v>
      </c>
      <c r="G94" s="498">
        <v>3</v>
      </c>
      <c r="H94" s="498">
        <v>1</v>
      </c>
      <c r="I94" s="498">
        <v>0.2</v>
      </c>
      <c r="J94" s="498">
        <v>0.2</v>
      </c>
      <c r="K94" s="498">
        <v>5</v>
      </c>
      <c r="L94" s="499">
        <f>'[1]Графики-прогноз'!$A$38</f>
        <v>1</v>
      </c>
      <c r="M94" s="499">
        <f>'[1]Графики-прогноз'!$A$38</f>
        <v>1</v>
      </c>
      <c r="N94" s="499">
        <f>'[1]Графики-прогноз'!$A$38</f>
        <v>1</v>
      </c>
      <c r="O94" s="499">
        <f>'[1]Графики-прогноз'!$A$38</f>
        <v>1</v>
      </c>
      <c r="P94" s="499">
        <f>'[1]Графики-прогноз'!$A$38</f>
        <v>1</v>
      </c>
      <c r="Q94" s="499">
        <f>'[1]Графики-прогноз'!$A$38</f>
        <v>1</v>
      </c>
      <c r="R94" s="499">
        <f>'[1]Графики-прогноз'!$A$38</f>
        <v>1</v>
      </c>
      <c r="S94" s="499">
        <f>'[1]Графики-прогноз'!$A$38</f>
        <v>1</v>
      </c>
      <c r="T94" s="499">
        <f>'[1]Графики-прогноз'!$A$38</f>
        <v>1</v>
      </c>
      <c r="U94" s="499">
        <f>'[1]Графики-прогноз'!$A$38</f>
        <v>1</v>
      </c>
      <c r="V94" s="499">
        <f>'[1]Графики-прогноз'!$A$38</f>
        <v>1</v>
      </c>
      <c r="W94" s="499">
        <f>'[1]Графики-прогноз'!$A$38</f>
        <v>1</v>
      </c>
      <c r="X94" s="499">
        <f>'[1]Графики-прогноз'!$A$38</f>
        <v>1</v>
      </c>
      <c r="Y94" s="499">
        <f>'[1]Графики-прогноз'!$A$38</f>
        <v>1</v>
      </c>
      <c r="Z94" s="499">
        <f>'[1]Графики-прогноз'!$A$38</f>
        <v>1</v>
      </c>
      <c r="AA94" s="499">
        <f>'[1]Графики-прогноз'!$A$38</f>
        <v>1</v>
      </c>
      <c r="AB94" s="499">
        <f>'[1]Графики-прогноз'!$A$38</f>
        <v>1</v>
      </c>
      <c r="AC94" s="499">
        <f>'[1]Графики-прогноз'!$A$38</f>
        <v>1</v>
      </c>
    </row>
    <row r="95" spans="1:29" ht="13.5" thickBot="1" x14ac:dyDescent="0.25">
      <c r="A95" s="510">
        <f t="shared" si="2"/>
        <v>5.3125</v>
      </c>
      <c r="B95" s="2">
        <v>4</v>
      </c>
      <c r="C95" s="371">
        <v>1</v>
      </c>
      <c r="D95" s="498">
        <v>1</v>
      </c>
      <c r="E95" s="500">
        <v>8.5</v>
      </c>
      <c r="F95" s="498">
        <v>8</v>
      </c>
      <c r="G95" s="498">
        <v>4</v>
      </c>
      <c r="H95" s="498">
        <v>5</v>
      </c>
      <c r="I95" s="498">
        <v>5</v>
      </c>
      <c r="J95" s="498">
        <v>10</v>
      </c>
      <c r="K95" s="498">
        <v>1</v>
      </c>
      <c r="L95" s="499">
        <f>'[1]Графики-прогноз'!$A$38</f>
        <v>1</v>
      </c>
      <c r="M95" s="499">
        <f>'[1]Графики-прогноз'!$A$38</f>
        <v>1</v>
      </c>
      <c r="N95" s="499">
        <f>'[1]Графики-прогноз'!$A$38</f>
        <v>1</v>
      </c>
      <c r="O95" s="499">
        <f>'[1]Графики-прогноз'!$A$38</f>
        <v>1</v>
      </c>
      <c r="P95" s="499">
        <f>'[1]Графики-прогноз'!$A$38</f>
        <v>1</v>
      </c>
      <c r="Q95" s="499">
        <f>'[1]Графики-прогноз'!$A$38</f>
        <v>1</v>
      </c>
      <c r="R95" s="499">
        <f>'[1]Графики-прогноз'!$A$38</f>
        <v>1</v>
      </c>
      <c r="S95" s="499">
        <f>'[1]Графики-прогноз'!$A$38</f>
        <v>1</v>
      </c>
      <c r="T95" s="499">
        <f>'[1]Графики-прогноз'!$A$38</f>
        <v>1</v>
      </c>
      <c r="U95" s="499">
        <f>'[1]Графики-прогноз'!$A$38</f>
        <v>1</v>
      </c>
      <c r="V95" s="499">
        <f>'[1]Графики-прогноз'!$A$38</f>
        <v>1</v>
      </c>
      <c r="W95" s="499">
        <f>'[1]Графики-прогноз'!$A$38</f>
        <v>1</v>
      </c>
      <c r="X95" s="499">
        <f>'[1]Графики-прогноз'!$A$38</f>
        <v>1</v>
      </c>
      <c r="Y95" s="499">
        <f>'[1]Графики-прогноз'!$A$38</f>
        <v>1</v>
      </c>
      <c r="Z95" s="499">
        <f>'[1]Графики-прогноз'!$A$38</f>
        <v>1</v>
      </c>
      <c r="AA95" s="499">
        <f>'[1]Графики-прогноз'!$A$38</f>
        <v>1</v>
      </c>
      <c r="AB95" s="499">
        <f>'[1]Графики-прогноз'!$A$38</f>
        <v>1</v>
      </c>
      <c r="AC95" s="499">
        <f>'[1]Графики-прогноз'!$A$38</f>
        <v>1</v>
      </c>
    </row>
    <row r="96" spans="1:29" ht="13.5" thickBot="1" x14ac:dyDescent="0.25">
      <c r="A96" s="510">
        <f t="shared" si="2"/>
        <v>2.1437499999999998</v>
      </c>
      <c r="B96" s="2">
        <v>5</v>
      </c>
      <c r="C96" s="371">
        <v>1</v>
      </c>
      <c r="D96" s="498">
        <v>1.3</v>
      </c>
      <c r="E96" s="500">
        <v>0.15</v>
      </c>
      <c r="F96" s="498">
        <v>8</v>
      </c>
      <c r="G96" s="498">
        <v>1</v>
      </c>
      <c r="H96" s="498">
        <v>0.5</v>
      </c>
      <c r="I96" s="498">
        <v>0.5</v>
      </c>
      <c r="J96" s="498">
        <v>5</v>
      </c>
      <c r="K96" s="498">
        <v>1</v>
      </c>
      <c r="L96" s="499">
        <f>'[1]Графики-прогноз'!$A$38</f>
        <v>1</v>
      </c>
      <c r="M96" s="499">
        <f>'[1]Графики-прогноз'!$A$38</f>
        <v>1</v>
      </c>
      <c r="N96" s="499">
        <f>'[1]Графики-прогноз'!$A$38</f>
        <v>1</v>
      </c>
      <c r="O96" s="499">
        <f>'[1]Графики-прогноз'!$A$38</f>
        <v>1</v>
      </c>
      <c r="P96" s="499">
        <f>'[1]Графики-прогноз'!$A$38</f>
        <v>1</v>
      </c>
      <c r="Q96" s="499">
        <f>'[1]Графики-прогноз'!$A$38</f>
        <v>1</v>
      </c>
      <c r="R96" s="499">
        <f>'[1]Графики-прогноз'!$A$38</f>
        <v>1</v>
      </c>
      <c r="S96" s="499">
        <f>'[1]Графики-прогноз'!$A$38</f>
        <v>1</v>
      </c>
      <c r="T96" s="499">
        <f>'[1]Графики-прогноз'!$A$38</f>
        <v>1</v>
      </c>
      <c r="U96" s="499">
        <f>'[1]Графики-прогноз'!$A$38</f>
        <v>1</v>
      </c>
      <c r="V96" s="499">
        <f>'[1]Графики-прогноз'!$A$38</f>
        <v>1</v>
      </c>
      <c r="W96" s="499">
        <f>'[1]Графики-прогноз'!$A$38</f>
        <v>1</v>
      </c>
      <c r="X96" s="499">
        <f>'[1]Графики-прогноз'!$A$38</f>
        <v>1</v>
      </c>
      <c r="Y96" s="499">
        <f>'[1]Графики-прогноз'!$A$38</f>
        <v>1</v>
      </c>
      <c r="Z96" s="499">
        <f>'[1]Графики-прогноз'!$A$38</f>
        <v>1</v>
      </c>
      <c r="AA96" s="499">
        <f>'[1]Графики-прогноз'!$A$38</f>
        <v>1</v>
      </c>
      <c r="AB96" s="499">
        <f>'[1]Графики-прогноз'!$A$38</f>
        <v>1</v>
      </c>
      <c r="AC96" s="499">
        <f>'[1]Графики-прогноз'!$A$38</f>
        <v>1</v>
      </c>
    </row>
    <row r="97" spans="1:29" ht="13.5" thickBot="1" x14ac:dyDescent="0.25">
      <c r="A97" s="510">
        <f t="shared" si="2"/>
        <v>0.65</v>
      </c>
      <c r="B97" s="2">
        <v>6</v>
      </c>
      <c r="C97" s="371">
        <v>4</v>
      </c>
      <c r="D97" s="498">
        <v>1</v>
      </c>
      <c r="E97" s="500">
        <v>0.3</v>
      </c>
      <c r="F97" s="498">
        <v>0.5</v>
      </c>
      <c r="G97" s="498">
        <v>0.2</v>
      </c>
      <c r="H97" s="498">
        <v>0.2</v>
      </c>
      <c r="I97" s="498">
        <v>1</v>
      </c>
      <c r="J97" s="498">
        <v>1</v>
      </c>
      <c r="K97" s="498">
        <v>1</v>
      </c>
      <c r="L97" s="499">
        <f>'[1]Графики-прогноз'!$A$38</f>
        <v>1</v>
      </c>
      <c r="M97" s="499">
        <f>'[1]Графики-прогноз'!$A$38</f>
        <v>1</v>
      </c>
      <c r="N97" s="499">
        <f>'[1]Графики-прогноз'!$A$38</f>
        <v>1</v>
      </c>
      <c r="O97" s="499">
        <f>'[1]Графики-прогноз'!$A$38</f>
        <v>1</v>
      </c>
      <c r="P97" s="499">
        <f>'[1]Графики-прогноз'!$A$38</f>
        <v>1</v>
      </c>
      <c r="Q97" s="499">
        <f>'[1]Графики-прогноз'!$A$38</f>
        <v>1</v>
      </c>
      <c r="R97" s="499">
        <f>'[1]Графики-прогноз'!$A$38</f>
        <v>1</v>
      </c>
      <c r="S97" s="499">
        <f>'[1]Графики-прогноз'!$A$38</f>
        <v>1</v>
      </c>
      <c r="T97" s="499">
        <f>'[1]Графики-прогноз'!$A$38</f>
        <v>1</v>
      </c>
      <c r="U97" s="499">
        <f>'[1]Графики-прогноз'!$A$38</f>
        <v>1</v>
      </c>
      <c r="V97" s="499">
        <f>'[1]Графики-прогноз'!$A$38</f>
        <v>1</v>
      </c>
      <c r="W97" s="499">
        <f>'[1]Графики-прогноз'!$A$38</f>
        <v>1</v>
      </c>
      <c r="X97" s="499">
        <f>'[1]Графики-прогноз'!$A$38</f>
        <v>1</v>
      </c>
      <c r="Y97" s="499">
        <f>'[1]Графики-прогноз'!$A$38</f>
        <v>1</v>
      </c>
      <c r="Z97" s="499">
        <f>'[1]Графики-прогноз'!$A$38</f>
        <v>1</v>
      </c>
      <c r="AA97" s="499">
        <f>'[1]Графики-прогноз'!$A$38</f>
        <v>1</v>
      </c>
      <c r="AB97" s="499">
        <f>'[1]Графики-прогноз'!$A$38</f>
        <v>1</v>
      </c>
      <c r="AC97" s="499">
        <f>'[1]Графики-прогноз'!$A$38</f>
        <v>1</v>
      </c>
    </row>
    <row r="98" spans="1:29" ht="13.5" thickBot="1" x14ac:dyDescent="0.25">
      <c r="A98" s="510">
        <f t="shared" si="2"/>
        <v>0.63749999999999996</v>
      </c>
      <c r="B98" s="2">
        <v>7</v>
      </c>
      <c r="C98" s="371">
        <v>2</v>
      </c>
      <c r="D98" s="498">
        <v>1</v>
      </c>
      <c r="E98" s="503">
        <v>0.2</v>
      </c>
      <c r="F98" s="498">
        <v>0.5</v>
      </c>
      <c r="G98" s="498">
        <v>0.2</v>
      </c>
      <c r="H98" s="498">
        <v>0.2</v>
      </c>
      <c r="I98" s="498">
        <v>1</v>
      </c>
      <c r="J98" s="498">
        <v>1</v>
      </c>
      <c r="K98" s="498">
        <v>1</v>
      </c>
      <c r="L98" s="499">
        <f>'[1]Графики-прогноз'!$A$38</f>
        <v>1</v>
      </c>
      <c r="M98" s="499">
        <f>'[1]Графики-прогноз'!$A$38</f>
        <v>1</v>
      </c>
      <c r="N98" s="499">
        <f>'[1]Графики-прогноз'!$A$38</f>
        <v>1</v>
      </c>
      <c r="O98" s="499">
        <f>'[1]Графики-прогноз'!$A$38</f>
        <v>1</v>
      </c>
      <c r="P98" s="499">
        <f>'[1]Графики-прогноз'!$A$38</f>
        <v>1</v>
      </c>
      <c r="Q98" s="499">
        <f>'[1]Графики-прогноз'!$A$38</f>
        <v>1</v>
      </c>
      <c r="R98" s="499">
        <f>'[1]Графики-прогноз'!$A$38</f>
        <v>1</v>
      </c>
      <c r="S98" s="499">
        <f>'[1]Графики-прогноз'!$A$38</f>
        <v>1</v>
      </c>
      <c r="T98" s="499">
        <f>'[1]Графики-прогноз'!$A$38</f>
        <v>1</v>
      </c>
      <c r="U98" s="499">
        <f>'[1]Графики-прогноз'!$A$38</f>
        <v>1</v>
      </c>
      <c r="V98" s="499">
        <f>'[1]Графики-прогноз'!$A$38</f>
        <v>1</v>
      </c>
      <c r="W98" s="499">
        <f>'[1]Графики-прогноз'!$A$38</f>
        <v>1</v>
      </c>
      <c r="X98" s="499">
        <f>'[1]Графики-прогноз'!$A$38</f>
        <v>1</v>
      </c>
      <c r="Y98" s="499">
        <f>'[1]Графики-прогноз'!$A$38</f>
        <v>1</v>
      </c>
      <c r="Z98" s="499">
        <f>'[1]Графики-прогноз'!$A$38</f>
        <v>1</v>
      </c>
      <c r="AA98" s="499">
        <f>'[1]Графики-прогноз'!$A$38</f>
        <v>1</v>
      </c>
      <c r="AB98" s="499">
        <f>'[1]Графики-прогноз'!$A$38</f>
        <v>1</v>
      </c>
      <c r="AC98" s="499">
        <f>'[1]Графики-прогноз'!$A$38</f>
        <v>1</v>
      </c>
    </row>
    <row r="99" spans="1:29" x14ac:dyDescent="0.2">
      <c r="A99" s="181"/>
      <c r="D99" s="343"/>
      <c r="E99" s="343"/>
      <c r="F99" s="31"/>
      <c r="H99" s="32"/>
    </row>
    <row r="100" spans="1:29" ht="14.25" x14ac:dyDescent="0.2">
      <c r="A100" s="181"/>
      <c r="B100" s="173" t="s">
        <v>161</v>
      </c>
      <c r="D100" s="343"/>
      <c r="E100" s="343"/>
      <c r="F100" s="31"/>
      <c r="H100" s="32"/>
    </row>
    <row r="101" spans="1:29" x14ac:dyDescent="0.2">
      <c r="A101" s="181"/>
      <c r="B101" s="30" t="s">
        <v>51</v>
      </c>
      <c r="D101" s="343"/>
      <c r="E101" s="343"/>
      <c r="F101" s="31"/>
      <c r="H101" s="32"/>
    </row>
    <row r="102" spans="1:29" ht="13.5" thickBot="1" x14ac:dyDescent="0.25">
      <c r="A102" s="181"/>
      <c r="B102" s="30"/>
      <c r="C102" s="370">
        <v>2005</v>
      </c>
      <c r="D102" s="117">
        <v>2006</v>
      </c>
      <c r="E102" s="44">
        <v>2007</v>
      </c>
      <c r="F102" s="117">
        <v>2008</v>
      </c>
      <c r="G102" s="44">
        <v>2009</v>
      </c>
      <c r="H102" s="117">
        <v>2010</v>
      </c>
      <c r="I102" s="44">
        <v>2011</v>
      </c>
      <c r="J102" s="117">
        <v>2012</v>
      </c>
      <c r="K102" s="44">
        <v>2013</v>
      </c>
      <c r="L102" s="397">
        <v>2014</v>
      </c>
      <c r="M102" s="44">
        <v>2015</v>
      </c>
      <c r="N102" s="117">
        <v>2016</v>
      </c>
      <c r="O102" s="44">
        <v>2017</v>
      </c>
      <c r="P102" s="117">
        <v>2018</v>
      </c>
      <c r="Q102" s="44">
        <v>2019</v>
      </c>
      <c r="R102" s="117">
        <v>2020</v>
      </c>
      <c r="S102" s="44">
        <v>2021</v>
      </c>
      <c r="T102" s="117">
        <v>2022</v>
      </c>
      <c r="U102" s="44">
        <v>2023</v>
      </c>
      <c r="V102" s="117">
        <v>2024</v>
      </c>
      <c r="W102" s="44">
        <v>2025</v>
      </c>
      <c r="X102" s="117">
        <v>2026</v>
      </c>
      <c r="Y102" s="44">
        <v>2027</v>
      </c>
      <c r="Z102" s="117">
        <v>2028</v>
      </c>
      <c r="AA102" s="44">
        <v>2029</v>
      </c>
      <c r="AB102" s="117">
        <v>2030</v>
      </c>
      <c r="AC102" s="44">
        <v>2031</v>
      </c>
    </row>
    <row r="103" spans="1:29" ht="13.5" thickBot="1" x14ac:dyDescent="0.25">
      <c r="A103" s="505">
        <v>2</v>
      </c>
      <c r="B103" s="2">
        <v>1</v>
      </c>
      <c r="C103" s="371">
        <v>2</v>
      </c>
      <c r="D103" s="344">
        <v>5</v>
      </c>
      <c r="E103" s="344">
        <v>5</v>
      </c>
      <c r="F103" s="344">
        <v>5</v>
      </c>
      <c r="G103" s="344">
        <v>5</v>
      </c>
      <c r="H103" s="344">
        <v>5</v>
      </c>
      <c r="I103" s="344">
        <v>5</v>
      </c>
      <c r="J103" s="344">
        <v>5</v>
      </c>
      <c r="K103" s="344">
        <v>5</v>
      </c>
      <c r="L103" s="506">
        <f>'[1]Графики-прогноз'!$A$39</f>
        <v>2.5</v>
      </c>
      <c r="M103" s="506">
        <f>'[1]Графики-прогноз'!$A$39</f>
        <v>2.5</v>
      </c>
      <c r="N103" s="506">
        <f>'[1]Графики-прогноз'!$A$39</f>
        <v>2.5</v>
      </c>
      <c r="O103" s="506">
        <f>'[1]Графики-прогноз'!$A$39</f>
        <v>2.5</v>
      </c>
      <c r="P103" s="506">
        <f>'[1]Графики-прогноз'!$A$39</f>
        <v>2.5</v>
      </c>
      <c r="Q103" s="506">
        <f>'[1]Графики-прогноз'!$A$39</f>
        <v>2.5</v>
      </c>
      <c r="R103" s="506">
        <f>'[1]Графики-прогноз'!$A$39</f>
        <v>2.5</v>
      </c>
      <c r="S103" s="506">
        <f>'[1]Графики-прогноз'!$A$39</f>
        <v>2.5</v>
      </c>
      <c r="T103" s="506">
        <f>'[1]Графики-прогноз'!$A$39</f>
        <v>2.5</v>
      </c>
      <c r="U103" s="506">
        <f>'[1]Графики-прогноз'!$A$39</f>
        <v>2.5</v>
      </c>
      <c r="V103" s="506">
        <f>'[1]Графики-прогноз'!$A$39</f>
        <v>2.5</v>
      </c>
      <c r="W103" s="506">
        <f>'[1]Графики-прогноз'!$A$39</f>
        <v>2.5</v>
      </c>
      <c r="X103" s="506">
        <f>'[1]Графики-прогноз'!$A$39</f>
        <v>2.5</v>
      </c>
      <c r="Y103" s="506">
        <f>'[1]Графики-прогноз'!$A$39</f>
        <v>2.5</v>
      </c>
      <c r="Z103" s="506">
        <f>'[1]Графики-прогноз'!$A$39</f>
        <v>2.5</v>
      </c>
      <c r="AA103" s="506">
        <f>'[1]Графики-прогноз'!$A$39</f>
        <v>2.5</v>
      </c>
      <c r="AB103" s="506">
        <f>'[1]Графики-прогноз'!$A$39</f>
        <v>2.5</v>
      </c>
      <c r="AC103" s="506">
        <f>'[1]Графики-прогноз'!$A$39</f>
        <v>2.5</v>
      </c>
    </row>
    <row r="104" spans="1:29" ht="13.5" thickBot="1" x14ac:dyDescent="0.25">
      <c r="A104" s="344">
        <v>5</v>
      </c>
      <c r="B104" s="2">
        <v>2</v>
      </c>
      <c r="C104" s="371">
        <v>5</v>
      </c>
      <c r="D104" s="344">
        <v>5</v>
      </c>
      <c r="E104" s="344">
        <v>5</v>
      </c>
      <c r="F104" s="344">
        <v>5</v>
      </c>
      <c r="G104" s="344">
        <v>5</v>
      </c>
      <c r="H104" s="344">
        <v>5</v>
      </c>
      <c r="I104" s="344">
        <v>5</v>
      </c>
      <c r="J104" s="344">
        <v>5</v>
      </c>
      <c r="K104" s="344">
        <v>5</v>
      </c>
      <c r="L104" s="506">
        <f>'[1]Графики-прогноз'!$A$39</f>
        <v>2.5</v>
      </c>
      <c r="M104" s="506">
        <f>'[1]Графики-прогноз'!$A$39</f>
        <v>2.5</v>
      </c>
      <c r="N104" s="506">
        <f>'[1]Графики-прогноз'!$A$39</f>
        <v>2.5</v>
      </c>
      <c r="O104" s="506">
        <f>'[1]Графики-прогноз'!$A$39</f>
        <v>2.5</v>
      </c>
      <c r="P104" s="506">
        <f>'[1]Графики-прогноз'!$A$39</f>
        <v>2.5</v>
      </c>
      <c r="Q104" s="506">
        <f>'[1]Графики-прогноз'!$A$39</f>
        <v>2.5</v>
      </c>
      <c r="R104" s="506">
        <f>'[1]Графики-прогноз'!$A$39</f>
        <v>2.5</v>
      </c>
      <c r="S104" s="506">
        <f>'[1]Графики-прогноз'!$A$39</f>
        <v>2.5</v>
      </c>
      <c r="T104" s="506">
        <f>'[1]Графики-прогноз'!$A$39</f>
        <v>2.5</v>
      </c>
      <c r="U104" s="506">
        <f>'[1]Графики-прогноз'!$A$39</f>
        <v>2.5</v>
      </c>
      <c r="V104" s="506">
        <f>'[1]Графики-прогноз'!$A$39</f>
        <v>2.5</v>
      </c>
      <c r="W104" s="506">
        <f>'[1]Графики-прогноз'!$A$39</f>
        <v>2.5</v>
      </c>
      <c r="X104" s="506">
        <f>'[1]Графики-прогноз'!$A$39</f>
        <v>2.5</v>
      </c>
      <c r="Y104" s="506">
        <f>'[1]Графики-прогноз'!$A$39</f>
        <v>2.5</v>
      </c>
      <c r="Z104" s="506">
        <f>'[1]Графики-прогноз'!$A$39</f>
        <v>2.5</v>
      </c>
      <c r="AA104" s="506">
        <f>'[1]Графики-прогноз'!$A$39</f>
        <v>2.5</v>
      </c>
      <c r="AB104" s="506">
        <f>'[1]Графики-прогноз'!$A$39</f>
        <v>2.5</v>
      </c>
      <c r="AC104" s="506">
        <f>'[1]Графики-прогноз'!$A$39</f>
        <v>2.5</v>
      </c>
    </row>
    <row r="105" spans="1:29" ht="13.5" thickBot="1" x14ac:dyDescent="0.25">
      <c r="A105" s="344">
        <v>5</v>
      </c>
      <c r="B105" s="2">
        <v>3</v>
      </c>
      <c r="C105" s="371">
        <v>2</v>
      </c>
      <c r="D105" s="344">
        <v>10</v>
      </c>
      <c r="E105" s="344">
        <v>10</v>
      </c>
      <c r="F105" s="344">
        <v>10</v>
      </c>
      <c r="G105" s="344">
        <v>10</v>
      </c>
      <c r="H105" s="344">
        <v>10</v>
      </c>
      <c r="I105" s="344">
        <v>10</v>
      </c>
      <c r="J105" s="344">
        <v>9</v>
      </c>
      <c r="K105" s="344">
        <v>10</v>
      </c>
      <c r="L105" s="506">
        <f>'[1]Графики-прогноз'!$A$39</f>
        <v>2.5</v>
      </c>
      <c r="M105" s="506">
        <f>'[1]Графики-прогноз'!$A$39</f>
        <v>2.5</v>
      </c>
      <c r="N105" s="506">
        <f>'[1]Графики-прогноз'!$A$39</f>
        <v>2.5</v>
      </c>
      <c r="O105" s="506">
        <f>'[1]Графики-прогноз'!$A$39</f>
        <v>2.5</v>
      </c>
      <c r="P105" s="506">
        <f>'[1]Графики-прогноз'!$A$39</f>
        <v>2.5</v>
      </c>
      <c r="Q105" s="506">
        <f>'[1]Графики-прогноз'!$A$39</f>
        <v>2.5</v>
      </c>
      <c r="R105" s="506">
        <f>'[1]Графики-прогноз'!$A$39</f>
        <v>2.5</v>
      </c>
      <c r="S105" s="506">
        <f>'[1]Графики-прогноз'!$A$39</f>
        <v>2.5</v>
      </c>
      <c r="T105" s="506">
        <f>'[1]Графики-прогноз'!$A$39</f>
        <v>2.5</v>
      </c>
      <c r="U105" s="506">
        <f>'[1]Графики-прогноз'!$A$39</f>
        <v>2.5</v>
      </c>
      <c r="V105" s="506">
        <f>'[1]Графики-прогноз'!$A$39</f>
        <v>2.5</v>
      </c>
      <c r="W105" s="506">
        <f>'[1]Графики-прогноз'!$A$39</f>
        <v>2.5</v>
      </c>
      <c r="X105" s="506">
        <f>'[1]Графики-прогноз'!$A$39</f>
        <v>2.5</v>
      </c>
      <c r="Y105" s="506">
        <f>'[1]Графики-прогноз'!$A$39</f>
        <v>2.5</v>
      </c>
      <c r="Z105" s="506">
        <f>'[1]Графики-прогноз'!$A$39</f>
        <v>2.5</v>
      </c>
      <c r="AA105" s="506">
        <f>'[1]Графики-прогноз'!$A$39</f>
        <v>2.5</v>
      </c>
      <c r="AB105" s="506">
        <f>'[1]Графики-прогноз'!$A$39</f>
        <v>2.5</v>
      </c>
      <c r="AC105" s="506">
        <f>'[1]Графики-прогноз'!$A$39</f>
        <v>2.5</v>
      </c>
    </row>
    <row r="106" spans="1:29" ht="13.5" thickBot="1" x14ac:dyDescent="0.25">
      <c r="A106" s="344">
        <v>6</v>
      </c>
      <c r="B106" s="2">
        <v>4</v>
      </c>
      <c r="C106" s="372">
        <v>6</v>
      </c>
      <c r="D106" s="344">
        <v>5</v>
      </c>
      <c r="E106" s="344">
        <v>10</v>
      </c>
      <c r="F106" s="344">
        <v>10</v>
      </c>
      <c r="G106" s="344">
        <v>5</v>
      </c>
      <c r="H106" s="344">
        <v>5</v>
      </c>
      <c r="I106" s="344">
        <v>5</v>
      </c>
      <c r="J106" s="344">
        <v>5</v>
      </c>
      <c r="K106" s="344">
        <v>5</v>
      </c>
      <c r="L106" s="506">
        <f>'[1]Графики-прогноз'!$A$39</f>
        <v>2.5</v>
      </c>
      <c r="M106" s="506">
        <f>'[1]Графики-прогноз'!$A$39</f>
        <v>2.5</v>
      </c>
      <c r="N106" s="506">
        <f>'[1]Графики-прогноз'!$A$39</f>
        <v>2.5</v>
      </c>
      <c r="O106" s="506">
        <f>'[1]Графики-прогноз'!$A$39</f>
        <v>2.5</v>
      </c>
      <c r="P106" s="506">
        <f>'[1]Графики-прогноз'!$A$39</f>
        <v>2.5</v>
      </c>
      <c r="Q106" s="506">
        <f>'[1]Графики-прогноз'!$A$39</f>
        <v>2.5</v>
      </c>
      <c r="R106" s="506">
        <f>'[1]Графики-прогноз'!$A$39</f>
        <v>2.5</v>
      </c>
      <c r="S106" s="506">
        <f>'[1]Графики-прогноз'!$A$39</f>
        <v>2.5</v>
      </c>
      <c r="T106" s="506">
        <f>'[1]Графики-прогноз'!$A$39</f>
        <v>2.5</v>
      </c>
      <c r="U106" s="506">
        <f>'[1]Графики-прогноз'!$A$39</f>
        <v>2.5</v>
      </c>
      <c r="V106" s="506">
        <f>'[1]Графики-прогноз'!$A$39</f>
        <v>2.5</v>
      </c>
      <c r="W106" s="506">
        <f>'[1]Графики-прогноз'!$A$39</f>
        <v>2.5</v>
      </c>
      <c r="X106" s="506">
        <f>'[1]Графики-прогноз'!$A$39</f>
        <v>2.5</v>
      </c>
      <c r="Y106" s="506">
        <f>'[1]Графики-прогноз'!$A$39</f>
        <v>2.5</v>
      </c>
      <c r="Z106" s="506">
        <f>'[1]Графики-прогноз'!$A$39</f>
        <v>2.5</v>
      </c>
      <c r="AA106" s="506">
        <f>'[1]Графики-прогноз'!$A$39</f>
        <v>2.5</v>
      </c>
      <c r="AB106" s="506">
        <f>'[1]Графики-прогноз'!$A$39</f>
        <v>2.5</v>
      </c>
      <c r="AC106" s="506">
        <f>'[1]Графики-прогноз'!$A$39</f>
        <v>2.5</v>
      </c>
    </row>
    <row r="107" spans="1:29" ht="13.5" thickBot="1" x14ac:dyDescent="0.25">
      <c r="A107" s="344">
        <v>2</v>
      </c>
      <c r="B107" s="2">
        <v>5</v>
      </c>
      <c r="C107" s="371">
        <v>2</v>
      </c>
      <c r="D107" s="344">
        <v>5</v>
      </c>
      <c r="E107" s="344">
        <v>5</v>
      </c>
      <c r="F107" s="344">
        <v>10</v>
      </c>
      <c r="G107" s="344">
        <v>5</v>
      </c>
      <c r="H107" s="344">
        <v>5</v>
      </c>
      <c r="I107" s="344">
        <v>5</v>
      </c>
      <c r="J107" s="344">
        <v>5</v>
      </c>
      <c r="K107" s="344">
        <v>5</v>
      </c>
      <c r="L107" s="506">
        <f>'[1]Графики-прогноз'!$A$39</f>
        <v>2.5</v>
      </c>
      <c r="M107" s="506">
        <f>'[1]Графики-прогноз'!$A$39</f>
        <v>2.5</v>
      </c>
      <c r="N107" s="506">
        <f>'[1]Графики-прогноз'!$A$39</f>
        <v>2.5</v>
      </c>
      <c r="O107" s="506">
        <f>'[1]Графики-прогноз'!$A$39</f>
        <v>2.5</v>
      </c>
      <c r="P107" s="506">
        <f>'[1]Графики-прогноз'!$A$39</f>
        <v>2.5</v>
      </c>
      <c r="Q107" s="506">
        <f>'[1]Графики-прогноз'!$A$39</f>
        <v>2.5</v>
      </c>
      <c r="R107" s="506">
        <f>'[1]Графики-прогноз'!$A$39</f>
        <v>2.5</v>
      </c>
      <c r="S107" s="506">
        <f>'[1]Графики-прогноз'!$A$39</f>
        <v>2.5</v>
      </c>
      <c r="T107" s="506">
        <f>'[1]Графики-прогноз'!$A$39</f>
        <v>2.5</v>
      </c>
      <c r="U107" s="506">
        <f>'[1]Графики-прогноз'!$A$39</f>
        <v>2.5</v>
      </c>
      <c r="V107" s="506">
        <f>'[1]Графики-прогноз'!$A$39</f>
        <v>2.5</v>
      </c>
      <c r="W107" s="506">
        <f>'[1]Графики-прогноз'!$A$39</f>
        <v>2.5</v>
      </c>
      <c r="X107" s="506">
        <f>'[1]Графики-прогноз'!$A$39</f>
        <v>2.5</v>
      </c>
      <c r="Y107" s="506">
        <f>'[1]Графики-прогноз'!$A$39</f>
        <v>2.5</v>
      </c>
      <c r="Z107" s="506">
        <f>'[1]Графики-прогноз'!$A$39</f>
        <v>2.5</v>
      </c>
      <c r="AA107" s="506">
        <f>'[1]Графики-прогноз'!$A$39</f>
        <v>2.5</v>
      </c>
      <c r="AB107" s="506">
        <f>'[1]Графики-прогноз'!$A$39</f>
        <v>2.5</v>
      </c>
      <c r="AC107" s="506">
        <f>'[1]Графики-прогноз'!$A$39</f>
        <v>2.5</v>
      </c>
    </row>
    <row r="108" spans="1:29" ht="13.5" thickBot="1" x14ac:dyDescent="0.25">
      <c r="A108" s="344">
        <v>0</v>
      </c>
      <c r="B108" s="2">
        <v>6</v>
      </c>
      <c r="C108" s="371">
        <v>2</v>
      </c>
      <c r="D108" s="344">
        <v>5</v>
      </c>
      <c r="E108" s="344">
        <v>5</v>
      </c>
      <c r="F108" s="344">
        <v>5</v>
      </c>
      <c r="G108" s="344">
        <v>5</v>
      </c>
      <c r="H108" s="344">
        <v>5</v>
      </c>
      <c r="I108" s="344">
        <v>5</v>
      </c>
      <c r="J108" s="344">
        <v>5</v>
      </c>
      <c r="K108" s="344">
        <v>5</v>
      </c>
      <c r="L108" s="506">
        <f>'[1]Графики-прогноз'!$A$39</f>
        <v>2.5</v>
      </c>
      <c r="M108" s="506">
        <f>'[1]Графики-прогноз'!$A$39</f>
        <v>2.5</v>
      </c>
      <c r="N108" s="506">
        <f>'[1]Графики-прогноз'!$A$39</f>
        <v>2.5</v>
      </c>
      <c r="O108" s="506">
        <f>'[1]Графики-прогноз'!$A$39</f>
        <v>2.5</v>
      </c>
      <c r="P108" s="506">
        <f>'[1]Графики-прогноз'!$A$39</f>
        <v>2.5</v>
      </c>
      <c r="Q108" s="506">
        <f>'[1]Графики-прогноз'!$A$39</f>
        <v>2.5</v>
      </c>
      <c r="R108" s="506">
        <f>'[1]Графики-прогноз'!$A$39</f>
        <v>2.5</v>
      </c>
      <c r="S108" s="506">
        <f>'[1]Графики-прогноз'!$A$39</f>
        <v>2.5</v>
      </c>
      <c r="T108" s="506">
        <f>'[1]Графики-прогноз'!$A$39</f>
        <v>2.5</v>
      </c>
      <c r="U108" s="506">
        <f>'[1]Графики-прогноз'!$A$39</f>
        <v>2.5</v>
      </c>
      <c r="V108" s="506">
        <f>'[1]Графики-прогноз'!$A$39</f>
        <v>2.5</v>
      </c>
      <c r="W108" s="506">
        <f>'[1]Графики-прогноз'!$A$39</f>
        <v>2.5</v>
      </c>
      <c r="X108" s="506">
        <f>'[1]Графики-прогноз'!$A$39</f>
        <v>2.5</v>
      </c>
      <c r="Y108" s="506">
        <f>'[1]Графики-прогноз'!$A$39</f>
        <v>2.5</v>
      </c>
      <c r="Z108" s="506">
        <f>'[1]Графики-прогноз'!$A$39</f>
        <v>2.5</v>
      </c>
      <c r="AA108" s="506">
        <f>'[1]Графики-прогноз'!$A$39</f>
        <v>2.5</v>
      </c>
      <c r="AB108" s="506">
        <f>'[1]Графики-прогноз'!$A$39</f>
        <v>2.5</v>
      </c>
      <c r="AC108" s="506">
        <f>'[1]Графики-прогноз'!$A$39</f>
        <v>2.5</v>
      </c>
    </row>
    <row r="109" spans="1:29" ht="13.5" thickBot="1" x14ac:dyDescent="0.25">
      <c r="A109" s="508">
        <v>0</v>
      </c>
      <c r="B109" s="2">
        <v>7</v>
      </c>
      <c r="C109" s="371">
        <v>2</v>
      </c>
      <c r="D109" s="344">
        <v>5</v>
      </c>
      <c r="E109" s="344">
        <v>5</v>
      </c>
      <c r="F109" s="344">
        <v>5</v>
      </c>
      <c r="G109" s="344">
        <v>5</v>
      </c>
      <c r="H109" s="344">
        <v>5</v>
      </c>
      <c r="I109" s="344">
        <v>5</v>
      </c>
      <c r="J109" s="344">
        <v>5</v>
      </c>
      <c r="K109" s="344">
        <v>5</v>
      </c>
      <c r="L109" s="506">
        <f>'[1]Графики-прогноз'!$A$39</f>
        <v>2.5</v>
      </c>
      <c r="M109" s="506">
        <f>'[1]Графики-прогноз'!$A$39</f>
        <v>2.5</v>
      </c>
      <c r="N109" s="506">
        <f>'[1]Графики-прогноз'!$A$39</f>
        <v>2.5</v>
      </c>
      <c r="O109" s="506">
        <f>'[1]Графики-прогноз'!$A$39</f>
        <v>2.5</v>
      </c>
      <c r="P109" s="506">
        <f>'[1]Графики-прогноз'!$A$39</f>
        <v>2.5</v>
      </c>
      <c r="Q109" s="506">
        <f>'[1]Графики-прогноз'!$A$39</f>
        <v>2.5</v>
      </c>
      <c r="R109" s="506">
        <f>'[1]Графики-прогноз'!$A$39</f>
        <v>2.5</v>
      </c>
      <c r="S109" s="506">
        <f>'[1]Графики-прогноз'!$A$39</f>
        <v>2.5</v>
      </c>
      <c r="T109" s="506">
        <f>'[1]Графики-прогноз'!$A$39</f>
        <v>2.5</v>
      </c>
      <c r="U109" s="506">
        <f>'[1]Графики-прогноз'!$A$39</f>
        <v>2.5</v>
      </c>
      <c r="V109" s="506">
        <f>'[1]Графики-прогноз'!$A$39</f>
        <v>2.5</v>
      </c>
      <c r="W109" s="506">
        <f>'[1]Графики-прогноз'!$A$39</f>
        <v>2.5</v>
      </c>
      <c r="X109" s="506">
        <f>'[1]Графики-прогноз'!$A$39</f>
        <v>2.5</v>
      </c>
      <c r="Y109" s="506">
        <f>'[1]Графики-прогноз'!$A$39</f>
        <v>2.5</v>
      </c>
      <c r="Z109" s="506">
        <f>'[1]Графики-прогноз'!$A$39</f>
        <v>2.5</v>
      </c>
      <c r="AA109" s="506">
        <f>'[1]Графики-прогноз'!$A$39</f>
        <v>2.5</v>
      </c>
      <c r="AB109" s="506">
        <f>'[1]Графики-прогноз'!$A$39</f>
        <v>2.5</v>
      </c>
      <c r="AC109" s="506">
        <f>'[1]Графики-прогноз'!$A$39</f>
        <v>2.5</v>
      </c>
    </row>
    <row r="110" spans="1:29" x14ac:dyDescent="0.2">
      <c r="A110" s="181"/>
      <c r="D110" s="343"/>
      <c r="E110" s="343"/>
      <c r="F110" s="31"/>
      <c r="H110" s="32"/>
    </row>
    <row r="111" spans="1:29" x14ac:dyDescent="0.2">
      <c r="A111" s="181"/>
      <c r="B111" s="25"/>
      <c r="D111" s="343"/>
      <c r="E111" s="343"/>
      <c r="F111" s="31"/>
      <c r="H111" s="32"/>
    </row>
    <row r="112" spans="1:29" x14ac:dyDescent="0.2">
      <c r="A112" s="181"/>
      <c r="B112" s="25"/>
      <c r="D112" s="343"/>
      <c r="E112" s="343"/>
      <c r="F112" s="31"/>
      <c r="H112" s="32"/>
    </row>
    <row r="113" spans="1:29" x14ac:dyDescent="0.2">
      <c r="A113" s="181"/>
      <c r="B113" s="25"/>
      <c r="D113" s="343"/>
      <c r="E113" s="343"/>
      <c r="F113" s="31"/>
      <c r="H113" s="32"/>
    </row>
    <row r="114" spans="1:29" s="415" customFormat="1" x14ac:dyDescent="0.2">
      <c r="B114" s="416" t="s">
        <v>177</v>
      </c>
      <c r="C114" s="417"/>
      <c r="D114" s="418"/>
      <c r="E114" s="418"/>
      <c r="F114" s="419"/>
    </row>
    <row r="115" spans="1:29" x14ac:dyDescent="0.2">
      <c r="B115" s="33" t="s">
        <v>34</v>
      </c>
    </row>
    <row r="116" spans="1:29" x14ac:dyDescent="0.2">
      <c r="B116" s="44"/>
      <c r="L116" s="401">
        <v>9</v>
      </c>
      <c r="M116" s="343">
        <v>10</v>
      </c>
      <c r="N116" s="343">
        <v>11</v>
      </c>
      <c r="O116" s="343">
        <v>12</v>
      </c>
      <c r="P116" s="343">
        <v>13</v>
      </c>
      <c r="Q116" s="343">
        <v>14</v>
      </c>
      <c r="R116" s="343">
        <v>15</v>
      </c>
      <c r="S116" s="343">
        <v>16</v>
      </c>
      <c r="T116" s="343">
        <v>17</v>
      </c>
      <c r="U116" s="343">
        <v>18</v>
      </c>
      <c r="V116" s="343">
        <v>19</v>
      </c>
      <c r="W116" s="343">
        <v>20</v>
      </c>
      <c r="X116" s="343">
        <v>21</v>
      </c>
      <c r="Y116" s="343">
        <v>22</v>
      </c>
      <c r="Z116" s="343">
        <v>23</v>
      </c>
      <c r="AA116" s="343">
        <v>24</v>
      </c>
      <c r="AB116" s="343">
        <v>25</v>
      </c>
      <c r="AC116" s="343">
        <v>26</v>
      </c>
    </row>
    <row r="117" spans="1:29" ht="15" thickBot="1" x14ac:dyDescent="0.25">
      <c r="B117" s="8" t="s">
        <v>33</v>
      </c>
      <c r="C117" s="342">
        <f>C122</f>
        <v>565.42653894914781</v>
      </c>
      <c r="F117" s="31"/>
      <c r="L117" s="397">
        <v>2014</v>
      </c>
      <c r="M117" s="44">
        <v>2015</v>
      </c>
      <c r="N117" s="117">
        <v>2016</v>
      </c>
      <c r="O117" s="44">
        <v>2017</v>
      </c>
      <c r="P117" s="117">
        <v>2018</v>
      </c>
      <c r="Q117" s="44">
        <v>2019</v>
      </c>
      <c r="R117" s="117">
        <v>2020</v>
      </c>
      <c r="S117" s="44">
        <v>2021</v>
      </c>
      <c r="T117" s="117">
        <v>2022</v>
      </c>
      <c r="U117" s="44">
        <v>2023</v>
      </c>
      <c r="V117" s="117">
        <v>2024</v>
      </c>
      <c r="W117" s="44">
        <v>2025</v>
      </c>
      <c r="X117" s="117">
        <v>2026</v>
      </c>
      <c r="Y117" s="44">
        <v>2027</v>
      </c>
      <c r="Z117" s="117">
        <v>2028</v>
      </c>
      <c r="AA117" s="44">
        <v>2029</v>
      </c>
      <c r="AB117" s="117">
        <v>2030</v>
      </c>
      <c r="AC117" s="44">
        <v>2031</v>
      </c>
    </row>
    <row r="118" spans="1:29" x14ac:dyDescent="0.2">
      <c r="D118" s="10"/>
      <c r="E118" s="10"/>
      <c r="F118" s="31"/>
      <c r="G118" s="10"/>
      <c r="L118" s="499">
        <v>1</v>
      </c>
      <c r="M118" s="499">
        <v>1</v>
      </c>
      <c r="N118" s="499">
        <v>1</v>
      </c>
      <c r="O118" s="499">
        <v>1</v>
      </c>
      <c r="P118" s="499">
        <v>1</v>
      </c>
      <c r="Q118" s="499">
        <v>1</v>
      </c>
      <c r="R118" s="499">
        <v>1</v>
      </c>
      <c r="S118" s="499">
        <v>1</v>
      </c>
      <c r="T118" s="499">
        <v>1</v>
      </c>
      <c r="U118" s="499">
        <v>1</v>
      </c>
      <c r="V118" s="499">
        <v>1</v>
      </c>
      <c r="W118" s="499">
        <v>1</v>
      </c>
      <c r="X118" s="499">
        <v>1</v>
      </c>
      <c r="Y118" s="499">
        <v>1</v>
      </c>
      <c r="Z118" s="499">
        <v>1</v>
      </c>
      <c r="AA118" s="499">
        <v>1</v>
      </c>
      <c r="AB118" s="499">
        <v>1</v>
      </c>
      <c r="AC118" s="499">
        <v>1</v>
      </c>
    </row>
    <row r="119" spans="1:29" ht="14.25" x14ac:dyDescent="0.2">
      <c r="B119" s="8"/>
      <c r="C119" s="8" t="s">
        <v>43</v>
      </c>
      <c r="D119" s="13"/>
      <c r="E119" s="13"/>
      <c r="F119" s="31"/>
      <c r="G119" s="13"/>
      <c r="L119" s="501">
        <v>1</v>
      </c>
      <c r="M119" s="501">
        <v>1</v>
      </c>
      <c r="N119" s="501">
        <v>1</v>
      </c>
      <c r="O119" s="501">
        <v>1</v>
      </c>
      <c r="P119" s="501">
        <v>1</v>
      </c>
      <c r="Q119" s="501">
        <v>1</v>
      </c>
      <c r="R119" s="501">
        <v>1</v>
      </c>
      <c r="S119" s="501">
        <v>1</v>
      </c>
      <c r="T119" s="501">
        <v>1</v>
      </c>
      <c r="U119" s="501">
        <v>1</v>
      </c>
      <c r="V119" s="501">
        <v>1</v>
      </c>
      <c r="W119" s="501">
        <v>1</v>
      </c>
      <c r="X119" s="501">
        <v>1</v>
      </c>
      <c r="Y119" s="501">
        <v>1</v>
      </c>
      <c r="Z119" s="501">
        <v>1</v>
      </c>
      <c r="AA119" s="501">
        <v>1</v>
      </c>
      <c r="AB119" s="501">
        <v>1</v>
      </c>
      <c r="AC119" s="501">
        <v>1</v>
      </c>
    </row>
    <row r="120" spans="1:29" ht="14.25" x14ac:dyDescent="0.2">
      <c r="B120" s="207" t="s">
        <v>158</v>
      </c>
      <c r="C120" s="341">
        <v>14198</v>
      </c>
      <c r="D120" s="13"/>
      <c r="E120" s="13"/>
      <c r="F120" s="31"/>
      <c r="G120" s="13"/>
      <c r="L120" s="501">
        <v>1</v>
      </c>
      <c r="M120" s="501">
        <v>1</v>
      </c>
      <c r="N120" s="501">
        <v>1</v>
      </c>
      <c r="O120" s="501">
        <v>1</v>
      </c>
      <c r="P120" s="501">
        <v>1</v>
      </c>
      <c r="Q120" s="501">
        <v>1</v>
      </c>
      <c r="R120" s="501">
        <v>1</v>
      </c>
      <c r="S120" s="501">
        <v>1</v>
      </c>
      <c r="T120" s="501">
        <v>1</v>
      </c>
      <c r="U120" s="501">
        <v>1</v>
      </c>
      <c r="V120" s="501">
        <v>1</v>
      </c>
      <c r="W120" s="501">
        <v>1</v>
      </c>
      <c r="X120" s="501">
        <v>1</v>
      </c>
      <c r="Y120" s="501">
        <v>1</v>
      </c>
      <c r="Z120" s="501">
        <v>1</v>
      </c>
      <c r="AA120" s="501">
        <v>1</v>
      </c>
      <c r="AB120" s="501">
        <v>1</v>
      </c>
      <c r="AC120" s="501">
        <v>1</v>
      </c>
    </row>
    <row r="121" spans="1:29" ht="14.25" x14ac:dyDescent="0.2">
      <c r="B121" s="207" t="s">
        <v>52</v>
      </c>
      <c r="C121" s="341">
        <v>8027926</v>
      </c>
      <c r="D121" s="13"/>
      <c r="E121" s="13"/>
      <c r="F121" s="31"/>
      <c r="G121" s="13"/>
      <c r="L121" s="501">
        <v>2</v>
      </c>
      <c r="M121" s="501">
        <v>2</v>
      </c>
      <c r="N121" s="501">
        <v>2</v>
      </c>
      <c r="O121" s="501">
        <v>2</v>
      </c>
      <c r="P121" s="501">
        <v>2</v>
      </c>
      <c r="Q121" s="501">
        <v>2</v>
      </c>
      <c r="R121" s="501">
        <v>2</v>
      </c>
      <c r="S121" s="501">
        <v>2</v>
      </c>
      <c r="T121" s="501">
        <v>2</v>
      </c>
      <c r="U121" s="501">
        <v>2</v>
      </c>
      <c r="V121" s="501">
        <v>2</v>
      </c>
      <c r="W121" s="501">
        <v>2</v>
      </c>
      <c r="X121" s="501">
        <v>2</v>
      </c>
      <c r="Y121" s="501">
        <v>2</v>
      </c>
      <c r="Z121" s="501">
        <v>2</v>
      </c>
      <c r="AA121" s="501">
        <v>2</v>
      </c>
      <c r="AB121" s="501">
        <v>2</v>
      </c>
      <c r="AC121" s="501">
        <v>2</v>
      </c>
    </row>
    <row r="122" spans="1:29" ht="14.25" x14ac:dyDescent="0.2">
      <c r="B122" s="8" t="s">
        <v>33</v>
      </c>
      <c r="C122" s="208">
        <f>C121/C120</f>
        <v>565.42653894914781</v>
      </c>
      <c r="D122" s="13"/>
      <c r="E122" s="13" t="s">
        <v>53</v>
      </c>
      <c r="F122" s="31"/>
      <c r="G122" s="13"/>
      <c r="L122" s="502">
        <v>2</v>
      </c>
      <c r="M122" s="502">
        <v>2</v>
      </c>
      <c r="N122" s="502">
        <v>2</v>
      </c>
      <c r="O122" s="502">
        <v>2</v>
      </c>
      <c r="P122" s="502">
        <v>2</v>
      </c>
      <c r="Q122" s="502">
        <v>2</v>
      </c>
      <c r="R122" s="502">
        <v>2</v>
      </c>
      <c r="S122" s="502">
        <v>2</v>
      </c>
      <c r="T122" s="502">
        <v>2</v>
      </c>
      <c r="U122" s="502">
        <v>2</v>
      </c>
      <c r="V122" s="502">
        <v>2</v>
      </c>
      <c r="W122" s="502">
        <v>2</v>
      </c>
      <c r="X122" s="502">
        <v>2</v>
      </c>
      <c r="Y122" s="502">
        <v>2</v>
      </c>
      <c r="Z122" s="502">
        <v>2</v>
      </c>
      <c r="AA122" s="502">
        <v>2</v>
      </c>
      <c r="AB122" s="502">
        <v>2</v>
      </c>
      <c r="AC122" s="502">
        <v>2</v>
      </c>
    </row>
    <row r="123" spans="1:29" x14ac:dyDescent="0.2">
      <c r="D123" s="13"/>
      <c r="E123" s="13"/>
      <c r="F123" s="31"/>
      <c r="G123" s="13"/>
      <c r="L123" s="501">
        <v>1</v>
      </c>
      <c r="M123" s="501">
        <v>1</v>
      </c>
      <c r="N123" s="501">
        <v>1</v>
      </c>
      <c r="O123" s="501">
        <v>1</v>
      </c>
      <c r="P123" s="501">
        <v>1</v>
      </c>
      <c r="Q123" s="501">
        <v>1</v>
      </c>
      <c r="R123" s="501">
        <v>1</v>
      </c>
      <c r="S123" s="501">
        <v>1</v>
      </c>
      <c r="T123" s="501">
        <v>1</v>
      </c>
      <c r="U123" s="501">
        <v>1</v>
      </c>
      <c r="V123" s="501">
        <v>1</v>
      </c>
      <c r="W123" s="501">
        <v>1</v>
      </c>
      <c r="X123" s="501">
        <v>1</v>
      </c>
      <c r="Y123" s="501">
        <v>1</v>
      </c>
      <c r="Z123" s="501">
        <v>1</v>
      </c>
      <c r="AA123" s="501">
        <v>1</v>
      </c>
      <c r="AB123" s="501">
        <v>1</v>
      </c>
      <c r="AC123" s="501">
        <v>1</v>
      </c>
    </row>
    <row r="124" spans="1:29" ht="13.5" thickBot="1" x14ac:dyDescent="0.25">
      <c r="D124" s="13"/>
      <c r="E124" s="13"/>
      <c r="F124" s="31"/>
      <c r="G124" s="13"/>
      <c r="L124" s="504">
        <v>1</v>
      </c>
      <c r="M124" s="504">
        <v>1</v>
      </c>
      <c r="N124" s="504">
        <v>1</v>
      </c>
      <c r="O124" s="504">
        <v>1</v>
      </c>
      <c r="P124" s="504">
        <v>1</v>
      </c>
      <c r="Q124" s="504">
        <v>1</v>
      </c>
      <c r="R124" s="504">
        <v>1</v>
      </c>
      <c r="S124" s="504">
        <v>1</v>
      </c>
      <c r="T124" s="504">
        <v>1</v>
      </c>
      <c r="U124" s="504">
        <v>1</v>
      </c>
      <c r="V124" s="504">
        <v>1</v>
      </c>
      <c r="W124" s="504">
        <v>1</v>
      </c>
      <c r="X124" s="504">
        <v>1</v>
      </c>
      <c r="Y124" s="504">
        <v>1</v>
      </c>
      <c r="Z124" s="504">
        <v>1</v>
      </c>
      <c r="AA124" s="504">
        <v>1</v>
      </c>
      <c r="AB124" s="504">
        <v>1</v>
      </c>
      <c r="AC124" s="504">
        <v>1</v>
      </c>
    </row>
    <row r="125" spans="1:29" x14ac:dyDescent="0.2">
      <c r="B125" s="34"/>
      <c r="F125" s="31"/>
    </row>
    <row r="126" spans="1:29" x14ac:dyDescent="0.2">
      <c r="B126" s="34"/>
      <c r="D126" s="10"/>
    </row>
    <row r="127" spans="1:29" x14ac:dyDescent="0.2">
      <c r="B127" s="25"/>
      <c r="G127" s="13"/>
    </row>
    <row r="128" spans="1:29" ht="13.5" thickBot="1" x14ac:dyDescent="0.25">
      <c r="C128" s="10"/>
      <c r="D128" s="11"/>
      <c r="E128" s="35"/>
      <c r="F128" s="1"/>
      <c r="L128" s="397">
        <v>2014</v>
      </c>
      <c r="M128" s="44">
        <v>2015</v>
      </c>
      <c r="N128" s="117">
        <v>2016</v>
      </c>
      <c r="O128" s="44">
        <v>2017</v>
      </c>
      <c r="P128" s="117">
        <v>2018</v>
      </c>
      <c r="Q128" s="44">
        <v>2019</v>
      </c>
      <c r="R128" s="117">
        <v>2020</v>
      </c>
      <c r="S128" s="44">
        <v>2021</v>
      </c>
      <c r="T128" s="117">
        <v>2022</v>
      </c>
      <c r="U128" s="44">
        <v>2023</v>
      </c>
      <c r="V128" s="117">
        <v>2024</v>
      </c>
      <c r="W128" s="44">
        <v>2025</v>
      </c>
      <c r="X128" s="117">
        <v>2026</v>
      </c>
      <c r="Y128" s="44">
        <v>2027</v>
      </c>
      <c r="Z128" s="117">
        <v>2028</v>
      </c>
      <c r="AA128" s="44">
        <v>2029</v>
      </c>
      <c r="AB128" s="117">
        <v>2030</v>
      </c>
      <c r="AC128" s="44">
        <v>2031</v>
      </c>
    </row>
    <row r="129" spans="1:29" x14ac:dyDescent="0.2">
      <c r="C129" s="10"/>
      <c r="D129" s="11"/>
      <c r="E129" s="35"/>
      <c r="L129" s="506">
        <v>5</v>
      </c>
      <c r="M129" s="506">
        <v>5</v>
      </c>
      <c r="N129" s="506">
        <v>5</v>
      </c>
      <c r="O129" s="506">
        <v>5</v>
      </c>
      <c r="P129" s="506">
        <v>5</v>
      </c>
      <c r="Q129" s="506">
        <v>5</v>
      </c>
      <c r="R129" s="506">
        <v>5</v>
      </c>
      <c r="S129" s="506">
        <v>5</v>
      </c>
      <c r="T129" s="506">
        <v>5</v>
      </c>
      <c r="U129" s="506">
        <v>5</v>
      </c>
      <c r="V129" s="506">
        <v>5</v>
      </c>
      <c r="W129" s="506">
        <v>5</v>
      </c>
      <c r="X129" s="506">
        <v>5</v>
      </c>
      <c r="Y129" s="506">
        <v>5</v>
      </c>
      <c r="Z129" s="506">
        <v>5</v>
      </c>
      <c r="AA129" s="506">
        <v>5</v>
      </c>
      <c r="AB129" s="506">
        <v>5</v>
      </c>
      <c r="AC129" s="506">
        <v>5</v>
      </c>
    </row>
    <row r="130" spans="1:29" x14ac:dyDescent="0.2">
      <c r="C130" s="10"/>
      <c r="D130" s="11"/>
      <c r="E130" s="35"/>
      <c r="L130" s="507">
        <v>5</v>
      </c>
      <c r="M130" s="507">
        <v>5</v>
      </c>
      <c r="N130" s="507">
        <v>5</v>
      </c>
      <c r="O130" s="507">
        <v>5</v>
      </c>
      <c r="P130" s="507">
        <v>5</v>
      </c>
      <c r="Q130" s="507">
        <v>5</v>
      </c>
      <c r="R130" s="507">
        <v>5</v>
      </c>
      <c r="S130" s="507">
        <v>5</v>
      </c>
      <c r="T130" s="507">
        <v>5</v>
      </c>
      <c r="U130" s="507">
        <v>5</v>
      </c>
      <c r="V130" s="507">
        <v>5</v>
      </c>
      <c r="W130" s="507">
        <v>5</v>
      </c>
      <c r="X130" s="507">
        <v>5</v>
      </c>
      <c r="Y130" s="507">
        <v>5</v>
      </c>
      <c r="Z130" s="507">
        <v>5</v>
      </c>
      <c r="AA130" s="507">
        <v>5</v>
      </c>
      <c r="AB130" s="507">
        <v>5</v>
      </c>
      <c r="AC130" s="507">
        <v>5</v>
      </c>
    </row>
    <row r="131" spans="1:29" x14ac:dyDescent="0.2">
      <c r="C131" s="10"/>
      <c r="D131" s="13"/>
      <c r="E131" s="13"/>
      <c r="F131" s="13"/>
      <c r="G131" s="13"/>
      <c r="L131" s="507">
        <v>5</v>
      </c>
      <c r="M131" s="507">
        <v>5</v>
      </c>
      <c r="N131" s="507">
        <v>5</v>
      </c>
      <c r="O131" s="507">
        <v>5</v>
      </c>
      <c r="P131" s="507">
        <v>5</v>
      </c>
      <c r="Q131" s="507">
        <v>5</v>
      </c>
      <c r="R131" s="507">
        <v>5</v>
      </c>
      <c r="S131" s="507">
        <v>5</v>
      </c>
      <c r="T131" s="507">
        <v>5</v>
      </c>
      <c r="U131" s="507">
        <v>5</v>
      </c>
      <c r="V131" s="507">
        <v>5</v>
      </c>
      <c r="W131" s="507">
        <v>5</v>
      </c>
      <c r="X131" s="507">
        <v>5</v>
      </c>
      <c r="Y131" s="507">
        <v>5</v>
      </c>
      <c r="Z131" s="507">
        <v>5</v>
      </c>
      <c r="AA131" s="507">
        <v>5</v>
      </c>
      <c r="AB131" s="507">
        <v>5</v>
      </c>
      <c r="AC131" s="507">
        <v>5</v>
      </c>
    </row>
    <row r="132" spans="1:29" x14ac:dyDescent="0.2">
      <c r="B132" s="34"/>
      <c r="D132" s="10"/>
      <c r="F132" s="13"/>
      <c r="G132" s="13"/>
      <c r="L132" s="507">
        <v>8</v>
      </c>
      <c r="M132" s="507">
        <v>8</v>
      </c>
      <c r="N132" s="507">
        <v>8</v>
      </c>
      <c r="O132" s="507">
        <v>8</v>
      </c>
      <c r="P132" s="507">
        <v>8</v>
      </c>
      <c r="Q132" s="507">
        <v>8</v>
      </c>
      <c r="R132" s="507">
        <v>8</v>
      </c>
      <c r="S132" s="507">
        <v>8</v>
      </c>
      <c r="T132" s="507">
        <v>8</v>
      </c>
      <c r="U132" s="507">
        <v>8</v>
      </c>
      <c r="V132" s="507">
        <v>8</v>
      </c>
      <c r="W132" s="507">
        <v>8</v>
      </c>
      <c r="X132" s="507">
        <v>8</v>
      </c>
      <c r="Y132" s="507">
        <v>8</v>
      </c>
      <c r="Z132" s="507">
        <v>8</v>
      </c>
      <c r="AA132" s="507">
        <v>8</v>
      </c>
      <c r="AB132" s="507">
        <v>8</v>
      </c>
      <c r="AC132" s="507">
        <v>8</v>
      </c>
    </row>
    <row r="133" spans="1:29" x14ac:dyDescent="0.2">
      <c r="B133" s="25"/>
      <c r="G133" s="13"/>
      <c r="H133" s="13"/>
      <c r="K133" s="36"/>
      <c r="L133" s="507">
        <v>8</v>
      </c>
      <c r="M133" s="507">
        <v>8</v>
      </c>
      <c r="N133" s="507">
        <v>8</v>
      </c>
      <c r="O133" s="507">
        <v>8</v>
      </c>
      <c r="P133" s="507">
        <v>8</v>
      </c>
      <c r="Q133" s="507">
        <v>8</v>
      </c>
      <c r="R133" s="507">
        <v>8</v>
      </c>
      <c r="S133" s="507">
        <v>8</v>
      </c>
      <c r="T133" s="507">
        <v>8</v>
      </c>
      <c r="U133" s="507">
        <v>8</v>
      </c>
      <c r="V133" s="507">
        <v>8</v>
      </c>
      <c r="W133" s="507">
        <v>8</v>
      </c>
      <c r="X133" s="507">
        <v>8</v>
      </c>
      <c r="Y133" s="507">
        <v>8</v>
      </c>
      <c r="Z133" s="507">
        <v>8</v>
      </c>
      <c r="AA133" s="507">
        <v>8</v>
      </c>
      <c r="AB133" s="507">
        <v>8</v>
      </c>
      <c r="AC133" s="507">
        <v>8</v>
      </c>
    </row>
    <row r="134" spans="1:29" x14ac:dyDescent="0.2">
      <c r="C134" s="10"/>
      <c r="D134" s="11"/>
      <c r="E134" s="35"/>
      <c r="G134" s="13"/>
      <c r="H134" s="13"/>
      <c r="K134" s="36"/>
      <c r="L134" s="507">
        <v>5</v>
      </c>
      <c r="M134" s="507">
        <v>5</v>
      </c>
      <c r="N134" s="507">
        <v>5</v>
      </c>
      <c r="O134" s="507">
        <v>5</v>
      </c>
      <c r="P134" s="507">
        <v>5</v>
      </c>
      <c r="Q134" s="507">
        <v>5</v>
      </c>
      <c r="R134" s="507">
        <v>5</v>
      </c>
      <c r="S134" s="507">
        <v>5</v>
      </c>
      <c r="T134" s="507">
        <v>5</v>
      </c>
      <c r="U134" s="507">
        <v>5</v>
      </c>
      <c r="V134" s="507">
        <v>5</v>
      </c>
      <c r="W134" s="507">
        <v>5</v>
      </c>
      <c r="X134" s="507">
        <v>5</v>
      </c>
      <c r="Y134" s="507">
        <v>5</v>
      </c>
      <c r="Z134" s="507">
        <v>5</v>
      </c>
      <c r="AA134" s="507">
        <v>5</v>
      </c>
      <c r="AB134" s="507">
        <v>5</v>
      </c>
      <c r="AC134" s="507">
        <v>5</v>
      </c>
    </row>
    <row r="135" spans="1:29" ht="13.5" thickBot="1" x14ac:dyDescent="0.25">
      <c r="C135" s="10"/>
      <c r="D135" s="11"/>
      <c r="E135" s="35"/>
      <c r="G135" s="13"/>
      <c r="H135" s="13"/>
      <c r="K135" s="36"/>
      <c r="L135" s="509">
        <v>5</v>
      </c>
      <c r="M135" s="509">
        <v>5</v>
      </c>
      <c r="N135" s="509">
        <v>5</v>
      </c>
      <c r="O135" s="509">
        <v>5</v>
      </c>
      <c r="P135" s="509">
        <v>5</v>
      </c>
      <c r="Q135" s="509">
        <v>5</v>
      </c>
      <c r="R135" s="509">
        <v>5</v>
      </c>
      <c r="S135" s="509">
        <v>5</v>
      </c>
      <c r="T135" s="509">
        <v>5</v>
      </c>
      <c r="U135" s="509">
        <v>5</v>
      </c>
      <c r="V135" s="509">
        <v>5</v>
      </c>
      <c r="W135" s="509">
        <v>5</v>
      </c>
      <c r="X135" s="509">
        <v>5</v>
      </c>
      <c r="Y135" s="509">
        <v>5</v>
      </c>
      <c r="Z135" s="509">
        <v>5</v>
      </c>
      <c r="AA135" s="509">
        <v>5</v>
      </c>
      <c r="AB135" s="509">
        <v>5</v>
      </c>
      <c r="AC135" s="509">
        <v>5</v>
      </c>
    </row>
    <row r="136" spans="1:29" x14ac:dyDescent="0.2">
      <c r="C136" s="10"/>
      <c r="D136" s="11"/>
      <c r="E136" s="35"/>
      <c r="G136" s="13"/>
      <c r="H136" s="13"/>
      <c r="K136" s="36"/>
    </row>
    <row r="137" spans="1:29" x14ac:dyDescent="0.2">
      <c r="B137" s="34"/>
      <c r="C137" s="10"/>
      <c r="D137" s="11"/>
      <c r="E137" s="35"/>
      <c r="G137" s="13"/>
      <c r="H137" s="13"/>
      <c r="K137" s="36"/>
    </row>
    <row r="138" spans="1:29" x14ac:dyDescent="0.2">
      <c r="B138" s="25"/>
      <c r="C138" s="10"/>
      <c r="D138" s="11"/>
      <c r="E138" s="35"/>
      <c r="G138" s="13"/>
      <c r="H138" s="13"/>
      <c r="K138" s="36"/>
    </row>
    <row r="139" spans="1:29" x14ac:dyDescent="0.2">
      <c r="C139" s="10"/>
      <c r="D139" s="13"/>
      <c r="E139" s="13"/>
      <c r="F139" s="13"/>
      <c r="G139" s="13"/>
      <c r="H139" s="13"/>
      <c r="K139" s="36"/>
    </row>
    <row r="140" spans="1:29" x14ac:dyDescent="0.2">
      <c r="B140" s="24"/>
      <c r="C140" s="10"/>
      <c r="D140" s="13"/>
    </row>
    <row r="141" spans="1:29" x14ac:dyDescent="0.2">
      <c r="A141" s="1"/>
      <c r="B141" s="10"/>
      <c r="C141" s="13"/>
      <c r="D141" s="13"/>
    </row>
    <row r="142" spans="1:29" x14ac:dyDescent="0.2">
      <c r="B142" s="25"/>
      <c r="C142" s="11"/>
      <c r="D142" s="13"/>
      <c r="E142" s="37"/>
      <c r="H142" s="25"/>
      <c r="I142" s="38"/>
    </row>
    <row r="143" spans="1:29" x14ac:dyDescent="0.2">
      <c r="A143" s="1"/>
      <c r="B143" s="10"/>
      <c r="C143" s="13"/>
      <c r="D143" s="13"/>
    </row>
    <row r="144" spans="1:29" x14ac:dyDescent="0.2">
      <c r="B144" s="25"/>
      <c r="C144" s="11"/>
      <c r="D144" s="13"/>
      <c r="E144" s="13"/>
    </row>
    <row r="145" spans="1:10" x14ac:dyDescent="0.2">
      <c r="A145" s="1"/>
      <c r="C145" s="10"/>
      <c r="D145" s="13"/>
      <c r="E145" s="13"/>
      <c r="F145" s="13"/>
      <c r="G145" s="13"/>
      <c r="H145" s="13"/>
    </row>
    <row r="146" spans="1:10" x14ac:dyDescent="0.2">
      <c r="B146" s="25"/>
      <c r="C146" s="39"/>
      <c r="D146" s="40"/>
      <c r="E146" s="13"/>
      <c r="F146" s="13"/>
      <c r="G146" s="13"/>
      <c r="H146" s="13"/>
    </row>
    <row r="147" spans="1:10" x14ac:dyDescent="0.2">
      <c r="C147" s="10"/>
      <c r="D147" s="13"/>
      <c r="E147" s="13"/>
      <c r="F147" s="13"/>
      <c r="G147" s="13"/>
      <c r="H147" s="13"/>
    </row>
    <row r="148" spans="1:10" x14ac:dyDescent="0.2">
      <c r="B148" s="24"/>
      <c r="C148" s="10"/>
      <c r="D148" s="13"/>
      <c r="E148" s="13"/>
      <c r="F148" s="13"/>
      <c r="G148" s="13"/>
      <c r="H148" s="13"/>
    </row>
    <row r="149" spans="1:10" x14ac:dyDescent="0.2">
      <c r="B149" s="20"/>
      <c r="C149" s="10"/>
      <c r="D149" s="13"/>
      <c r="E149" s="13"/>
      <c r="F149" s="13"/>
      <c r="G149" s="13"/>
      <c r="H149" s="13"/>
    </row>
    <row r="150" spans="1:10" x14ac:dyDescent="0.2">
      <c r="C150" s="10"/>
      <c r="D150" s="1"/>
      <c r="E150" s="1"/>
      <c r="F150" s="1"/>
      <c r="G150" s="1"/>
      <c r="H150" s="1"/>
      <c r="I150" s="1"/>
      <c r="J150" s="1"/>
    </row>
    <row r="151" spans="1:10" x14ac:dyDescent="0.2">
      <c r="B151" s="25"/>
      <c r="C151" s="10"/>
      <c r="D151" s="13"/>
      <c r="E151" s="13"/>
      <c r="F151" s="13"/>
      <c r="G151" s="13"/>
      <c r="H151" s="13"/>
      <c r="I151" s="13"/>
      <c r="J151" s="13"/>
    </row>
    <row r="152" spans="1:10" x14ac:dyDescent="0.2">
      <c r="B152" s="1"/>
      <c r="C152" s="10"/>
      <c r="D152" s="13"/>
      <c r="E152" s="13"/>
      <c r="F152" s="13"/>
      <c r="G152" s="13"/>
      <c r="H152" s="13"/>
    </row>
    <row r="153" spans="1:10" x14ac:dyDescent="0.2">
      <c r="B153" s="1"/>
      <c r="C153" s="10"/>
      <c r="D153" s="13"/>
      <c r="E153" s="13"/>
      <c r="F153" s="13"/>
      <c r="G153" s="13"/>
      <c r="H153" s="13"/>
    </row>
    <row r="154" spans="1:10" x14ac:dyDescent="0.2">
      <c r="C154" s="10"/>
      <c r="D154" s="1"/>
      <c r="E154" s="1"/>
      <c r="F154" s="1"/>
      <c r="G154" s="1"/>
    </row>
    <row r="155" spans="1:10" x14ac:dyDescent="0.2">
      <c r="B155" s="25"/>
      <c r="C155" s="10"/>
      <c r="D155" s="13"/>
      <c r="E155" s="13"/>
      <c r="F155" s="13"/>
      <c r="G155" s="13"/>
    </row>
    <row r="156" spans="1:10" x14ac:dyDescent="0.2">
      <c r="C156" s="10"/>
      <c r="D156" s="13"/>
      <c r="E156" s="13"/>
      <c r="F156" s="13"/>
      <c r="G156" s="13"/>
      <c r="H156" s="13"/>
    </row>
    <row r="157" spans="1:10" x14ac:dyDescent="0.2">
      <c r="B157" s="1"/>
      <c r="C157" s="10"/>
      <c r="D157" s="13"/>
      <c r="E157" s="13"/>
      <c r="F157" s="13"/>
      <c r="G157" s="13"/>
      <c r="H157" s="13"/>
    </row>
    <row r="158" spans="1:10" x14ac:dyDescent="0.2">
      <c r="C158" s="10"/>
      <c r="D158" s="1"/>
      <c r="E158" s="1"/>
      <c r="F158" s="13"/>
      <c r="G158" s="13"/>
      <c r="H158" s="13"/>
    </row>
    <row r="159" spans="1:10" x14ac:dyDescent="0.2">
      <c r="B159" s="25"/>
      <c r="C159" s="10"/>
      <c r="D159" s="13"/>
      <c r="E159" s="13"/>
      <c r="F159" s="13"/>
      <c r="G159" s="13"/>
      <c r="H159" s="13"/>
    </row>
    <row r="160" spans="1:10" x14ac:dyDescent="0.2">
      <c r="C160" s="10"/>
      <c r="D160" s="13"/>
      <c r="E160" s="13"/>
      <c r="F160" s="13"/>
      <c r="G160" s="13"/>
      <c r="H160" s="13"/>
    </row>
    <row r="161" spans="2:12" x14ac:dyDescent="0.2">
      <c r="C161" s="10"/>
      <c r="D161" s="13"/>
      <c r="E161" s="13"/>
      <c r="F161" s="13"/>
      <c r="G161" s="13"/>
      <c r="H161" s="13"/>
    </row>
    <row r="162" spans="2:12" s="41" customFormat="1" x14ac:dyDescent="0.2">
      <c r="C162" s="42"/>
      <c r="D162" s="43"/>
      <c r="E162" s="43"/>
      <c r="F162" s="43"/>
      <c r="G162" s="43"/>
      <c r="H162" s="43"/>
      <c r="L162" s="5"/>
    </row>
    <row r="163" spans="2:12" x14ac:dyDescent="0.2">
      <c r="C163" s="10"/>
      <c r="D163" s="13"/>
      <c r="E163" s="13"/>
      <c r="F163" s="13"/>
      <c r="G163" s="13"/>
      <c r="H163" s="13"/>
    </row>
    <row r="164" spans="2:12" x14ac:dyDescent="0.2">
      <c r="B164" s="44"/>
      <c r="C164" s="44"/>
      <c r="D164" s="10"/>
      <c r="E164" s="13"/>
      <c r="F164" s="13"/>
      <c r="G164" s="13"/>
      <c r="H164" s="13"/>
    </row>
    <row r="165" spans="2:12" x14ac:dyDescent="0.2">
      <c r="B165" s="44"/>
      <c r="C165" s="44"/>
      <c r="D165" s="10"/>
      <c r="E165" s="13"/>
      <c r="F165" s="13"/>
      <c r="G165" s="13"/>
      <c r="H165" s="13"/>
    </row>
    <row r="166" spans="2:12" x14ac:dyDescent="0.2">
      <c r="B166" s="44"/>
      <c r="C166" s="44"/>
      <c r="D166" s="10"/>
      <c r="E166" s="13"/>
      <c r="F166" s="13"/>
      <c r="G166" s="13"/>
      <c r="H166" s="13"/>
    </row>
    <row r="167" spans="2:12" x14ac:dyDescent="0.2">
      <c r="B167" s="45"/>
      <c r="C167" s="45"/>
      <c r="D167" s="46"/>
      <c r="E167" s="47"/>
      <c r="F167" s="47"/>
      <c r="G167" s="47"/>
      <c r="H167" s="13"/>
    </row>
    <row r="168" spans="2:12" x14ac:dyDescent="0.2">
      <c r="B168" s="45"/>
      <c r="C168" s="46"/>
      <c r="D168" s="46"/>
      <c r="E168" s="46"/>
      <c r="F168" s="46"/>
      <c r="G168" s="46"/>
      <c r="H168" s="46"/>
    </row>
    <row r="169" spans="2:12" x14ac:dyDescent="0.2">
      <c r="B169" s="48"/>
      <c r="C169" s="49"/>
      <c r="D169" s="50"/>
      <c r="E169" s="50"/>
      <c r="F169" s="50"/>
      <c r="G169" s="51"/>
      <c r="H169" s="51"/>
    </row>
    <row r="170" spans="2:12" x14ac:dyDescent="0.2">
      <c r="B170" s="48"/>
      <c r="C170" s="52"/>
      <c r="D170" s="53"/>
      <c r="E170" s="53"/>
      <c r="F170" s="53"/>
      <c r="G170" s="54"/>
      <c r="H170" s="54"/>
    </row>
    <row r="171" spans="2:12" x14ac:dyDescent="0.2">
      <c r="B171" s="48"/>
      <c r="C171" s="52"/>
      <c r="D171" s="53"/>
      <c r="E171" s="53"/>
      <c r="F171" s="53"/>
      <c r="G171" s="54"/>
      <c r="H171" s="54"/>
    </row>
    <row r="172" spans="2:12" x14ac:dyDescent="0.2">
      <c r="B172" s="48"/>
      <c r="C172" s="55"/>
      <c r="D172" s="56"/>
      <c r="E172" s="56"/>
      <c r="F172" s="56"/>
      <c r="G172" s="57"/>
      <c r="H172" s="57"/>
    </row>
    <row r="173" spans="2:12" x14ac:dyDescent="0.2">
      <c r="B173" s="48"/>
      <c r="C173" s="53"/>
      <c r="D173" s="53"/>
      <c r="E173" s="53"/>
      <c r="F173" s="53"/>
      <c r="G173" s="53"/>
      <c r="H173" s="13"/>
    </row>
    <row r="174" spans="2:12" x14ac:dyDescent="0.2">
      <c r="B174" s="47"/>
      <c r="C174" s="47"/>
      <c r="D174" s="47"/>
      <c r="E174" s="47"/>
      <c r="F174" s="47"/>
      <c r="G174" s="47"/>
      <c r="H174" s="13"/>
    </row>
    <row r="175" spans="2:12" x14ac:dyDescent="0.2">
      <c r="B175" s="47"/>
      <c r="C175" s="47"/>
      <c r="D175" s="46"/>
      <c r="E175" s="46"/>
      <c r="F175" s="58"/>
      <c r="G175" s="47"/>
      <c r="H175" s="13"/>
    </row>
    <row r="176" spans="2:12" x14ac:dyDescent="0.2">
      <c r="B176" s="45"/>
      <c r="C176" s="46"/>
      <c r="D176" s="46"/>
      <c r="E176" s="46"/>
      <c r="F176" s="46"/>
      <c r="G176" s="46"/>
      <c r="H176" s="13"/>
    </row>
    <row r="177" spans="2:8" x14ac:dyDescent="0.2">
      <c r="B177" s="59"/>
      <c r="H177" s="13"/>
    </row>
    <row r="178" spans="2:8" x14ac:dyDescent="0.2">
      <c r="B178" s="59"/>
      <c r="C178" s="60"/>
      <c r="D178" s="61"/>
      <c r="E178" s="61"/>
      <c r="F178" s="61"/>
      <c r="G178" s="62"/>
      <c r="H178" s="13"/>
    </row>
    <row r="179" spans="2:8" x14ac:dyDescent="0.2">
      <c r="B179" s="59"/>
      <c r="C179" s="63"/>
      <c r="D179" s="63"/>
      <c r="E179" s="63"/>
      <c r="F179" s="63"/>
      <c r="G179" s="63"/>
      <c r="H179" s="13"/>
    </row>
    <row r="180" spans="2:8" x14ac:dyDescent="0.2">
      <c r="B180" s="59"/>
      <c r="C180" s="64"/>
      <c r="D180" s="64"/>
      <c r="E180" s="64"/>
      <c r="F180" s="64"/>
      <c r="G180" s="64"/>
      <c r="H180" s="13"/>
    </row>
    <row r="181" spans="2:8" x14ac:dyDescent="0.2">
      <c r="B181" s="59"/>
      <c r="C181" s="65"/>
      <c r="D181" s="65"/>
      <c r="E181" s="65"/>
      <c r="F181" s="65"/>
      <c r="G181" s="65"/>
      <c r="H181" s="13"/>
    </row>
    <row r="182" spans="2:8" x14ac:dyDescent="0.2">
      <c r="B182" s="45"/>
      <c r="C182" s="58"/>
      <c r="D182" s="45"/>
      <c r="E182" s="45"/>
      <c r="F182" s="47"/>
      <c r="G182" s="47"/>
      <c r="H182" s="13"/>
    </row>
    <row r="183" spans="2:8" x14ac:dyDescent="0.2">
      <c r="B183" s="45"/>
      <c r="C183" s="58"/>
      <c r="D183" s="45"/>
      <c r="E183" s="45"/>
      <c r="F183" s="47"/>
      <c r="G183" s="47"/>
      <c r="H183" s="13"/>
    </row>
    <row r="184" spans="2:8" x14ac:dyDescent="0.2">
      <c r="B184" s="45"/>
      <c r="C184" s="58"/>
      <c r="D184" s="45"/>
      <c r="E184" s="45"/>
      <c r="F184" s="47"/>
      <c r="G184" s="47"/>
      <c r="H184" s="13"/>
    </row>
    <row r="185" spans="2:8" x14ac:dyDescent="0.2">
      <c r="B185" s="45"/>
      <c r="C185" s="45"/>
      <c r="D185" s="44"/>
      <c r="E185" s="44"/>
      <c r="F185" s="45"/>
      <c r="G185" s="45"/>
    </row>
    <row r="186" spans="2:8" x14ac:dyDescent="0.2">
      <c r="C186" s="44"/>
      <c r="D186" s="44"/>
      <c r="E186" s="44"/>
      <c r="F186" s="44"/>
      <c r="G186" s="44"/>
    </row>
    <row r="187" spans="2:8" x14ac:dyDescent="0.2">
      <c r="B187" s="45"/>
      <c r="C187" s="66"/>
      <c r="D187" s="67"/>
      <c r="E187" s="67"/>
      <c r="F187" s="67"/>
      <c r="G187" s="68"/>
    </row>
    <row r="188" spans="2:8" x14ac:dyDescent="0.2">
      <c r="B188" s="45"/>
      <c r="C188" s="69"/>
      <c r="D188" s="70"/>
      <c r="E188" s="70"/>
      <c r="F188" s="70"/>
      <c r="G188" s="71"/>
    </row>
    <row r="189" spans="2:8" x14ac:dyDescent="0.2">
      <c r="B189" s="45"/>
      <c r="C189" s="72"/>
      <c r="D189" s="73"/>
      <c r="E189" s="73"/>
      <c r="F189" s="73"/>
      <c r="G189" s="74"/>
    </row>
    <row r="190" spans="2:8" x14ac:dyDescent="0.2">
      <c r="B190" s="45"/>
      <c r="C190" s="58"/>
      <c r="D190" s="58"/>
      <c r="E190" s="58"/>
      <c r="F190" s="58"/>
      <c r="G190" s="58"/>
    </row>
    <row r="191" spans="2:8" x14ac:dyDescent="0.2">
      <c r="B191" s="45"/>
      <c r="C191" s="58"/>
      <c r="D191" s="58"/>
      <c r="E191" s="58"/>
      <c r="F191" s="58"/>
      <c r="G191" s="58"/>
    </row>
    <row r="192" spans="2:8" x14ac:dyDescent="0.2">
      <c r="B192" s="45"/>
      <c r="C192" s="58"/>
      <c r="D192" s="58"/>
      <c r="E192" s="58"/>
      <c r="F192" s="58"/>
      <c r="G192" s="58"/>
    </row>
    <row r="193" spans="2:7" x14ac:dyDescent="0.2">
      <c r="B193" s="75"/>
      <c r="C193" s="5"/>
      <c r="D193" s="76"/>
      <c r="E193" s="76"/>
      <c r="F193" s="76"/>
      <c r="G193" s="58"/>
    </row>
    <row r="194" spans="2:7" x14ac:dyDescent="0.2">
      <c r="B194" s="75"/>
      <c r="C194" s="77"/>
      <c r="D194" s="76"/>
      <c r="E194" s="76"/>
      <c r="F194" s="76"/>
      <c r="G194" s="58"/>
    </row>
    <row r="195" spans="2:7" x14ac:dyDescent="0.2">
      <c r="B195" s="75"/>
      <c r="C195" s="77"/>
      <c r="D195" s="76"/>
      <c r="E195" s="76"/>
      <c r="F195" s="76"/>
      <c r="G195" s="58"/>
    </row>
    <row r="196" spans="2:7" x14ac:dyDescent="0.2">
      <c r="B196" s="75"/>
      <c r="C196" s="77"/>
      <c r="D196" s="76"/>
      <c r="E196" s="76"/>
      <c r="F196" s="76"/>
      <c r="G196" s="58"/>
    </row>
    <row r="197" spans="2:7" ht="13.5" thickBot="1" x14ac:dyDescent="0.25">
      <c r="B197" s="45"/>
      <c r="C197" s="58"/>
      <c r="D197" s="58"/>
      <c r="E197" s="58"/>
      <c r="F197" s="58"/>
      <c r="G197" s="58"/>
    </row>
    <row r="198" spans="2:7" x14ac:dyDescent="0.2">
      <c r="B198" s="78"/>
      <c r="C198" s="58"/>
      <c r="D198" s="79"/>
      <c r="E198" s="58"/>
      <c r="F198" s="58"/>
      <c r="G198" s="58"/>
    </row>
    <row r="199" spans="2:7" ht="13.5" thickBot="1" x14ac:dyDescent="0.25">
      <c r="B199" s="80"/>
      <c r="C199" s="58"/>
      <c r="D199" s="58"/>
      <c r="E199" s="58"/>
      <c r="F199" s="58"/>
      <c r="G199" s="58"/>
    </row>
    <row r="200" spans="2:7" x14ac:dyDescent="0.2">
      <c r="B200" s="45"/>
      <c r="C200" s="58"/>
      <c r="D200" s="58"/>
      <c r="E200" s="58"/>
      <c r="F200" s="58"/>
      <c r="G200" s="58"/>
    </row>
    <row r="201" spans="2:7" x14ac:dyDescent="0.2">
      <c r="B201" s="45"/>
      <c r="C201" s="58"/>
      <c r="D201" s="58"/>
      <c r="E201" s="58"/>
      <c r="F201" s="58"/>
      <c r="G201" s="58"/>
    </row>
    <row r="202" spans="2:7" x14ac:dyDescent="0.2">
      <c r="B202" s="45"/>
      <c r="C202" s="58"/>
      <c r="D202" s="58"/>
      <c r="E202" s="58"/>
      <c r="F202" s="58"/>
      <c r="G202" s="58"/>
    </row>
    <row r="203" spans="2:7" x14ac:dyDescent="0.2">
      <c r="B203" s="45"/>
      <c r="C203" s="58"/>
      <c r="D203" s="58"/>
      <c r="E203" s="58"/>
      <c r="F203" s="58"/>
      <c r="G203" s="58"/>
    </row>
    <row r="204" spans="2:7" x14ac:dyDescent="0.2">
      <c r="B204" s="45"/>
      <c r="C204" s="58"/>
      <c r="D204" s="58"/>
      <c r="E204" s="58"/>
      <c r="F204" s="58"/>
      <c r="G204" s="58"/>
    </row>
    <row r="205" spans="2:7" x14ac:dyDescent="0.2">
      <c r="D205" s="44"/>
      <c r="E205" s="81"/>
      <c r="F205" s="81"/>
    </row>
    <row r="206" spans="2:7" x14ac:dyDescent="0.2">
      <c r="B206" s="1"/>
      <c r="C206" s="82"/>
      <c r="D206" s="82"/>
      <c r="E206" s="82"/>
      <c r="F206" s="82"/>
      <c r="G206" s="82"/>
    </row>
    <row r="207" spans="2:7" x14ac:dyDescent="0.2">
      <c r="B207" s="1"/>
      <c r="C207" s="14"/>
      <c r="D207" s="14"/>
      <c r="E207" s="14"/>
      <c r="F207" s="14"/>
      <c r="G207" s="14"/>
    </row>
    <row r="208" spans="2:7" x14ac:dyDescent="0.2">
      <c r="B208" s="44"/>
      <c r="C208" s="83"/>
      <c r="D208" s="84"/>
      <c r="E208" s="84"/>
      <c r="F208" s="84"/>
      <c r="G208" s="85"/>
    </row>
    <row r="209" spans="2:7" x14ac:dyDescent="0.2">
      <c r="B209" s="1"/>
      <c r="C209" s="86"/>
      <c r="D209" s="87"/>
      <c r="E209" s="87"/>
      <c r="F209" s="88"/>
      <c r="G209" s="71"/>
    </row>
    <row r="210" spans="2:7" x14ac:dyDescent="0.2">
      <c r="B210" s="1"/>
      <c r="C210" s="89"/>
      <c r="D210" s="87"/>
      <c r="E210" s="87"/>
      <c r="F210" s="87"/>
      <c r="G210" s="71"/>
    </row>
    <row r="211" spans="2:7" x14ac:dyDescent="0.2">
      <c r="B211" s="1"/>
      <c r="C211" s="90"/>
      <c r="D211" s="91"/>
      <c r="E211" s="91"/>
      <c r="F211" s="91"/>
      <c r="G211" s="92"/>
    </row>
    <row r="212" spans="2:7" x14ac:dyDescent="0.2">
      <c r="B212" s="1"/>
      <c r="C212" s="87"/>
      <c r="D212" s="93"/>
      <c r="E212" s="93"/>
      <c r="F212" s="93"/>
      <c r="G212" s="70"/>
    </row>
    <row r="213" spans="2:7" x14ac:dyDescent="0.2">
      <c r="B213" s="1"/>
      <c r="C213" s="87"/>
      <c r="D213" s="87"/>
      <c r="E213" s="87"/>
      <c r="F213" s="87"/>
      <c r="G213" s="70"/>
    </row>
    <row r="214" spans="2:7" x14ac:dyDescent="0.2">
      <c r="B214" s="1"/>
      <c r="C214" s="94"/>
      <c r="D214" s="94"/>
      <c r="E214" s="94"/>
      <c r="F214" s="94"/>
      <c r="G214" s="95"/>
    </row>
    <row r="215" spans="2:7" x14ac:dyDescent="0.2">
      <c r="B215" s="1"/>
      <c r="C215" s="94"/>
      <c r="D215" s="94"/>
      <c r="E215" s="94"/>
      <c r="F215" s="94"/>
      <c r="G215" s="95"/>
    </row>
    <row r="216" spans="2:7" x14ac:dyDescent="0.2">
      <c r="B216" s="1"/>
      <c r="C216" s="95"/>
      <c r="D216" s="95"/>
      <c r="E216" s="95"/>
      <c r="F216" s="95"/>
      <c r="G216" s="95"/>
    </row>
    <row r="217" spans="2:7" x14ac:dyDescent="0.2">
      <c r="B217" s="1"/>
      <c r="C217"/>
      <c r="D217" s="96"/>
      <c r="E217" s="96"/>
      <c r="F217" s="97"/>
    </row>
    <row r="218" spans="2:7" x14ac:dyDescent="0.2">
      <c r="D218" s="44"/>
      <c r="E218" s="20"/>
    </row>
    <row r="219" spans="2:7" x14ac:dyDescent="0.2">
      <c r="C219" s="44"/>
      <c r="D219" s="44"/>
      <c r="E219" s="44"/>
      <c r="F219" s="44"/>
      <c r="G219" s="44"/>
    </row>
    <row r="220" spans="2:7" x14ac:dyDescent="0.2">
      <c r="B220" s="98"/>
      <c r="C220" s="99"/>
      <c r="D220" s="100"/>
      <c r="E220" s="100"/>
      <c r="F220" s="100"/>
      <c r="G220" s="101"/>
    </row>
    <row r="221" spans="2:7" x14ac:dyDescent="0.2">
      <c r="B221" s="98"/>
      <c r="C221" s="102"/>
      <c r="D221" s="103"/>
      <c r="E221" s="103"/>
      <c r="F221" s="103"/>
      <c r="G221" s="103"/>
    </row>
    <row r="222" spans="2:7" x14ac:dyDescent="0.2">
      <c r="B222" s="98"/>
      <c r="C222" s="102"/>
      <c r="D222" s="103"/>
      <c r="E222" s="103"/>
      <c r="F222" s="103"/>
      <c r="G222" s="103"/>
    </row>
    <row r="224" spans="2:7" x14ac:dyDescent="0.2">
      <c r="B224" s="44"/>
      <c r="C224" s="44"/>
    </row>
    <row r="226" spans="2:7" x14ac:dyDescent="0.2">
      <c r="B226" s="1"/>
      <c r="C226" s="44"/>
      <c r="D226" s="44"/>
      <c r="E226" s="44"/>
      <c r="F226" s="44"/>
      <c r="G226" s="44"/>
    </row>
    <row r="227" spans="2:7" x14ac:dyDescent="0.2">
      <c r="B227" s="1"/>
      <c r="C227" s="104"/>
      <c r="D227" s="105"/>
      <c r="E227" s="105"/>
      <c r="F227" s="105"/>
      <c r="G227" s="106"/>
    </row>
    <row r="228" spans="2:7" x14ac:dyDescent="0.2">
      <c r="B228" s="1"/>
      <c r="C228" s="107"/>
      <c r="D228" s="103"/>
      <c r="E228" s="103"/>
      <c r="F228" s="103"/>
      <c r="G228" s="108"/>
    </row>
    <row r="229" spans="2:7" x14ac:dyDescent="0.2">
      <c r="B229" s="1"/>
      <c r="C229" s="107"/>
      <c r="D229" s="103"/>
      <c r="E229" s="103"/>
      <c r="F229" s="103"/>
      <c r="G229" s="108"/>
    </row>
    <row r="230" spans="2:7" x14ac:dyDescent="0.2">
      <c r="B230" s="1"/>
      <c r="C230" s="107"/>
      <c r="D230" s="103"/>
      <c r="E230" s="103"/>
      <c r="F230" s="103"/>
      <c r="G230" s="108"/>
    </row>
    <row r="231" spans="2:7" x14ac:dyDescent="0.2">
      <c r="B231" s="1"/>
      <c r="C231" s="109"/>
      <c r="D231" s="110"/>
      <c r="E231" s="110"/>
      <c r="F231" s="110"/>
      <c r="G231" s="111"/>
    </row>
    <row r="232" spans="2:7" x14ac:dyDescent="0.2">
      <c r="C232" s="29"/>
      <c r="D232" s="29"/>
      <c r="E232" s="29"/>
      <c r="F232" s="29"/>
      <c r="G232" s="29"/>
    </row>
    <row r="233" spans="2:7" x14ac:dyDescent="0.2">
      <c r="C233" s="29"/>
      <c r="D233" s="29"/>
      <c r="E233" s="29"/>
      <c r="F233" s="29"/>
      <c r="G233" s="29"/>
    </row>
    <row r="235" spans="2:7" x14ac:dyDescent="0.2">
      <c r="D235" s="44"/>
    </row>
    <row r="236" spans="2:7" x14ac:dyDescent="0.2">
      <c r="C236" s="44"/>
      <c r="D236" s="44"/>
      <c r="E236" s="44"/>
      <c r="F236" s="44"/>
      <c r="G236" s="44"/>
    </row>
    <row r="237" spans="2:7" x14ac:dyDescent="0.2">
      <c r="B237" s="112"/>
      <c r="C237" s="5"/>
      <c r="D237" s="5"/>
      <c r="E237" s="5"/>
      <c r="F237" s="5"/>
      <c r="G237" s="5"/>
    </row>
    <row r="238" spans="2:7" x14ac:dyDescent="0.2">
      <c r="B238" s="5"/>
      <c r="C238" s="113"/>
      <c r="D238" s="113"/>
      <c r="E238" s="113"/>
      <c r="F238" s="113"/>
      <c r="G238" s="114"/>
    </row>
    <row r="239" spans="2:7" x14ac:dyDescent="0.2">
      <c r="B239" s="112"/>
      <c r="C239" s="5"/>
      <c r="D239" s="5"/>
      <c r="E239" s="5"/>
      <c r="F239" s="5"/>
      <c r="G239" s="5"/>
    </row>
    <row r="240" spans="2:7" x14ac:dyDescent="0.2">
      <c r="B240" s="5"/>
      <c r="C240" s="115"/>
      <c r="D240" s="115"/>
      <c r="E240" s="115"/>
      <c r="F240" s="115"/>
      <c r="G240" s="115"/>
    </row>
    <row r="243" spans="2:7" x14ac:dyDescent="0.2">
      <c r="B243" s="44"/>
      <c r="C243" s="44"/>
    </row>
    <row r="245" spans="2:7" x14ac:dyDescent="0.2">
      <c r="B245" s="1"/>
      <c r="C245" s="44"/>
      <c r="D245" s="44"/>
      <c r="E245" s="44"/>
      <c r="F245" s="44"/>
      <c r="G245" s="44"/>
    </row>
    <row r="246" spans="2:7" x14ac:dyDescent="0.2">
      <c r="B246" s="1"/>
      <c r="C246" s="104"/>
      <c r="D246" s="105"/>
      <c r="E246" s="105"/>
      <c r="F246" s="105"/>
      <c r="G246" s="106"/>
    </row>
    <row r="247" spans="2:7" x14ac:dyDescent="0.2">
      <c r="B247" s="1"/>
      <c r="C247" s="107"/>
      <c r="D247" s="103"/>
      <c r="E247" s="103"/>
      <c r="F247" s="103"/>
      <c r="G247" s="108"/>
    </row>
    <row r="248" spans="2:7" x14ac:dyDescent="0.2">
      <c r="B248" s="1"/>
      <c r="C248" s="107"/>
      <c r="D248" s="103"/>
      <c r="E248" s="103"/>
      <c r="F248" s="103"/>
      <c r="G248" s="108"/>
    </row>
    <row r="249" spans="2:7" x14ac:dyDescent="0.2">
      <c r="B249" s="1"/>
      <c r="C249" s="107"/>
      <c r="D249" s="103"/>
      <c r="E249" s="103"/>
      <c r="F249" s="103"/>
      <c r="G249" s="108"/>
    </row>
    <row r="250" spans="2:7" x14ac:dyDescent="0.2">
      <c r="B250" s="1"/>
      <c r="C250" s="109"/>
      <c r="D250" s="110"/>
      <c r="E250" s="110"/>
      <c r="F250" s="110"/>
      <c r="G250" s="111"/>
    </row>
    <row r="254" spans="2:7" x14ac:dyDescent="0.2">
      <c r="B254" s="44"/>
      <c r="C254" s="44"/>
    </row>
    <row r="255" spans="2:7" x14ac:dyDescent="0.2">
      <c r="B255" s="1"/>
      <c r="C255" s="1"/>
    </row>
    <row r="256" spans="2:7" x14ac:dyDescent="0.2">
      <c r="B256" s="116"/>
      <c r="C256" s="14"/>
      <c r="D256" s="117"/>
      <c r="E256" s="117"/>
      <c r="F256" s="117"/>
      <c r="G256" s="117"/>
    </row>
    <row r="257" spans="2:11" x14ac:dyDescent="0.2">
      <c r="B257" s="1"/>
      <c r="C257" s="118"/>
      <c r="D257" s="119"/>
      <c r="E257" s="119"/>
      <c r="F257" s="120"/>
      <c r="G257" s="121"/>
    </row>
    <row r="258" spans="2:11" x14ac:dyDescent="0.2">
      <c r="B258" s="1"/>
      <c r="C258" s="122"/>
      <c r="D258" s="123"/>
      <c r="E258" s="123"/>
      <c r="F258" s="124"/>
      <c r="G258" s="125"/>
    </row>
    <row r="259" spans="2:11" x14ac:dyDescent="0.2">
      <c r="B259" s="1"/>
      <c r="C259" s="122"/>
      <c r="D259" s="123"/>
      <c r="E259" s="123"/>
      <c r="F259" s="124"/>
      <c r="G259" s="125"/>
    </row>
    <row r="260" spans="2:11" x14ac:dyDescent="0.2">
      <c r="B260" s="1"/>
      <c r="C260" s="122"/>
      <c r="D260" s="123"/>
      <c r="E260" s="123"/>
      <c r="F260" s="124"/>
      <c r="G260" s="125"/>
    </row>
    <row r="261" spans="2:11" x14ac:dyDescent="0.2">
      <c r="B261" s="1"/>
      <c r="C261" s="126"/>
      <c r="D261" s="127"/>
      <c r="E261" s="127"/>
      <c r="F261" s="128"/>
      <c r="G261" s="129"/>
    </row>
    <row r="262" spans="2:11" x14ac:dyDescent="0.2">
      <c r="C262" s="29"/>
      <c r="D262" s="29"/>
      <c r="E262" s="29"/>
      <c r="F262" s="29"/>
      <c r="G262" s="29"/>
    </row>
    <row r="263" spans="2:11" x14ac:dyDescent="0.2">
      <c r="C263" s="29"/>
      <c r="D263" s="29"/>
      <c r="E263" s="29"/>
      <c r="F263" s="29"/>
      <c r="G263" s="29"/>
    </row>
    <row r="265" spans="2:11" x14ac:dyDescent="0.2">
      <c r="I265" s="130"/>
      <c r="J265" s="44"/>
    </row>
    <row r="266" spans="2:11" x14ac:dyDescent="0.2">
      <c r="B266" s="1"/>
      <c r="C266" s="14"/>
      <c r="D266" s="117"/>
      <c r="E266" s="117"/>
      <c r="F266" s="117"/>
      <c r="G266" s="117"/>
      <c r="H266" s="44"/>
      <c r="I266" s="44"/>
      <c r="J266" s="44"/>
      <c r="K266" s="44"/>
    </row>
    <row r="267" spans="2:11" x14ac:dyDescent="0.2">
      <c r="B267" s="1"/>
      <c r="C267" s="131"/>
      <c r="D267" s="67"/>
      <c r="E267" s="67"/>
      <c r="F267" s="67"/>
      <c r="G267" s="68"/>
      <c r="I267" s="132"/>
      <c r="J267" s="133"/>
      <c r="K267" s="134"/>
    </row>
    <row r="268" spans="2:11" x14ac:dyDescent="0.2">
      <c r="B268" s="1"/>
      <c r="C268" s="135"/>
      <c r="D268" s="135"/>
      <c r="E268" s="135"/>
      <c r="F268" s="135"/>
      <c r="G268" s="136"/>
      <c r="I268" s="137"/>
      <c r="J268" s="15"/>
      <c r="K268" s="16"/>
    </row>
    <row r="269" spans="2:11" x14ac:dyDescent="0.2">
      <c r="B269" s="1"/>
      <c r="C269" s="138"/>
      <c r="D269" s="64"/>
      <c r="E269" s="64"/>
      <c r="F269" s="64"/>
      <c r="G269" s="139"/>
      <c r="H269" s="1"/>
      <c r="I269" s="137"/>
      <c r="J269" s="15"/>
      <c r="K269" s="16"/>
    </row>
    <row r="270" spans="2:11" x14ac:dyDescent="0.2">
      <c r="B270" s="1"/>
      <c r="C270" s="138"/>
      <c r="D270" s="64"/>
      <c r="E270" s="64"/>
      <c r="F270" s="64"/>
      <c r="G270" s="139"/>
      <c r="I270" s="137"/>
      <c r="J270" s="15"/>
      <c r="K270" s="16"/>
    </row>
    <row r="271" spans="2:11" x14ac:dyDescent="0.2">
      <c r="B271" s="1"/>
      <c r="C271" s="140"/>
      <c r="D271" s="141"/>
      <c r="E271" s="141"/>
      <c r="F271" s="141"/>
      <c r="G271" s="142"/>
      <c r="H271" s="1"/>
      <c r="I271" s="143"/>
      <c r="J271" s="18"/>
      <c r="K271" s="19"/>
    </row>
    <row r="272" spans="2:11" x14ac:dyDescent="0.2">
      <c r="B272" s="1"/>
      <c r="C272" s="64"/>
      <c r="D272" s="64"/>
      <c r="E272" s="64"/>
      <c r="F272" s="64"/>
      <c r="G272" s="64"/>
      <c r="H272" s="1"/>
    </row>
    <row r="273" spans="2:8" x14ac:dyDescent="0.2">
      <c r="B273" s="144"/>
      <c r="C273" s="70"/>
      <c r="D273" s="70"/>
      <c r="E273" s="70"/>
      <c r="F273" s="70"/>
      <c r="G273" s="70"/>
      <c r="H273" s="1"/>
    </row>
    <row r="274" spans="2:8" x14ac:dyDescent="0.2">
      <c r="B274"/>
    </row>
    <row r="275" spans="2:8" x14ac:dyDescent="0.2">
      <c r="B275"/>
      <c r="C275" s="145"/>
      <c r="D275" s="145"/>
      <c r="E275" s="145"/>
      <c r="F275" s="145"/>
      <c r="G275" s="145"/>
    </row>
    <row r="276" spans="2:8" x14ac:dyDescent="0.2">
      <c r="B276"/>
      <c r="C276" s="145"/>
      <c r="D276" s="145"/>
      <c r="E276" s="145"/>
      <c r="F276" s="145"/>
      <c r="G276" s="145"/>
    </row>
    <row r="277" spans="2:8" x14ac:dyDescent="0.2">
      <c r="B277"/>
      <c r="C277" s="145"/>
      <c r="D277" s="145"/>
      <c r="E277" s="145"/>
      <c r="F277" s="145"/>
      <c r="G277" s="145"/>
    </row>
    <row r="278" spans="2:8" x14ac:dyDescent="0.2">
      <c r="B278"/>
      <c r="C278" s="145"/>
      <c r="D278" s="145"/>
      <c r="E278" s="145"/>
      <c r="F278" s="145"/>
      <c r="G278" s="145"/>
    </row>
    <row r="279" spans="2:8" x14ac:dyDescent="0.2">
      <c r="B279"/>
      <c r="C279" s="145"/>
      <c r="D279" s="145"/>
      <c r="E279" s="145"/>
      <c r="F279" s="145"/>
      <c r="G279" s="145"/>
    </row>
    <row r="280" spans="2:8" x14ac:dyDescent="0.2">
      <c r="B280"/>
    </row>
    <row r="282" spans="2:8" x14ac:dyDescent="0.2">
      <c r="B282" s="1"/>
      <c r="C282" s="44"/>
      <c r="D282" s="44"/>
      <c r="E282" s="44"/>
      <c r="F282" s="44"/>
      <c r="G282" s="44"/>
    </row>
    <row r="283" spans="2:8" x14ac:dyDescent="0.2">
      <c r="C283" s="146"/>
      <c r="D283" s="146"/>
      <c r="E283" s="146"/>
      <c r="F283" s="146"/>
      <c r="G283" s="146"/>
    </row>
    <row r="285" spans="2:8" x14ac:dyDescent="0.2">
      <c r="B285" s="1"/>
      <c r="C285" s="44"/>
      <c r="D285" s="44"/>
      <c r="E285" s="44"/>
      <c r="F285" s="44"/>
      <c r="G285" s="44"/>
    </row>
    <row r="286" spans="2:8" x14ac:dyDescent="0.2">
      <c r="C286" s="146"/>
      <c r="D286" s="146"/>
      <c r="E286" s="146"/>
      <c r="F286" s="146"/>
      <c r="G286" s="146"/>
    </row>
    <row r="289" spans="2:7" x14ac:dyDescent="0.2">
      <c r="B289" s="44"/>
      <c r="C289" s="44"/>
    </row>
    <row r="290" spans="2:7" x14ac:dyDescent="0.2">
      <c r="B290" s="44"/>
      <c r="C290" s="44"/>
    </row>
    <row r="291" spans="2:7" x14ac:dyDescent="0.2">
      <c r="B291" s="44"/>
    </row>
    <row r="292" spans="2:7" x14ac:dyDescent="0.2">
      <c r="B292" s="44"/>
      <c r="C292" s="44"/>
      <c r="D292" s="44"/>
      <c r="E292" s="44"/>
      <c r="F292" s="44"/>
      <c r="G292" s="44"/>
    </row>
    <row r="293" spans="2:7" x14ac:dyDescent="0.2">
      <c r="B293" s="147"/>
      <c r="C293" s="147"/>
      <c r="D293" s="147"/>
      <c r="E293" s="147"/>
      <c r="F293" s="148"/>
    </row>
    <row r="294" spans="2:7" x14ac:dyDescent="0.2">
      <c r="B294" s="1"/>
      <c r="C294" s="104"/>
      <c r="D294" s="105"/>
      <c r="E294" s="105"/>
      <c r="F294" s="105"/>
      <c r="G294" s="106"/>
    </row>
    <row r="295" spans="2:7" x14ac:dyDescent="0.2">
      <c r="B295" s="1"/>
      <c r="C295" s="107"/>
      <c r="D295" s="103"/>
      <c r="E295" s="103"/>
      <c r="F295" s="103"/>
      <c r="G295" s="108"/>
    </row>
    <row r="296" spans="2:7" x14ac:dyDescent="0.2">
      <c r="B296" s="1"/>
      <c r="C296" s="107"/>
      <c r="D296" s="103"/>
      <c r="E296" s="103"/>
      <c r="F296" s="103"/>
      <c r="G296" s="108"/>
    </row>
    <row r="297" spans="2:7" x14ac:dyDescent="0.2">
      <c r="B297" s="44"/>
      <c r="C297" s="109"/>
      <c r="D297" s="110"/>
      <c r="E297" s="110"/>
      <c r="F297" s="110"/>
      <c r="G297" s="110"/>
    </row>
    <row r="298" spans="2:7" x14ac:dyDescent="0.2">
      <c r="C298" s="146"/>
      <c r="D298" s="146"/>
      <c r="E298" s="146"/>
      <c r="F298" s="146"/>
    </row>
    <row r="299" spans="2:7" x14ac:dyDescent="0.2">
      <c r="C299" s="146"/>
      <c r="D299" s="146"/>
      <c r="E299" s="146"/>
      <c r="F299" s="146"/>
    </row>
    <row r="300" spans="2:7" x14ac:dyDescent="0.2">
      <c r="C300" s="44"/>
      <c r="D300" s="44"/>
      <c r="E300" s="44"/>
      <c r="F300" s="44"/>
      <c r="G300" s="44"/>
    </row>
    <row r="301" spans="2:7" x14ac:dyDescent="0.2">
      <c r="B301" s="147"/>
      <c r="C301" s="147"/>
      <c r="D301" s="147"/>
      <c r="E301" s="147"/>
      <c r="F301" s="148"/>
    </row>
    <row r="302" spans="2:7" x14ac:dyDescent="0.2">
      <c r="B302" s="1"/>
      <c r="C302" s="104"/>
      <c r="D302" s="105"/>
      <c r="E302" s="105"/>
      <c r="F302" s="105"/>
      <c r="G302" s="106"/>
    </row>
    <row r="303" spans="2:7" x14ac:dyDescent="0.2">
      <c r="B303" s="1"/>
      <c r="C303" s="107"/>
      <c r="D303" s="103"/>
      <c r="E303" s="103"/>
      <c r="F303" s="103"/>
      <c r="G303" s="103"/>
    </row>
    <row r="304" spans="2:7" x14ac:dyDescent="0.2">
      <c r="B304" s="44"/>
      <c r="C304" s="109"/>
      <c r="D304" s="110"/>
      <c r="E304" s="110"/>
      <c r="F304" s="110"/>
      <c r="G304" s="110"/>
    </row>
    <row r="305" spans="2:7" x14ac:dyDescent="0.2">
      <c r="C305" s="146"/>
      <c r="D305" s="146"/>
      <c r="E305" s="146"/>
      <c r="F305" s="146"/>
    </row>
    <row r="306" spans="2:7" x14ac:dyDescent="0.2">
      <c r="C306" s="146"/>
      <c r="D306" s="146"/>
      <c r="E306" s="146"/>
      <c r="F306" s="146"/>
    </row>
    <row r="307" spans="2:7" x14ac:dyDescent="0.2">
      <c r="C307" s="44"/>
      <c r="D307" s="44"/>
      <c r="E307" s="44"/>
      <c r="F307" s="44"/>
      <c r="G307" s="44"/>
    </row>
    <row r="308" spans="2:7" x14ac:dyDescent="0.2">
      <c r="B308" s="147"/>
      <c r="C308" s="147"/>
      <c r="D308" s="147"/>
      <c r="E308" s="147"/>
      <c r="F308" s="149"/>
    </row>
    <row r="309" spans="2:7" x14ac:dyDescent="0.2">
      <c r="B309" s="1"/>
      <c r="C309" s="104"/>
      <c r="D309" s="105"/>
      <c r="E309" s="105"/>
      <c r="F309" s="105"/>
      <c r="G309" s="106"/>
    </row>
    <row r="310" spans="2:7" x14ac:dyDescent="0.2">
      <c r="B310" s="1"/>
      <c r="C310" s="107"/>
      <c r="D310" s="103"/>
      <c r="E310" s="103"/>
      <c r="F310" s="103"/>
      <c r="G310" s="108"/>
    </row>
    <row r="311" spans="2:7" x14ac:dyDescent="0.2">
      <c r="B311" s="1"/>
      <c r="C311" s="109"/>
      <c r="D311" s="110"/>
      <c r="E311" s="110"/>
      <c r="F311" s="110"/>
      <c r="G311" s="111"/>
    </row>
    <row r="312" spans="2:7" x14ac:dyDescent="0.2">
      <c r="B312" s="1"/>
      <c r="C312" s="103"/>
      <c r="D312" s="103"/>
      <c r="E312" s="103"/>
      <c r="F312" s="103"/>
      <c r="G312" s="81"/>
    </row>
    <row r="314" spans="2:7" x14ac:dyDescent="0.2">
      <c r="C314" s="44"/>
      <c r="D314" s="44"/>
      <c r="E314" s="44"/>
      <c r="F314" s="44"/>
      <c r="G314" s="44"/>
    </row>
    <row r="315" spans="2:7" x14ac:dyDescent="0.2">
      <c r="B315" s="150"/>
      <c r="C315" s="150"/>
      <c r="D315" s="150"/>
      <c r="E315" s="150"/>
      <c r="F315" s="151"/>
    </row>
    <row r="316" spans="2:7" x14ac:dyDescent="0.2">
      <c r="B316" s="1"/>
      <c r="C316" s="152"/>
      <c r="D316" s="153"/>
      <c r="E316" s="153"/>
      <c r="F316" s="153"/>
      <c r="G316" s="154"/>
    </row>
    <row r="317" spans="2:7" x14ac:dyDescent="0.2">
      <c r="B317" s="1"/>
      <c r="C317" s="155"/>
      <c r="D317" s="156"/>
      <c r="E317" s="156"/>
      <c r="F317" s="156"/>
      <c r="G317" s="157"/>
    </row>
    <row r="318" spans="2:7" x14ac:dyDescent="0.2">
      <c r="B318" s="1"/>
      <c r="C318" s="155"/>
      <c r="D318" s="156"/>
      <c r="E318" s="156"/>
      <c r="F318" s="156"/>
      <c r="G318" s="157"/>
    </row>
    <row r="319" spans="2:7" x14ac:dyDescent="0.2">
      <c r="B319" s="1"/>
      <c r="C319" s="155"/>
      <c r="D319" s="156"/>
      <c r="E319" s="156"/>
      <c r="F319" s="156"/>
      <c r="G319" s="157"/>
    </row>
    <row r="320" spans="2:7" x14ac:dyDescent="0.2">
      <c r="B320" s="1"/>
      <c r="C320" s="158"/>
      <c r="D320" s="159"/>
      <c r="E320" s="159"/>
      <c r="F320" s="159"/>
      <c r="G320" s="160"/>
    </row>
    <row r="321" spans="2:7" x14ac:dyDescent="0.2">
      <c r="C321" s="146"/>
      <c r="D321" s="29"/>
      <c r="E321" s="29"/>
      <c r="F321" s="29"/>
      <c r="G321" s="29"/>
    </row>
    <row r="322" spans="2:7" x14ac:dyDescent="0.2">
      <c r="C322" s="146"/>
      <c r="D322" s="146"/>
      <c r="E322" s="146"/>
      <c r="F322" s="146"/>
      <c r="G322" s="146"/>
    </row>
    <row r="325" spans="2:7" x14ac:dyDescent="0.2">
      <c r="C325" s="44"/>
      <c r="D325" s="44"/>
      <c r="E325" s="161"/>
      <c r="F325" s="161"/>
      <c r="G325" s="161"/>
    </row>
    <row r="326" spans="2:7" x14ac:dyDescent="0.2">
      <c r="B326" s="150"/>
      <c r="C326" s="150"/>
      <c r="D326" s="150"/>
    </row>
    <row r="327" spans="2:7" x14ac:dyDescent="0.2">
      <c r="B327" s="1"/>
      <c r="C327" s="162"/>
      <c r="D327" s="153"/>
      <c r="E327" s="153"/>
      <c r="F327" s="153"/>
      <c r="G327" s="163"/>
    </row>
    <row r="328" spans="2:7" x14ac:dyDescent="0.2">
      <c r="B328" s="1"/>
      <c r="C328" s="162"/>
      <c r="D328" s="156"/>
      <c r="E328" s="40"/>
      <c r="F328" s="40"/>
      <c r="G328" s="40"/>
    </row>
    <row r="329" spans="2:7" x14ac:dyDescent="0.2">
      <c r="B329" s="1"/>
      <c r="C329" s="162"/>
      <c r="D329" s="156"/>
      <c r="E329" s="40"/>
      <c r="F329" s="40"/>
      <c r="G329" s="40"/>
    </row>
    <row r="330" spans="2:7" x14ac:dyDescent="0.2">
      <c r="B330" s="1"/>
      <c r="C330" s="162"/>
      <c r="D330" s="156"/>
      <c r="E330" s="156"/>
      <c r="F330" s="156"/>
      <c r="G330" s="162"/>
    </row>
    <row r="331" spans="2:7" x14ac:dyDescent="0.2">
      <c r="B331" s="1"/>
      <c r="C331" s="164"/>
      <c r="D331" s="159"/>
      <c r="E331" s="159"/>
      <c r="F331" s="159"/>
      <c r="G331" s="162"/>
    </row>
    <row r="332" spans="2:7" x14ac:dyDescent="0.2">
      <c r="B332" s="116"/>
      <c r="C332" s="165"/>
      <c r="D332" s="166"/>
      <c r="E332" s="166"/>
      <c r="F332" s="166"/>
      <c r="G332" s="167"/>
    </row>
    <row r="333" spans="2:7" x14ac:dyDescent="0.2">
      <c r="B333" s="116"/>
      <c r="C333" s="27"/>
      <c r="D333" s="27"/>
      <c r="E333" s="40"/>
      <c r="F333" s="40"/>
      <c r="G333" s="40"/>
    </row>
    <row r="334" spans="2:7" x14ac:dyDescent="0.2">
      <c r="B334" s="168"/>
      <c r="C334" s="169"/>
      <c r="D334" s="169"/>
      <c r="E334" s="169"/>
      <c r="F334" s="169"/>
      <c r="G334" s="75"/>
    </row>
    <row r="335" spans="2:7" x14ac:dyDescent="0.2">
      <c r="B335" s="170"/>
      <c r="C335" s="47"/>
      <c r="D335" s="45"/>
      <c r="E335" s="45"/>
      <c r="F335" s="45"/>
      <c r="G335" s="45"/>
    </row>
    <row r="336" spans="2:7" x14ac:dyDescent="0.2">
      <c r="B336" s="170"/>
      <c r="C336" s="64"/>
      <c r="D336" s="45"/>
      <c r="E336" s="45"/>
      <c r="F336" s="45"/>
      <c r="G336" s="45"/>
    </row>
    <row r="337" spans="2:8" x14ac:dyDescent="0.2">
      <c r="B337" s="150"/>
      <c r="C337" s="44"/>
      <c r="D337" s="10"/>
      <c r="H337" s="13"/>
    </row>
    <row r="338" spans="2:8" x14ac:dyDescent="0.2">
      <c r="B338" s="45"/>
      <c r="C338" s="45"/>
      <c r="D338" s="45"/>
      <c r="E338" s="45"/>
      <c r="F338" s="45"/>
      <c r="G338" s="45"/>
    </row>
    <row r="339" spans="2:8" ht="15.75" x14ac:dyDescent="0.25">
      <c r="B339" s="171"/>
    </row>
    <row r="341" spans="2:8" x14ac:dyDescent="0.2">
      <c r="C341" s="44"/>
      <c r="D341" s="44"/>
      <c r="E341" s="44"/>
      <c r="F341" s="44"/>
      <c r="G341" s="44"/>
    </row>
    <row r="342" spans="2:8" x14ac:dyDescent="0.2">
      <c r="C342" s="1"/>
    </row>
    <row r="343" spans="2:8" x14ac:dyDescent="0.2">
      <c r="C343" s="26"/>
      <c r="D343" s="26"/>
      <c r="E343" s="26"/>
      <c r="F343" s="26"/>
      <c r="G343" s="26"/>
    </row>
    <row r="344" spans="2:8" x14ac:dyDescent="0.2">
      <c r="C344" s="28"/>
      <c r="D344" s="26"/>
      <c r="E344" s="26"/>
      <c r="F344" s="26"/>
      <c r="G344" s="26"/>
    </row>
    <row r="345" spans="2:8" x14ac:dyDescent="0.2">
      <c r="C345" s="26"/>
      <c r="D345" s="26"/>
      <c r="E345" s="26"/>
      <c r="F345" s="26"/>
      <c r="G345" s="26"/>
    </row>
  </sheetData>
  <phoneticPr fontId="3" type="noConversion"/>
  <printOptions gridLines="1" gridLinesSet="0"/>
  <pageMargins left="0.75" right="0.75" top="1" bottom="1" header="0.5" footer="0.5"/>
  <pageSetup paperSize="9" orientation="portrait" horizontalDpi="120" verticalDpi="144" r:id="rId1"/>
  <headerFooter alignWithMargins="0">
    <oddHeader>&amp;A</oddHeader>
    <oddFooter>Стр.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186"/>
  <sheetViews>
    <sheetView zoomScale="80" zoomScaleNormal="80" workbookViewId="0">
      <selection activeCell="A10" sqref="A10:XFD13"/>
    </sheetView>
  </sheetViews>
  <sheetFormatPr defaultRowHeight="12.75" x14ac:dyDescent="0.2"/>
  <cols>
    <col min="2" max="2" width="12.140625" customWidth="1"/>
    <col min="3" max="3" width="18.7109375" customWidth="1"/>
    <col min="5" max="5" width="37.28515625" customWidth="1"/>
    <col min="15" max="15" width="9.85546875" bestFit="1" customWidth="1"/>
  </cols>
  <sheetData>
    <row r="1" spans="2:30" ht="26.25" x14ac:dyDescent="0.4">
      <c r="B1" s="668" t="s">
        <v>396</v>
      </c>
      <c r="C1" s="316"/>
      <c r="D1" s="316"/>
      <c r="E1" s="316"/>
      <c r="F1" s="316"/>
      <c r="G1" s="316"/>
      <c r="H1" s="316"/>
    </row>
    <row r="2" spans="2:30" s="550" customFormat="1" x14ac:dyDescent="0.2">
      <c r="B2" s="550" t="s">
        <v>377</v>
      </c>
      <c r="C2" s="659">
        <v>4</v>
      </c>
      <c r="E2" s="663" t="s">
        <v>391</v>
      </c>
      <c r="F2" s="659">
        <v>0</v>
      </c>
      <c r="G2" s="659">
        <v>-1</v>
      </c>
      <c r="H2" s="550" t="s">
        <v>384</v>
      </c>
      <c r="O2" s="664">
        <f>'[3]График-всё'!AB4</f>
        <v>0.85448197016283001</v>
      </c>
      <c r="Q2" s="550" t="s">
        <v>379</v>
      </c>
    </row>
    <row r="3" spans="2:30" s="550" customFormat="1" x14ac:dyDescent="0.2">
      <c r="E3" s="663"/>
      <c r="O3" s="664">
        <f>'[3]График-всё'!AB5</f>
        <v>0.9312022537948712</v>
      </c>
      <c r="Q3" s="240">
        <v>5</v>
      </c>
    </row>
    <row r="4" spans="2:30" s="550" customFormat="1" ht="18.75" x14ac:dyDescent="0.3">
      <c r="B4" s="663" t="s">
        <v>385</v>
      </c>
      <c r="C4" s="662">
        <v>2010</v>
      </c>
      <c r="D4" s="662">
        <v>2012</v>
      </c>
      <c r="E4" s="663" t="s">
        <v>387</v>
      </c>
      <c r="F4" s="662">
        <v>2</v>
      </c>
      <c r="G4" s="662">
        <v>1</v>
      </c>
      <c r="H4" s="663" t="s">
        <v>388</v>
      </c>
      <c r="O4" s="664">
        <f>'[3]График-всё'!AB6</f>
        <v>0.85230595034797241</v>
      </c>
    </row>
    <row r="5" spans="2:30" s="550" customFormat="1" ht="18.75" x14ac:dyDescent="0.3">
      <c r="B5" s="663" t="s">
        <v>386</v>
      </c>
      <c r="C5" s="662">
        <v>2010</v>
      </c>
      <c r="D5" s="662">
        <v>2019</v>
      </c>
      <c r="E5" s="663" t="s">
        <v>389</v>
      </c>
      <c r="F5" s="662">
        <v>1</v>
      </c>
      <c r="G5" s="662">
        <v>1.5</v>
      </c>
      <c r="H5" s="663" t="s">
        <v>390</v>
      </c>
      <c r="O5" s="664">
        <f>'[3]График-всё'!AB7</f>
        <v>0.75398975836757065</v>
      </c>
    </row>
    <row r="6" spans="2:30" s="550" customFormat="1" x14ac:dyDescent="0.2">
      <c r="O6" s="664">
        <f>'[3]График-всё'!AB8</f>
        <v>0.84052363735656144</v>
      </c>
    </row>
    <row r="7" spans="2:30" s="550" customFormat="1" x14ac:dyDescent="0.2">
      <c r="O7" s="664">
        <f>'[3]График-всё'!AB9</f>
        <v>0.7226654669917284</v>
      </c>
      <c r="P7" s="550" t="s">
        <v>394</v>
      </c>
    </row>
    <row r="8" spans="2:30" s="550" customFormat="1" x14ac:dyDescent="0.2">
      <c r="O8" s="299">
        <f>SUM(O2:O7)</f>
        <v>4.955169037021534</v>
      </c>
      <c r="P8" s="198">
        <f>O8/6</f>
        <v>0.82586150617025567</v>
      </c>
    </row>
    <row r="9" spans="2:30" x14ac:dyDescent="0.2">
      <c r="I9">
        <v>0.83713627302550664</v>
      </c>
      <c r="J9">
        <v>0.83690416390310551</v>
      </c>
      <c r="K9">
        <v>0.81224137783795236</v>
      </c>
      <c r="L9">
        <v>0.8360238169887394</v>
      </c>
      <c r="M9">
        <v>0.83091635102863437</v>
      </c>
      <c r="N9">
        <v>0.82841870195729561</v>
      </c>
      <c r="O9">
        <v>0.82867971354720682</v>
      </c>
      <c r="P9">
        <v>0.82805231436977156</v>
      </c>
      <c r="Q9">
        <v>0.82945784339177298</v>
      </c>
      <c r="R9">
        <v>0.83073828755387458</v>
      </c>
      <c r="S9">
        <v>0.83294133193747066</v>
      </c>
      <c r="T9">
        <v>0.83395820448057656</v>
      </c>
      <c r="U9">
        <v>0.83435453461522779</v>
      </c>
      <c r="V9">
        <v>0.83421643733333128</v>
      </c>
      <c r="W9">
        <v>0.83643122862104136</v>
      </c>
      <c r="X9">
        <v>0.83755289583054537</v>
      </c>
      <c r="Y9">
        <v>0.83859458033183987</v>
      </c>
      <c r="Z9">
        <v>0.83963305915190223</v>
      </c>
      <c r="AA9">
        <v>0.84034154174675735</v>
      </c>
      <c r="AB9">
        <v>0.84191084211840028</v>
      </c>
      <c r="AC9">
        <v>0.84150338665656488</v>
      </c>
      <c r="AD9">
        <v>0.84033419767708539</v>
      </c>
    </row>
    <row r="10" spans="2:30" x14ac:dyDescent="0.2">
      <c r="D10" s="550">
        <v>2005</v>
      </c>
      <c r="E10" s="550">
        <v>2006</v>
      </c>
      <c r="F10" s="550">
        <v>2007</v>
      </c>
      <c r="G10" s="550">
        <v>2008</v>
      </c>
      <c r="H10" s="550">
        <v>2009</v>
      </c>
      <c r="I10" s="550">
        <v>2010</v>
      </c>
      <c r="J10" s="550">
        <v>2011</v>
      </c>
      <c r="K10" s="550">
        <v>2012</v>
      </c>
      <c r="L10" s="550">
        <v>2013</v>
      </c>
      <c r="M10" s="355">
        <v>2014</v>
      </c>
      <c r="N10" s="550">
        <v>2015</v>
      </c>
      <c r="O10" s="550">
        <v>2016</v>
      </c>
      <c r="P10" s="278">
        <v>2017</v>
      </c>
      <c r="Q10" s="550">
        <v>2018</v>
      </c>
      <c r="R10" s="550">
        <v>2019</v>
      </c>
      <c r="S10" s="550">
        <v>2020</v>
      </c>
      <c r="T10" s="550">
        <v>2021</v>
      </c>
      <c r="U10" s="550">
        <v>2022</v>
      </c>
      <c r="V10" s="550">
        <v>2023</v>
      </c>
      <c r="W10" s="550">
        <v>2024</v>
      </c>
      <c r="X10" s="550">
        <v>2025</v>
      </c>
      <c r="Y10" s="550">
        <v>2026</v>
      </c>
      <c r="Z10" s="550">
        <v>2027</v>
      </c>
      <c r="AA10" s="550">
        <v>2028</v>
      </c>
      <c r="AB10" s="550">
        <v>2029</v>
      </c>
      <c r="AC10" s="550">
        <v>2030</v>
      </c>
      <c r="AD10" s="550">
        <v>2031</v>
      </c>
    </row>
    <row r="11" spans="2:30" x14ac:dyDescent="0.2">
      <c r="B11" t="s">
        <v>374</v>
      </c>
      <c r="C11" s="596" t="s">
        <v>375</v>
      </c>
      <c r="D11">
        <f>интерфейс!D81</f>
        <v>6354.72</v>
      </c>
      <c r="E11" s="550">
        <f>интерфейс!E81</f>
        <v>8623.7719662377203</v>
      </c>
      <c r="F11" s="550">
        <f>интерфейс!F81</f>
        <v>8587.8671826528644</v>
      </c>
      <c r="G11" s="550">
        <f>интерфейс!G81</f>
        <v>11679.702558071775</v>
      </c>
      <c r="H11" s="550">
        <f>интерфейс!H81</f>
        <v>14977.791663858638</v>
      </c>
      <c r="I11" s="550">
        <f>интерфейс!I81</f>
        <v>21040.823235010826</v>
      </c>
      <c r="J11" s="550">
        <f>интерфейс!J81</f>
        <v>20021.115375653833</v>
      </c>
      <c r="K11" s="550">
        <f>интерфейс!K81</f>
        <v>21152.57937086435</v>
      </c>
      <c r="L11" s="550">
        <f>интерфейс!L81</f>
        <v>18559.651066540282</v>
      </c>
      <c r="M11" s="550">
        <f>интерфейс!M81</f>
        <v>16440.442472154213</v>
      </c>
      <c r="N11" s="550">
        <f>интерфейс!N81</f>
        <v>15938.60547096856</v>
      </c>
      <c r="O11" s="550">
        <f>интерфейс!O81</f>
        <v>14396.201823524127</v>
      </c>
      <c r="P11" s="550">
        <f>интерфейс!P81</f>
        <v>13298.17932940066</v>
      </c>
      <c r="Q11" s="550">
        <f>интерфейс!Q81</f>
        <v>13404.916417035598</v>
      </c>
      <c r="R11" s="550">
        <f>интерфейс!R81</f>
        <v>13510.58613379419</v>
      </c>
      <c r="S11" s="550">
        <f>интерфейс!S81</f>
        <v>4475.1991533851951</v>
      </c>
      <c r="T11" s="550">
        <f>интерфейс!T81</f>
        <v>4578.7660427802884</v>
      </c>
      <c r="U11" s="550">
        <f>интерфейс!U81</f>
        <v>4681.2972632814326</v>
      </c>
      <c r="V11" s="550">
        <f>интерфейс!V81</f>
        <v>4782.8031715775624</v>
      </c>
      <c r="W11" s="550">
        <f>интерфейс!W81</f>
        <v>4883.2940207907341</v>
      </c>
      <c r="X11" s="550">
        <f>интерфейс!X81</f>
        <v>4982.7799615117729</v>
      </c>
      <c r="Y11" s="550">
        <f>интерфейс!Y81</f>
        <v>5081.2710428256005</v>
      </c>
      <c r="Z11" s="550">
        <f>интерфейс!Z81</f>
        <v>5178.7772133262888</v>
      </c>
      <c r="AA11" s="550">
        <f>интерфейс!AA81</f>
        <v>5275.3083221219749</v>
      </c>
      <c r="AB11" s="550">
        <f>интерфейс!AB81</f>
        <v>5370.8741198296993</v>
      </c>
      <c r="AC11" s="550">
        <f>интерфейс!AC81</f>
        <v>5465.4842595603486</v>
      </c>
      <c r="AD11" s="550">
        <f>интерфейс!AD81</f>
        <v>5559.1482978936892</v>
      </c>
    </row>
    <row r="12" spans="2:30" x14ac:dyDescent="0.2">
      <c r="C12" s="596" t="s">
        <v>376</v>
      </c>
      <c r="D12" s="550">
        <f>интерфейс!D82</f>
        <v>27330.28</v>
      </c>
      <c r="E12" s="550">
        <f>интерфейс!E82</f>
        <v>27599.095982657629</v>
      </c>
      <c r="F12" s="550">
        <f>интерфейс!F82</f>
        <v>15082.412809127589</v>
      </c>
      <c r="G12" s="550">
        <f>интерфейс!G82</f>
        <v>15892.75122575899</v>
      </c>
      <c r="H12" s="550">
        <f>интерфейс!H82</f>
        <v>11690.383820154919</v>
      </c>
      <c r="I12" s="550">
        <f>интерфейс!I82</f>
        <v>14502.607236278016</v>
      </c>
      <c r="J12" s="550">
        <f>интерфейс!J82</f>
        <v>14475.026004276495</v>
      </c>
      <c r="K12" s="550">
        <f>интерфейс!K82</f>
        <v>11451.250026048172</v>
      </c>
      <c r="L12" s="550">
        <f>интерфейс!L82</f>
        <v>14367.471097655342</v>
      </c>
      <c r="M12" s="550">
        <f>интерфейс!M82</f>
        <v>12903.024151204987</v>
      </c>
      <c r="N12" s="550">
        <f>интерфейс!N82</f>
        <v>12149.069606615389</v>
      </c>
      <c r="O12" s="550">
        <f>интерфейс!O82</f>
        <v>11753.126104735184</v>
      </c>
      <c r="P12" s="550">
        <f>интерфейс!P82</f>
        <v>11207.394201668603</v>
      </c>
      <c r="Q12" s="550">
        <f>интерфейс!Q82</f>
        <v>11095.320259651917</v>
      </c>
      <c r="R12" s="550">
        <f>интерфейс!R82</f>
        <v>10984.367057055397</v>
      </c>
      <c r="S12" s="550">
        <f>интерфейс!S82</f>
        <v>10984.367057055397</v>
      </c>
      <c r="T12" s="550">
        <f>интерфейс!T82</f>
        <v>10984.367057055397</v>
      </c>
      <c r="U12" s="550">
        <f>интерфейс!U82</f>
        <v>10984.367057055397</v>
      </c>
      <c r="V12" s="550">
        <f>интерфейс!V82</f>
        <v>10984.367057055397</v>
      </c>
      <c r="W12" s="550">
        <f>интерфейс!W82</f>
        <v>10984.367057055397</v>
      </c>
      <c r="X12" s="550">
        <f>интерфейс!X82</f>
        <v>10984.367057055397</v>
      </c>
      <c r="Y12" s="550">
        <f>интерфейс!Y82</f>
        <v>10984.367057055397</v>
      </c>
      <c r="Z12" s="550">
        <f>интерфейс!Z82</f>
        <v>10984.367057055397</v>
      </c>
      <c r="AA12" s="550">
        <f>интерфейс!AA82</f>
        <v>10984.367057055397</v>
      </c>
      <c r="AB12" s="550">
        <f>интерфейс!AB82</f>
        <v>10984.367057055397</v>
      </c>
      <c r="AC12" s="550">
        <f>интерфейс!AC82</f>
        <v>10984.367057055397</v>
      </c>
      <c r="AD12" s="550">
        <f>интерфейс!AD82</f>
        <v>10984.367057055397</v>
      </c>
    </row>
    <row r="13" spans="2:30" x14ac:dyDescent="0.2">
      <c r="C13" s="198" t="s">
        <v>254</v>
      </c>
      <c r="D13">
        <f>D11+D12</f>
        <v>33685</v>
      </c>
      <c r="E13" s="550">
        <f t="shared" ref="E13:AD13" si="0">E11+E12</f>
        <v>36222.867948895349</v>
      </c>
      <c r="F13" s="550">
        <f t="shared" si="0"/>
        <v>23670.279991780451</v>
      </c>
      <c r="G13" s="550">
        <f t="shared" si="0"/>
        <v>27572.453783830766</v>
      </c>
      <c r="H13" s="550">
        <f t="shared" si="0"/>
        <v>26668.175484013555</v>
      </c>
      <c r="I13" s="550">
        <f t="shared" si="0"/>
        <v>35543.430471288841</v>
      </c>
      <c r="J13" s="550">
        <f t="shared" si="0"/>
        <v>34496.141379930326</v>
      </c>
      <c r="K13" s="550">
        <f t="shared" si="0"/>
        <v>32603.829396912522</v>
      </c>
      <c r="L13" s="550">
        <f t="shared" si="0"/>
        <v>32927.122164195622</v>
      </c>
      <c r="M13" s="550">
        <f t="shared" si="0"/>
        <v>29343.4666233592</v>
      </c>
      <c r="N13" s="550">
        <f t="shared" si="0"/>
        <v>28087.675077583946</v>
      </c>
      <c r="O13" s="550">
        <f t="shared" si="0"/>
        <v>26149.32792825931</v>
      </c>
      <c r="P13" s="550">
        <f t="shared" si="0"/>
        <v>24505.573531069262</v>
      </c>
      <c r="Q13" s="550">
        <f t="shared" si="0"/>
        <v>24500.236676687513</v>
      </c>
      <c r="R13" s="550">
        <f t="shared" si="0"/>
        <v>24494.953190849585</v>
      </c>
      <c r="S13" s="550">
        <f t="shared" si="0"/>
        <v>15459.566210440593</v>
      </c>
      <c r="T13" s="550">
        <f t="shared" si="0"/>
        <v>15563.133099835686</v>
      </c>
      <c r="U13" s="550">
        <f t="shared" si="0"/>
        <v>15665.664320336829</v>
      </c>
      <c r="V13" s="550">
        <f t="shared" si="0"/>
        <v>15767.17022863296</v>
      </c>
      <c r="W13" s="550">
        <f t="shared" si="0"/>
        <v>15867.661077846131</v>
      </c>
      <c r="X13" s="550">
        <f t="shared" si="0"/>
        <v>15967.14701856717</v>
      </c>
      <c r="Y13" s="550">
        <f t="shared" si="0"/>
        <v>16065.638099880998</v>
      </c>
      <c r="Z13" s="550">
        <f t="shared" si="0"/>
        <v>16163.144270381687</v>
      </c>
      <c r="AA13" s="550">
        <f t="shared" si="0"/>
        <v>16259.675379177372</v>
      </c>
      <c r="AB13" s="550">
        <f t="shared" si="0"/>
        <v>16355.241176885096</v>
      </c>
      <c r="AC13" s="550">
        <f t="shared" si="0"/>
        <v>16449.851316615746</v>
      </c>
      <c r="AD13" s="550">
        <f t="shared" si="0"/>
        <v>16543.515354949086</v>
      </c>
    </row>
    <row r="37" spans="2:30" s="550" customFormat="1" x14ac:dyDescent="0.2"/>
    <row r="38" spans="2:30" s="550" customFormat="1" x14ac:dyDescent="0.2">
      <c r="B38" s="550" t="s">
        <v>377</v>
      </c>
      <c r="C38" s="659">
        <v>1</v>
      </c>
      <c r="E38" s="663" t="s">
        <v>391</v>
      </c>
      <c r="F38" s="659">
        <v>0</v>
      </c>
      <c r="G38" s="659">
        <v>-1</v>
      </c>
      <c r="H38" s="550" t="s">
        <v>384</v>
      </c>
      <c r="O38" s="664">
        <v>0.84101947844841529</v>
      </c>
      <c r="Q38" s="550" t="s">
        <v>379</v>
      </c>
    </row>
    <row r="39" spans="2:30" s="550" customFormat="1" x14ac:dyDescent="0.2">
      <c r="E39" s="663"/>
      <c r="O39" s="664">
        <v>0.91855820112778552</v>
      </c>
      <c r="Q39" s="240">
        <v>5</v>
      </c>
    </row>
    <row r="40" spans="2:30" s="550" customFormat="1" ht="18.75" x14ac:dyDescent="0.3">
      <c r="B40" s="663" t="s">
        <v>385</v>
      </c>
      <c r="C40" s="662">
        <v>2010</v>
      </c>
      <c r="D40" s="662">
        <v>2031</v>
      </c>
      <c r="E40" s="663" t="s">
        <v>387</v>
      </c>
      <c r="F40" s="662">
        <v>2</v>
      </c>
      <c r="G40" s="662">
        <v>1</v>
      </c>
      <c r="H40" s="663" t="s">
        <v>388</v>
      </c>
      <c r="O40" s="664">
        <v>0.83086743822133124</v>
      </c>
    </row>
    <row r="41" spans="2:30" s="550" customFormat="1" ht="18.75" x14ac:dyDescent="0.3">
      <c r="B41" s="663" t="s">
        <v>386</v>
      </c>
      <c r="C41" s="662">
        <v>2008</v>
      </c>
      <c r="D41" s="662">
        <v>2017</v>
      </c>
      <c r="E41" s="663" t="s">
        <v>389</v>
      </c>
      <c r="F41" s="662">
        <v>1</v>
      </c>
      <c r="G41" s="662">
        <v>1.5</v>
      </c>
      <c r="H41" s="663" t="s">
        <v>390</v>
      </c>
      <c r="O41" s="664">
        <v>0.72258330400688564</v>
      </c>
    </row>
    <row r="42" spans="2:30" s="550" customFormat="1" x14ac:dyDescent="0.2">
      <c r="O42" s="664">
        <v>0.82318265854857187</v>
      </c>
    </row>
    <row r="43" spans="2:30" s="550" customFormat="1" x14ac:dyDescent="0.2">
      <c r="O43" s="664">
        <v>0.67068469449419288</v>
      </c>
    </row>
    <row r="44" spans="2:30" s="550" customFormat="1" x14ac:dyDescent="0.2">
      <c r="O44" s="299">
        <v>4.8068957748471828</v>
      </c>
    </row>
    <row r="46" spans="2:30" x14ac:dyDescent="0.2">
      <c r="D46">
        <v>2005</v>
      </c>
      <c r="E46">
        <v>2006</v>
      </c>
      <c r="F46">
        <v>2007</v>
      </c>
      <c r="G46">
        <v>2008</v>
      </c>
      <c r="H46">
        <v>2009</v>
      </c>
      <c r="I46">
        <v>2010</v>
      </c>
      <c r="J46">
        <v>2011</v>
      </c>
      <c r="K46">
        <v>2012</v>
      </c>
      <c r="L46">
        <v>2013</v>
      </c>
      <c r="M46">
        <v>2014</v>
      </c>
      <c r="N46">
        <v>2015</v>
      </c>
      <c r="O46">
        <v>2016</v>
      </c>
      <c r="P46">
        <v>2017</v>
      </c>
      <c r="Q46">
        <v>2018</v>
      </c>
      <c r="R46">
        <v>2019</v>
      </c>
      <c r="S46">
        <v>2020</v>
      </c>
      <c r="T46">
        <v>2021</v>
      </c>
      <c r="U46">
        <v>2022</v>
      </c>
      <c r="V46">
        <v>2023</v>
      </c>
      <c r="W46">
        <v>2024</v>
      </c>
      <c r="X46">
        <v>2025</v>
      </c>
      <c r="Y46">
        <v>2026</v>
      </c>
      <c r="Z46">
        <v>2027</v>
      </c>
      <c r="AA46">
        <v>2028</v>
      </c>
      <c r="AB46">
        <v>2029</v>
      </c>
      <c r="AC46">
        <v>2030</v>
      </c>
      <c r="AD46">
        <v>2031</v>
      </c>
    </row>
    <row r="47" spans="2:30" x14ac:dyDescent="0.2">
      <c r="B47" t="s">
        <v>374</v>
      </c>
      <c r="C47" t="s">
        <v>375</v>
      </c>
      <c r="D47">
        <v>6354.72</v>
      </c>
      <c r="E47">
        <v>8623.7719662377203</v>
      </c>
      <c r="F47">
        <v>8587.8671826528644</v>
      </c>
      <c r="G47">
        <v>11679.702558071775</v>
      </c>
      <c r="H47">
        <v>14977.791663858638</v>
      </c>
      <c r="I47">
        <v>11900.823235010826</v>
      </c>
      <c r="J47">
        <v>10881.115375653835</v>
      </c>
      <c r="K47">
        <v>12012.57937086435</v>
      </c>
      <c r="L47">
        <v>9419.6510665402802</v>
      </c>
      <c r="M47">
        <v>7300.4424721542118</v>
      </c>
      <c r="N47">
        <v>6798.6054709685595</v>
      </c>
      <c r="O47">
        <v>5256.2018235241276</v>
      </c>
      <c r="P47">
        <v>4158.1793294006602</v>
      </c>
      <c r="Q47">
        <v>4264.916417035598</v>
      </c>
      <c r="R47">
        <v>4370.5861337941897</v>
      </c>
      <c r="S47">
        <v>4475.1991533851951</v>
      </c>
      <c r="T47">
        <v>4578.7660427802884</v>
      </c>
      <c r="U47">
        <v>4681.2972632814326</v>
      </c>
      <c r="V47">
        <v>4782.8031715775624</v>
      </c>
      <c r="W47">
        <v>4883.2940207907341</v>
      </c>
      <c r="X47">
        <v>4982.7799615117729</v>
      </c>
      <c r="Y47">
        <v>5081.2710428256005</v>
      </c>
      <c r="Z47">
        <v>5178.7772133262888</v>
      </c>
      <c r="AA47">
        <v>5275.3083221219749</v>
      </c>
      <c r="AB47">
        <v>5370.8741198296993</v>
      </c>
      <c r="AC47">
        <v>5465.4842595603486</v>
      </c>
      <c r="AD47">
        <v>5559.1482978936892</v>
      </c>
    </row>
    <row r="48" spans="2:30" x14ac:dyDescent="0.2">
      <c r="C48" t="s">
        <v>376</v>
      </c>
      <c r="D48">
        <v>27330.28</v>
      </c>
      <c r="E48">
        <v>27599.095982657629</v>
      </c>
      <c r="F48">
        <v>15082.412809127589</v>
      </c>
      <c r="G48">
        <v>15892.75122575899</v>
      </c>
      <c r="H48">
        <v>11690.383820154919</v>
      </c>
      <c r="I48">
        <v>13812.006891693349</v>
      </c>
      <c r="J48">
        <v>13785.739051691897</v>
      </c>
      <c r="K48">
        <v>10905.952405760163</v>
      </c>
      <c r="L48">
        <v>13683.305807290801</v>
      </c>
      <c r="M48">
        <v>12288.594429719034</v>
      </c>
      <c r="N48">
        <v>11570.542482490846</v>
      </c>
      <c r="O48">
        <v>11193.453433081128</v>
      </c>
      <c r="P48">
        <v>10673.708763493907</v>
      </c>
      <c r="Q48">
        <v>10566.971675858968</v>
      </c>
      <c r="R48">
        <v>10461.301959100378</v>
      </c>
      <c r="S48">
        <v>10356.688939509373</v>
      </c>
      <c r="T48">
        <v>10253.12205011428</v>
      </c>
      <c r="U48">
        <v>10150.590829613137</v>
      </c>
      <c r="V48">
        <v>10049.084921317006</v>
      </c>
      <c r="W48">
        <v>9948.5940721038351</v>
      </c>
      <c r="X48">
        <v>9849.1081313827963</v>
      </c>
      <c r="Y48">
        <v>9750.6170500689677</v>
      </c>
      <c r="Z48">
        <v>9653.1108795682776</v>
      </c>
      <c r="AA48">
        <v>9556.5797707725942</v>
      </c>
      <c r="AB48">
        <v>9461.013973064868</v>
      </c>
      <c r="AC48">
        <v>9366.4038333342196</v>
      </c>
      <c r="AD48">
        <v>9272.7397950008781</v>
      </c>
    </row>
    <row r="49" spans="2:30" x14ac:dyDescent="0.2">
      <c r="C49" t="s">
        <v>254</v>
      </c>
      <c r="D49">
        <v>33685</v>
      </c>
      <c r="E49">
        <v>36222.867948895349</v>
      </c>
      <c r="F49">
        <v>23670.279991780451</v>
      </c>
      <c r="G49">
        <v>27572.453783830766</v>
      </c>
      <c r="H49">
        <v>26668.175484013555</v>
      </c>
      <c r="I49">
        <v>25712.830126704175</v>
      </c>
      <c r="J49">
        <v>24666.85442734573</v>
      </c>
      <c r="K49">
        <v>22918.531776624513</v>
      </c>
      <c r="L49">
        <v>23102.956873831081</v>
      </c>
      <c r="M49">
        <v>19589.036901873245</v>
      </c>
      <c r="N49">
        <v>18369.147953459404</v>
      </c>
      <c r="O49">
        <v>16449.655256605256</v>
      </c>
      <c r="P49">
        <v>14831.888092894567</v>
      </c>
      <c r="Q49">
        <v>14831.888092894565</v>
      </c>
      <c r="R49">
        <v>14831.888092894567</v>
      </c>
      <c r="S49">
        <v>14831.888092894569</v>
      </c>
      <c r="T49">
        <v>14831.888092894569</v>
      </c>
      <c r="U49">
        <v>14831.888092894569</v>
      </c>
      <c r="V49">
        <v>14831.888092894569</v>
      </c>
      <c r="W49">
        <v>14831.888092894569</v>
      </c>
      <c r="X49">
        <v>14831.888092894569</v>
      </c>
      <c r="Y49">
        <v>14831.888092894569</v>
      </c>
      <c r="Z49">
        <v>14831.888092894565</v>
      </c>
      <c r="AA49">
        <v>14831.888092894569</v>
      </c>
      <c r="AB49">
        <v>14831.888092894567</v>
      </c>
      <c r="AC49">
        <v>14831.888092894569</v>
      </c>
      <c r="AD49">
        <v>14831.888092894567</v>
      </c>
    </row>
    <row r="50" spans="2:30" s="278" customFormat="1" x14ac:dyDescent="0.2"/>
    <row r="51" spans="2:30" x14ac:dyDescent="0.2">
      <c r="B51" t="s">
        <v>377</v>
      </c>
      <c r="C51" s="240">
        <v>2</v>
      </c>
      <c r="E51" t="s">
        <v>391</v>
      </c>
      <c r="F51">
        <v>-3</v>
      </c>
      <c r="G51">
        <v>-1</v>
      </c>
      <c r="H51" t="s">
        <v>384</v>
      </c>
      <c r="O51">
        <v>1.0000000124542612</v>
      </c>
      <c r="Q51" t="s">
        <v>379</v>
      </c>
    </row>
    <row r="52" spans="2:30" x14ac:dyDescent="0.2">
      <c r="C52" s="240"/>
      <c r="O52">
        <v>1.00579095590226</v>
      </c>
      <c r="Q52">
        <v>5</v>
      </c>
    </row>
    <row r="53" spans="2:30" x14ac:dyDescent="0.2">
      <c r="B53" t="s">
        <v>385</v>
      </c>
      <c r="C53">
        <v>2010</v>
      </c>
      <c r="D53">
        <v>2031</v>
      </c>
      <c r="E53" t="s">
        <v>387</v>
      </c>
      <c r="F53">
        <v>2</v>
      </c>
      <c r="G53">
        <v>1</v>
      </c>
      <c r="H53" t="s">
        <v>388</v>
      </c>
      <c r="O53">
        <v>0.99987518021207833</v>
      </c>
    </row>
    <row r="54" spans="2:30" x14ac:dyDescent="0.2">
      <c r="B54" t="s">
        <v>386</v>
      </c>
      <c r="C54">
        <v>2008</v>
      </c>
      <c r="D54">
        <v>2017</v>
      </c>
      <c r="E54" t="s">
        <v>389</v>
      </c>
      <c r="F54">
        <v>1</v>
      </c>
      <c r="G54">
        <v>1.5</v>
      </c>
      <c r="H54" t="s">
        <v>390</v>
      </c>
      <c r="O54">
        <v>1.0033283909441999</v>
      </c>
    </row>
    <row r="55" spans="2:30" x14ac:dyDescent="0.2">
      <c r="O55">
        <v>0.99922279543120029</v>
      </c>
    </row>
    <row r="56" spans="2:30" x14ac:dyDescent="0.2">
      <c r="O56">
        <v>0.99999677214300242</v>
      </c>
    </row>
    <row r="57" spans="2:30" x14ac:dyDescent="0.2">
      <c r="O57">
        <v>6.008214107087003</v>
      </c>
    </row>
    <row r="59" spans="2:30" x14ac:dyDescent="0.2">
      <c r="D59">
        <v>2005</v>
      </c>
      <c r="E59">
        <v>2006</v>
      </c>
      <c r="F59">
        <v>2007</v>
      </c>
      <c r="G59">
        <v>2008</v>
      </c>
      <c r="H59">
        <v>2009</v>
      </c>
      <c r="I59">
        <v>2010</v>
      </c>
      <c r="J59">
        <v>2011</v>
      </c>
      <c r="K59">
        <v>2012</v>
      </c>
      <c r="L59">
        <v>2013</v>
      </c>
      <c r="M59">
        <v>2014</v>
      </c>
      <c r="N59">
        <v>2015</v>
      </c>
      <c r="O59">
        <v>2016</v>
      </c>
      <c r="P59">
        <v>2017</v>
      </c>
      <c r="Q59">
        <v>2018</v>
      </c>
      <c r="R59">
        <v>2019</v>
      </c>
      <c r="S59">
        <v>2020</v>
      </c>
      <c r="T59">
        <v>2021</v>
      </c>
      <c r="U59">
        <v>2022</v>
      </c>
      <c r="V59">
        <v>2023</v>
      </c>
      <c r="W59">
        <v>2024</v>
      </c>
      <c r="X59">
        <v>2025</v>
      </c>
      <c r="Y59">
        <v>2026</v>
      </c>
      <c r="Z59">
        <v>2027</v>
      </c>
      <c r="AA59">
        <v>2028</v>
      </c>
      <c r="AB59">
        <v>2029</v>
      </c>
      <c r="AC59">
        <v>2030</v>
      </c>
      <c r="AD59">
        <v>2031</v>
      </c>
    </row>
    <row r="60" spans="2:30" x14ac:dyDescent="0.2">
      <c r="B60" t="s">
        <v>374</v>
      </c>
      <c r="C60" t="s">
        <v>375</v>
      </c>
      <c r="D60">
        <v>6354.72</v>
      </c>
      <c r="E60">
        <v>8623.7719662377203</v>
      </c>
      <c r="F60">
        <v>8587.8671826528644</v>
      </c>
      <c r="G60">
        <v>11679.702558071775</v>
      </c>
      <c r="H60">
        <v>14977.791663858638</v>
      </c>
      <c r="I60">
        <v>11900.823235010826</v>
      </c>
      <c r="J60">
        <v>10881.115375653835</v>
      </c>
      <c r="K60">
        <v>12012.57937086435</v>
      </c>
      <c r="L60">
        <v>9419.6510665402802</v>
      </c>
      <c r="M60">
        <v>7300.4424721542118</v>
      </c>
      <c r="N60">
        <v>6798.6054709685595</v>
      </c>
      <c r="O60">
        <v>5256.2018235241276</v>
      </c>
      <c r="P60">
        <v>4158.1793294006602</v>
      </c>
      <c r="Q60">
        <v>3875.7982335753127</v>
      </c>
      <c r="R60">
        <v>3593.5690270724635</v>
      </c>
      <c r="S60">
        <v>3313.8191208793428</v>
      </c>
      <c r="T60">
        <v>3037.8253977694262</v>
      </c>
      <c r="U60">
        <v>2769.1011029665542</v>
      </c>
      <c r="V60">
        <v>2513.8736859268433</v>
      </c>
      <c r="W60">
        <v>2270.6447374042036</v>
      </c>
      <c r="X60">
        <v>2034.8977889755022</v>
      </c>
      <c r="Y60">
        <v>1807.07850618716</v>
      </c>
      <c r="Z60">
        <v>1581.5936504301085</v>
      </c>
      <c r="AA60">
        <v>1361.2078472371229</v>
      </c>
      <c r="AB60">
        <v>1148.7965612210201</v>
      </c>
      <c r="AC60">
        <v>944.11726415940097</v>
      </c>
      <c r="AD60">
        <v>746.93444501760325</v>
      </c>
    </row>
    <row r="61" spans="2:30" x14ac:dyDescent="0.2">
      <c r="C61" t="s">
        <v>376</v>
      </c>
      <c r="D61">
        <v>27330.28</v>
      </c>
      <c r="E61">
        <v>27599.095982657629</v>
      </c>
      <c r="F61">
        <v>15082.412809127589</v>
      </c>
      <c r="G61">
        <v>15892.75122575899</v>
      </c>
      <c r="H61">
        <v>11690.383820154919</v>
      </c>
      <c r="I61">
        <v>15343.207580862685</v>
      </c>
      <c r="J61">
        <v>15314.312956861086</v>
      </c>
      <c r="K61">
        <v>12269.947646336181</v>
      </c>
      <c r="L61">
        <v>15767.242118019785</v>
      </c>
      <c r="M61">
        <v>15153.422014479436</v>
      </c>
      <c r="N61">
        <v>16321.026939228712</v>
      </c>
      <c r="O61">
        <v>17112.928336932138</v>
      </c>
      <c r="P61">
        <v>17983.309885067451</v>
      </c>
      <c r="Q61">
        <v>27857.332550024286</v>
      </c>
      <c r="R61">
        <v>42739.695302553075</v>
      </c>
      <c r="S61">
        <v>50212.581805588146</v>
      </c>
      <c r="T61">
        <v>43432.409569139214</v>
      </c>
      <c r="U61">
        <v>37232.230716853723</v>
      </c>
      <c r="V61">
        <v>32899.963238747863</v>
      </c>
      <c r="W61">
        <v>32472.155244776466</v>
      </c>
      <c r="X61">
        <v>35363.637911411686</v>
      </c>
      <c r="Y61">
        <v>42494.121380415119</v>
      </c>
      <c r="Z61">
        <v>51314.990455553379</v>
      </c>
      <c r="AA61">
        <v>59659.483974620547</v>
      </c>
      <c r="AB61">
        <v>65797.145431042532</v>
      </c>
      <c r="AC61">
        <v>65954.078874060942</v>
      </c>
      <c r="AD61">
        <v>66112.581651509536</v>
      </c>
    </row>
    <row r="62" spans="2:30" x14ac:dyDescent="0.2">
      <c r="C62" t="s">
        <v>254</v>
      </c>
      <c r="D62">
        <v>33685</v>
      </c>
      <c r="E62">
        <v>36222.867948895349</v>
      </c>
      <c r="F62">
        <v>23670.279991780451</v>
      </c>
      <c r="G62">
        <v>27572.453783830766</v>
      </c>
      <c r="H62">
        <v>26668.175484013555</v>
      </c>
      <c r="I62">
        <v>27244.030815873513</v>
      </c>
      <c r="J62">
        <v>26195.428332514923</v>
      </c>
      <c r="K62">
        <v>24282.527017200533</v>
      </c>
      <c r="L62">
        <v>25186.893184560067</v>
      </c>
      <c r="M62">
        <v>22453.864486633647</v>
      </c>
      <c r="N62">
        <v>23119.632410197271</v>
      </c>
      <c r="O62">
        <v>22369.130160456265</v>
      </c>
      <c r="P62">
        <v>22141.489214468111</v>
      </c>
      <c r="Q62">
        <v>31733.130783599598</v>
      </c>
      <c r="R62">
        <v>46333.264329625541</v>
      </c>
      <c r="S62">
        <v>53526.40092646749</v>
      </c>
      <c r="T62">
        <v>46470.23496690864</v>
      </c>
      <c r="U62">
        <v>40001.331819820276</v>
      </c>
      <c r="V62">
        <v>35413.83692467471</v>
      </c>
      <c r="W62">
        <v>34742.799982180673</v>
      </c>
      <c r="X62">
        <v>37398.53570038719</v>
      </c>
      <c r="Y62">
        <v>44301.199886602277</v>
      </c>
      <c r="Z62">
        <v>52896.584105983486</v>
      </c>
      <c r="AA62">
        <v>61020.691821857668</v>
      </c>
      <c r="AB62">
        <v>66945.941992263557</v>
      </c>
      <c r="AC62">
        <v>66898.196138220344</v>
      </c>
      <c r="AD62">
        <v>66859.516096527135</v>
      </c>
    </row>
    <row r="64" spans="2:30" s="278" customFormat="1" x14ac:dyDescent="0.2"/>
    <row r="67" spans="2:30" x14ac:dyDescent="0.2">
      <c r="B67" t="s">
        <v>377</v>
      </c>
      <c r="C67" s="240">
        <v>3</v>
      </c>
      <c r="E67" t="s">
        <v>391</v>
      </c>
      <c r="F67">
        <v>0</v>
      </c>
      <c r="G67">
        <v>-1</v>
      </c>
      <c r="H67" t="s">
        <v>384</v>
      </c>
      <c r="O67">
        <v>0.87560095086820766</v>
      </c>
      <c r="Q67" t="s">
        <v>379</v>
      </c>
    </row>
    <row r="68" spans="2:30" x14ac:dyDescent="0.2">
      <c r="O68">
        <v>0.93599317746654209</v>
      </c>
      <c r="Q68">
        <v>5</v>
      </c>
    </row>
    <row r="69" spans="2:30" x14ac:dyDescent="0.2">
      <c r="B69" t="s">
        <v>385</v>
      </c>
      <c r="C69">
        <v>2010</v>
      </c>
      <c r="D69">
        <v>2031</v>
      </c>
      <c r="E69" t="s">
        <v>387</v>
      </c>
      <c r="F69">
        <v>2</v>
      </c>
      <c r="G69">
        <v>1</v>
      </c>
      <c r="H69" t="s">
        <v>388</v>
      </c>
      <c r="O69">
        <v>0.86037793971471077</v>
      </c>
    </row>
    <row r="70" spans="2:30" x14ac:dyDescent="0.2">
      <c r="B70" t="s">
        <v>386</v>
      </c>
      <c r="C70">
        <v>2008</v>
      </c>
      <c r="D70">
        <v>2017</v>
      </c>
      <c r="E70" t="s">
        <v>389</v>
      </c>
      <c r="F70">
        <v>1</v>
      </c>
      <c r="G70">
        <v>1.5</v>
      </c>
      <c r="H70" t="s">
        <v>390</v>
      </c>
      <c r="O70">
        <v>0.77353731109070101</v>
      </c>
    </row>
    <row r="71" spans="2:30" x14ac:dyDescent="0.2">
      <c r="O71">
        <v>0.85440895916575132</v>
      </c>
    </row>
    <row r="72" spans="2:30" x14ac:dyDescent="0.2">
      <c r="O72">
        <v>0.74208684775660005</v>
      </c>
    </row>
    <row r="73" spans="2:30" x14ac:dyDescent="0.2">
      <c r="O73">
        <v>5.0420051860625126</v>
      </c>
    </row>
    <row r="75" spans="2:30" x14ac:dyDescent="0.2">
      <c r="D75">
        <v>2005</v>
      </c>
      <c r="E75">
        <v>2006</v>
      </c>
      <c r="F75">
        <v>2007</v>
      </c>
      <c r="G75">
        <v>2008</v>
      </c>
      <c r="H75">
        <v>2009</v>
      </c>
      <c r="I75">
        <v>2010</v>
      </c>
      <c r="J75">
        <v>2011</v>
      </c>
      <c r="K75">
        <v>2012</v>
      </c>
      <c r="L75">
        <v>2013</v>
      </c>
      <c r="M75">
        <v>2014</v>
      </c>
      <c r="N75">
        <v>2015</v>
      </c>
      <c r="O75">
        <v>2016</v>
      </c>
      <c r="P75">
        <v>2017</v>
      </c>
      <c r="Q75">
        <v>2018</v>
      </c>
      <c r="R75">
        <v>2019</v>
      </c>
      <c r="S75">
        <v>2020</v>
      </c>
      <c r="T75">
        <v>2021</v>
      </c>
      <c r="U75">
        <v>2022</v>
      </c>
      <c r="V75">
        <v>2023</v>
      </c>
      <c r="W75">
        <v>2024</v>
      </c>
      <c r="X75">
        <v>2025</v>
      </c>
      <c r="Y75">
        <v>2026</v>
      </c>
      <c r="Z75">
        <v>2027</v>
      </c>
      <c r="AA75">
        <v>2028</v>
      </c>
      <c r="AB75">
        <v>2029</v>
      </c>
      <c r="AC75">
        <v>2030</v>
      </c>
      <c r="AD75">
        <v>2031</v>
      </c>
    </row>
    <row r="76" spans="2:30" x14ac:dyDescent="0.2">
      <c r="B76" t="s">
        <v>374</v>
      </c>
      <c r="C76" t="s">
        <v>375</v>
      </c>
      <c r="D76">
        <v>6354.72</v>
      </c>
      <c r="E76">
        <v>8623.7719662377203</v>
      </c>
      <c r="F76">
        <v>8587.8671826528644</v>
      </c>
      <c r="G76">
        <v>11679.702558071775</v>
      </c>
      <c r="H76">
        <v>14977.791663858638</v>
      </c>
      <c r="I76">
        <v>16055.368689556281</v>
      </c>
      <c r="J76">
        <v>15035.660830199291</v>
      </c>
      <c r="K76">
        <v>16167.124825409806</v>
      </c>
      <c r="L76">
        <v>13574.196521085734</v>
      </c>
      <c r="M76">
        <v>11454.987926699667</v>
      </c>
      <c r="N76">
        <v>10953.150925514014</v>
      </c>
      <c r="O76">
        <v>9410.7472780695825</v>
      </c>
      <c r="P76">
        <v>8312.7247839461161</v>
      </c>
      <c r="Q76">
        <v>8419.461871581052</v>
      </c>
      <c r="R76">
        <v>8525.1315883396455</v>
      </c>
      <c r="S76">
        <v>8629.7446079306501</v>
      </c>
      <c r="T76">
        <v>8733.3114973257434</v>
      </c>
      <c r="U76">
        <v>8835.8427178268885</v>
      </c>
      <c r="V76">
        <v>8937.3486261230173</v>
      </c>
      <c r="W76">
        <v>9037.8394753361899</v>
      </c>
      <c r="X76">
        <v>9137.3254160572269</v>
      </c>
      <c r="Y76">
        <v>9235.8164973710554</v>
      </c>
      <c r="Z76">
        <v>9333.3226678717438</v>
      </c>
      <c r="AA76">
        <v>9429.8537766674308</v>
      </c>
      <c r="AB76">
        <v>9525.4195743751552</v>
      </c>
      <c r="AC76">
        <v>9620.0297141058036</v>
      </c>
      <c r="AD76">
        <v>9713.6937524391433</v>
      </c>
    </row>
    <row r="77" spans="2:30" x14ac:dyDescent="0.2">
      <c r="C77" t="s">
        <v>376</v>
      </c>
      <c r="D77">
        <v>27330.28</v>
      </c>
      <c r="E77">
        <v>27599.095982657629</v>
      </c>
      <c r="F77">
        <v>15082.412809127589</v>
      </c>
      <c r="G77">
        <v>15892.75122575899</v>
      </c>
      <c r="H77">
        <v>11690.383820154919</v>
      </c>
      <c r="I77">
        <v>14502.607236278016</v>
      </c>
      <c r="J77">
        <v>14475.026004276495</v>
      </c>
      <c r="K77">
        <v>11451.250026048172</v>
      </c>
      <c r="L77">
        <v>14367.471097655342</v>
      </c>
      <c r="M77">
        <v>12903.024151204987</v>
      </c>
      <c r="N77">
        <v>12149.069606615389</v>
      </c>
      <c r="O77">
        <v>11753.126104735184</v>
      </c>
      <c r="P77">
        <v>11207.394201668603</v>
      </c>
      <c r="Q77">
        <v>11095.320259651917</v>
      </c>
      <c r="R77">
        <v>10984.367057055397</v>
      </c>
      <c r="S77">
        <v>10874.523386484841</v>
      </c>
      <c r="T77">
        <v>10765.778152619994</v>
      </c>
      <c r="U77">
        <v>10658.120371093793</v>
      </c>
      <c r="V77">
        <v>10551.539167382856</v>
      </c>
      <c r="W77">
        <v>10446.023775709027</v>
      </c>
      <c r="X77">
        <v>10341.563537951937</v>
      </c>
      <c r="Y77">
        <v>10238.147902572417</v>
      </c>
      <c r="Z77">
        <v>10135.766423546693</v>
      </c>
      <c r="AA77">
        <v>10034.408759311224</v>
      </c>
      <c r="AB77">
        <v>9934.0646717181116</v>
      </c>
      <c r="AC77">
        <v>9834.7240250009309</v>
      </c>
      <c r="AD77">
        <v>9736.3767847509225</v>
      </c>
    </row>
    <row r="78" spans="2:30" x14ac:dyDescent="0.2">
      <c r="C78" t="s">
        <v>254</v>
      </c>
      <c r="D78">
        <v>33685</v>
      </c>
      <c r="E78">
        <v>36222.867948895349</v>
      </c>
      <c r="F78">
        <v>23670.279991780451</v>
      </c>
      <c r="G78">
        <v>27572.453783830766</v>
      </c>
      <c r="H78">
        <v>26668.175484013555</v>
      </c>
      <c r="I78">
        <v>30557.975925834297</v>
      </c>
      <c r="J78">
        <v>29510.686834475786</v>
      </c>
      <c r="K78">
        <v>27618.374851457978</v>
      </c>
      <c r="L78">
        <v>27941.667618741078</v>
      </c>
      <c r="M78">
        <v>24358.012077904656</v>
      </c>
      <c r="N78">
        <v>23102.220532129402</v>
      </c>
      <c r="O78">
        <v>21163.873382804766</v>
      </c>
      <c r="P78">
        <v>19520.118985614718</v>
      </c>
      <c r="Q78">
        <v>19514.782131232969</v>
      </c>
      <c r="R78">
        <v>19509.498645395041</v>
      </c>
      <c r="S78">
        <v>19504.267994415492</v>
      </c>
      <c r="T78">
        <v>19499.089649945738</v>
      </c>
      <c r="U78">
        <v>19493.963088920682</v>
      </c>
      <c r="V78">
        <v>19488.887793505874</v>
      </c>
      <c r="W78">
        <v>19483.863251045215</v>
      </c>
      <c r="X78">
        <v>19478.888954009162</v>
      </c>
      <c r="Y78">
        <v>19473.96439994347</v>
      </c>
      <c r="Z78">
        <v>19469.089091418435</v>
      </c>
      <c r="AA78">
        <v>19464.262535978654</v>
      </c>
      <c r="AB78">
        <v>19459.484246093267</v>
      </c>
      <c r="AC78">
        <v>19454.753739106734</v>
      </c>
      <c r="AD78">
        <v>19450.070537190066</v>
      </c>
    </row>
    <row r="80" spans="2:30" s="278" customFormat="1" x14ac:dyDescent="0.2"/>
    <row r="82" spans="2:30" x14ac:dyDescent="0.2">
      <c r="B82" t="s">
        <v>377</v>
      </c>
      <c r="C82" s="240">
        <v>4</v>
      </c>
      <c r="E82" t="s">
        <v>391</v>
      </c>
      <c r="F82">
        <v>0</v>
      </c>
      <c r="G82">
        <v>-1</v>
      </c>
      <c r="H82" t="s">
        <v>384</v>
      </c>
      <c r="O82">
        <v>0.86262882092955917</v>
      </c>
      <c r="Q82" t="s">
        <v>379</v>
      </c>
    </row>
    <row r="83" spans="2:30" x14ac:dyDescent="0.2">
      <c r="O83">
        <v>0.9312979973373583</v>
      </c>
      <c r="Q83">
        <v>5</v>
      </c>
    </row>
    <row r="84" spans="2:30" x14ac:dyDescent="0.2">
      <c r="B84" t="s">
        <v>385</v>
      </c>
      <c r="C84">
        <v>2010</v>
      </c>
      <c r="D84">
        <v>2031</v>
      </c>
      <c r="E84" t="s">
        <v>387</v>
      </c>
      <c r="F84">
        <v>2</v>
      </c>
      <c r="G84">
        <v>1</v>
      </c>
      <c r="H84" t="s">
        <v>388</v>
      </c>
      <c r="O84">
        <v>0.84987850737839399</v>
      </c>
    </row>
    <row r="85" spans="2:30" x14ac:dyDescent="0.2">
      <c r="B85" t="s">
        <v>386</v>
      </c>
      <c r="C85">
        <v>2008</v>
      </c>
      <c r="D85">
        <v>2017</v>
      </c>
      <c r="E85" t="s">
        <v>389</v>
      </c>
      <c r="F85">
        <v>1</v>
      </c>
      <c r="G85">
        <v>1.5</v>
      </c>
      <c r="H85" t="s">
        <v>390</v>
      </c>
      <c r="O85">
        <v>0.75222485206544876</v>
      </c>
    </row>
    <row r="86" spans="2:30" x14ac:dyDescent="0.2">
      <c r="O86">
        <v>0.84044238936576998</v>
      </c>
    </row>
    <row r="87" spans="2:30" x14ac:dyDescent="0.2">
      <c r="O87">
        <v>0.71075534658356021</v>
      </c>
    </row>
    <row r="88" spans="2:30" x14ac:dyDescent="0.2">
      <c r="O88">
        <v>4.9472279136600905</v>
      </c>
    </row>
    <row r="90" spans="2:30" x14ac:dyDescent="0.2">
      <c r="D90">
        <v>2005</v>
      </c>
      <c r="E90">
        <v>2006</v>
      </c>
      <c r="F90">
        <v>2007</v>
      </c>
      <c r="G90">
        <v>2008</v>
      </c>
      <c r="H90">
        <v>2009</v>
      </c>
      <c r="I90">
        <v>2010</v>
      </c>
      <c r="J90">
        <v>2011</v>
      </c>
      <c r="K90">
        <v>2012</v>
      </c>
      <c r="L90">
        <v>2013</v>
      </c>
      <c r="M90">
        <v>2014</v>
      </c>
      <c r="N90">
        <v>2015</v>
      </c>
      <c r="O90">
        <v>2016</v>
      </c>
      <c r="P90">
        <v>2017</v>
      </c>
      <c r="Q90">
        <v>2018</v>
      </c>
      <c r="R90">
        <v>2019</v>
      </c>
      <c r="S90">
        <v>2020</v>
      </c>
      <c r="T90">
        <v>2021</v>
      </c>
      <c r="U90">
        <v>2022</v>
      </c>
      <c r="V90">
        <v>2023</v>
      </c>
      <c r="W90">
        <v>2024</v>
      </c>
      <c r="X90">
        <v>2025</v>
      </c>
      <c r="Y90">
        <v>2026</v>
      </c>
      <c r="Z90">
        <v>2027</v>
      </c>
      <c r="AA90">
        <v>2028</v>
      </c>
      <c r="AB90">
        <v>2029</v>
      </c>
      <c r="AC90">
        <v>2030</v>
      </c>
      <c r="AD90">
        <v>2031</v>
      </c>
    </row>
    <row r="91" spans="2:30" x14ac:dyDescent="0.2">
      <c r="B91" t="s">
        <v>374</v>
      </c>
      <c r="C91" t="s">
        <v>375</v>
      </c>
      <c r="D91">
        <v>6354.72</v>
      </c>
      <c r="E91">
        <v>8623.7719662377203</v>
      </c>
      <c r="F91">
        <v>8587.8671826528644</v>
      </c>
      <c r="G91">
        <v>20819.702558071775</v>
      </c>
      <c r="H91">
        <v>24117.791663858639</v>
      </c>
      <c r="I91">
        <v>21040.823235010826</v>
      </c>
      <c r="J91">
        <v>20021.115375653833</v>
      </c>
      <c r="K91">
        <v>21152.57937086435</v>
      </c>
      <c r="L91">
        <v>18559.651066540282</v>
      </c>
      <c r="M91">
        <v>16440.442472154213</v>
      </c>
      <c r="N91">
        <v>15938.60547096856</v>
      </c>
      <c r="O91">
        <v>14396.201823524127</v>
      </c>
      <c r="P91">
        <v>13298.17932940066</v>
      </c>
      <c r="Q91">
        <v>4264.916417035598</v>
      </c>
      <c r="R91">
        <v>4370.5861337941897</v>
      </c>
      <c r="S91">
        <v>4475.1991533851951</v>
      </c>
      <c r="T91">
        <v>4578.7660427802884</v>
      </c>
      <c r="U91">
        <v>4681.2972632814326</v>
      </c>
      <c r="V91">
        <v>4782.8031715775624</v>
      </c>
      <c r="W91">
        <v>4883.2940207907341</v>
      </c>
      <c r="X91">
        <v>4982.7799615117729</v>
      </c>
      <c r="Y91">
        <v>5081.2710428256005</v>
      </c>
      <c r="Z91">
        <v>5178.7772133262888</v>
      </c>
      <c r="AA91">
        <v>5275.3083221219749</v>
      </c>
      <c r="AB91">
        <v>5370.8741198296993</v>
      </c>
      <c r="AC91">
        <v>5465.4842595603486</v>
      </c>
      <c r="AD91">
        <v>5559.1482978936892</v>
      </c>
    </row>
    <row r="92" spans="2:30" x14ac:dyDescent="0.2">
      <c r="C92" t="s">
        <v>376</v>
      </c>
      <c r="D92">
        <v>27330.28</v>
      </c>
      <c r="E92">
        <v>27599.095982657629</v>
      </c>
      <c r="F92">
        <v>15082.412809127589</v>
      </c>
      <c r="G92">
        <v>16687.388787046941</v>
      </c>
      <c r="H92">
        <v>12274.903011162665</v>
      </c>
      <c r="I92">
        <v>14502.607236278016</v>
      </c>
      <c r="J92">
        <v>14475.026004276495</v>
      </c>
      <c r="K92">
        <v>11451.250026048172</v>
      </c>
      <c r="L92">
        <v>14367.471097655342</v>
      </c>
      <c r="M92">
        <v>12903.024151204987</v>
      </c>
      <c r="N92">
        <v>12149.069606615389</v>
      </c>
      <c r="O92">
        <v>11753.126104735184</v>
      </c>
      <c r="P92">
        <v>11207.394201668603</v>
      </c>
      <c r="Q92">
        <v>11207.394201668603</v>
      </c>
      <c r="R92">
        <v>11207.394201668603</v>
      </c>
      <c r="S92">
        <v>11207.394201668603</v>
      </c>
      <c r="T92">
        <v>11207.394201668603</v>
      </c>
      <c r="U92">
        <v>11207.394201668605</v>
      </c>
      <c r="V92">
        <v>11207.394201668603</v>
      </c>
      <c r="W92">
        <v>11207.394201668603</v>
      </c>
      <c r="X92">
        <v>11207.394201668603</v>
      </c>
      <c r="Y92">
        <v>11207.394201668603</v>
      </c>
      <c r="Z92">
        <v>11207.394201668603</v>
      </c>
      <c r="AA92">
        <v>11207.394201668603</v>
      </c>
      <c r="AB92">
        <v>11207.394201668603</v>
      </c>
      <c r="AC92">
        <v>11207.394201668603</v>
      </c>
      <c r="AD92">
        <v>11207.394201668601</v>
      </c>
    </row>
    <row r="93" spans="2:30" x14ac:dyDescent="0.2">
      <c r="C93" t="s">
        <v>254</v>
      </c>
      <c r="D93">
        <v>33685</v>
      </c>
      <c r="E93">
        <v>36222.867948895349</v>
      </c>
      <c r="F93">
        <v>23670.279991780451</v>
      </c>
      <c r="G93">
        <v>37507.091345118715</v>
      </c>
      <c r="H93">
        <v>36392.694675021303</v>
      </c>
      <c r="I93">
        <v>35543.430471288841</v>
      </c>
      <c r="J93">
        <v>34496.141379930326</v>
      </c>
      <c r="K93">
        <v>32603.829396912522</v>
      </c>
      <c r="L93">
        <v>32927.122164195622</v>
      </c>
      <c r="M93">
        <v>29343.4666233592</v>
      </c>
      <c r="N93">
        <v>28087.675077583946</v>
      </c>
      <c r="O93">
        <v>26149.32792825931</v>
      </c>
      <c r="P93">
        <v>24505.573531069262</v>
      </c>
      <c r="Q93">
        <v>15472.310618704201</v>
      </c>
      <c r="R93">
        <v>15577.980335462793</v>
      </c>
      <c r="S93">
        <v>15682.593355053799</v>
      </c>
      <c r="T93">
        <v>15786.160244448893</v>
      </c>
      <c r="U93">
        <v>15888.691464950038</v>
      </c>
      <c r="V93">
        <v>15990.197373246167</v>
      </c>
      <c r="W93">
        <v>16090.688222459337</v>
      </c>
      <c r="X93">
        <v>16190.174163180376</v>
      </c>
      <c r="Y93">
        <v>16288.665244494205</v>
      </c>
      <c r="Z93">
        <v>16386.171414994893</v>
      </c>
      <c r="AA93">
        <v>16482.702523790576</v>
      </c>
      <c r="AB93">
        <v>16578.268321498304</v>
      </c>
      <c r="AC93">
        <v>16672.878461228953</v>
      </c>
      <c r="AD93">
        <v>16766.542499562289</v>
      </c>
    </row>
    <row r="95" spans="2:30" s="278" customFormat="1" ht="12" customHeight="1" x14ac:dyDescent="0.2"/>
    <row r="97" spans="2:30" x14ac:dyDescent="0.2">
      <c r="B97" t="s">
        <v>377</v>
      </c>
      <c r="C97" s="240">
        <v>5</v>
      </c>
      <c r="E97" t="s">
        <v>391</v>
      </c>
      <c r="F97">
        <v>0</v>
      </c>
      <c r="G97">
        <v>-1</v>
      </c>
      <c r="H97" t="s">
        <v>384</v>
      </c>
      <c r="O97">
        <v>0.87088012621370248</v>
      </c>
      <c r="Q97" t="s">
        <v>379</v>
      </c>
    </row>
    <row r="98" spans="2:30" x14ac:dyDescent="0.2">
      <c r="O98">
        <v>0.93378977922627082</v>
      </c>
      <c r="Q98">
        <v>5</v>
      </c>
    </row>
    <row r="99" spans="2:30" x14ac:dyDescent="0.2">
      <c r="B99" t="s">
        <v>385</v>
      </c>
      <c r="C99">
        <v>2010</v>
      </c>
      <c r="D99">
        <v>2031</v>
      </c>
      <c r="E99" t="s">
        <v>387</v>
      </c>
      <c r="F99">
        <v>2</v>
      </c>
      <c r="G99">
        <v>1</v>
      </c>
      <c r="H99" t="s">
        <v>388</v>
      </c>
      <c r="O99">
        <v>0.85638315967776169</v>
      </c>
    </row>
    <row r="100" spans="2:30" x14ac:dyDescent="0.2">
      <c r="B100" t="s">
        <v>386</v>
      </c>
      <c r="C100">
        <v>2008</v>
      </c>
      <c r="D100">
        <v>2017</v>
      </c>
      <c r="E100" t="s">
        <v>389</v>
      </c>
      <c r="F100">
        <v>1</v>
      </c>
      <c r="G100">
        <v>1.5</v>
      </c>
      <c r="H100" t="s">
        <v>390</v>
      </c>
      <c r="O100">
        <v>0.7642139280435053</v>
      </c>
    </row>
    <row r="101" spans="2:30" x14ac:dyDescent="0.2">
      <c r="O101">
        <v>0.85132887166987614</v>
      </c>
    </row>
    <row r="102" spans="2:30" x14ac:dyDescent="0.2">
      <c r="O102">
        <v>0.74093547796487669</v>
      </c>
    </row>
    <row r="103" spans="2:30" x14ac:dyDescent="0.2">
      <c r="O103">
        <v>5.0175313427959933</v>
      </c>
    </row>
    <row r="105" spans="2:30" x14ac:dyDescent="0.2">
      <c r="D105">
        <v>2005</v>
      </c>
      <c r="E105">
        <v>2006</v>
      </c>
      <c r="F105">
        <v>2007</v>
      </c>
      <c r="G105">
        <v>2008</v>
      </c>
      <c r="H105">
        <v>2009</v>
      </c>
      <c r="I105">
        <v>2010</v>
      </c>
      <c r="J105">
        <v>2011</v>
      </c>
      <c r="K105">
        <v>2012</v>
      </c>
      <c r="L105">
        <v>2013</v>
      </c>
      <c r="M105">
        <v>2014</v>
      </c>
      <c r="N105">
        <v>2015</v>
      </c>
      <c r="O105">
        <v>2016</v>
      </c>
      <c r="P105">
        <v>2017</v>
      </c>
      <c r="Q105">
        <v>2018</v>
      </c>
      <c r="R105">
        <v>2019</v>
      </c>
      <c r="S105">
        <v>2020</v>
      </c>
      <c r="T105">
        <v>2021</v>
      </c>
      <c r="U105">
        <v>2022</v>
      </c>
      <c r="V105">
        <v>2023</v>
      </c>
      <c r="W105">
        <v>2024</v>
      </c>
      <c r="X105">
        <v>2025</v>
      </c>
      <c r="Y105">
        <v>2026</v>
      </c>
      <c r="Z105">
        <v>2027</v>
      </c>
      <c r="AA105">
        <v>2028</v>
      </c>
      <c r="AB105">
        <v>2029</v>
      </c>
      <c r="AC105">
        <v>2030</v>
      </c>
      <c r="AD105">
        <v>2031</v>
      </c>
    </row>
    <row r="106" spans="2:30" x14ac:dyDescent="0.2">
      <c r="B106" t="s">
        <v>374</v>
      </c>
      <c r="C106" t="s">
        <v>375</v>
      </c>
      <c r="D106">
        <v>6354.72</v>
      </c>
      <c r="E106">
        <v>8623.7719662377203</v>
      </c>
      <c r="F106">
        <v>8587.8671826528644</v>
      </c>
      <c r="G106">
        <v>11679.702558071775</v>
      </c>
      <c r="H106">
        <v>14977.791663858638</v>
      </c>
      <c r="I106">
        <v>30400.823235010823</v>
      </c>
      <c r="J106">
        <v>30781.115375653837</v>
      </c>
      <c r="K106">
        <v>33012.579370864354</v>
      </c>
      <c r="L106">
        <v>31419.651066540282</v>
      </c>
      <c r="M106">
        <v>17300.442472154213</v>
      </c>
      <c r="N106">
        <v>6798.6054709685595</v>
      </c>
      <c r="O106">
        <v>5256.2018235241276</v>
      </c>
      <c r="P106">
        <v>4158.1793294006602</v>
      </c>
      <c r="Q106">
        <v>4264.916417035598</v>
      </c>
      <c r="R106">
        <v>4370.5861337941897</v>
      </c>
      <c r="S106">
        <v>4475.1991533851951</v>
      </c>
      <c r="T106">
        <v>4578.7660427802884</v>
      </c>
      <c r="U106">
        <v>4681.2972632814326</v>
      </c>
      <c r="V106">
        <v>4782.8031715775624</v>
      </c>
      <c r="W106">
        <v>4883.2940207907341</v>
      </c>
      <c r="X106">
        <v>4982.7799615117729</v>
      </c>
      <c r="Y106">
        <v>5081.2710428256005</v>
      </c>
      <c r="Z106">
        <v>5178.7772133262888</v>
      </c>
      <c r="AA106">
        <v>5275.3083221219749</v>
      </c>
      <c r="AB106">
        <v>5370.8741198296993</v>
      </c>
      <c r="AC106">
        <v>5465.4842595603486</v>
      </c>
      <c r="AD106">
        <v>5559.1482978936892</v>
      </c>
    </row>
    <row r="107" spans="2:30" x14ac:dyDescent="0.2">
      <c r="C107" t="s">
        <v>376</v>
      </c>
      <c r="D107">
        <v>27330.28</v>
      </c>
      <c r="E107">
        <v>27599.095982657629</v>
      </c>
      <c r="F107">
        <v>15082.412809127589</v>
      </c>
      <c r="G107">
        <v>15892.75122575899</v>
      </c>
      <c r="H107">
        <v>11690.383820154919</v>
      </c>
      <c r="I107">
        <v>14847.907408570349</v>
      </c>
      <c r="J107">
        <v>14819.669480568786</v>
      </c>
      <c r="K107">
        <v>11723.898836192175</v>
      </c>
      <c r="L107">
        <v>14709.55374283761</v>
      </c>
      <c r="M107">
        <v>13210.239011947964</v>
      </c>
      <c r="N107">
        <v>13276.290207007702</v>
      </c>
      <c r="O107">
        <v>13342.671658042736</v>
      </c>
      <c r="P107">
        <v>13409.38501633295</v>
      </c>
      <c r="Q107">
        <v>13476.431941414614</v>
      </c>
      <c r="R107">
        <v>13543.814101121685</v>
      </c>
      <c r="S107">
        <v>13611.533171627292</v>
      </c>
      <c r="T107">
        <v>13679.590837485428</v>
      </c>
      <c r="U107">
        <v>13747.988791672855</v>
      </c>
      <c r="V107">
        <v>13816.728735631215</v>
      </c>
      <c r="W107">
        <v>13885.812379309369</v>
      </c>
      <c r="X107">
        <v>13955.241441205915</v>
      </c>
      <c r="Y107">
        <v>14025.017648411944</v>
      </c>
      <c r="Z107">
        <v>14095.142736654003</v>
      </c>
      <c r="AA107">
        <v>14165.618450337271</v>
      </c>
      <c r="AB107">
        <v>14236.446542588954</v>
      </c>
      <c r="AC107">
        <v>14307.628775301901</v>
      </c>
      <c r="AD107">
        <v>14379.166919178406</v>
      </c>
    </row>
    <row r="108" spans="2:30" x14ac:dyDescent="0.2">
      <c r="C108" t="s">
        <v>254</v>
      </c>
      <c r="D108">
        <v>33685</v>
      </c>
      <c r="E108">
        <v>36222.867948895349</v>
      </c>
      <c r="F108">
        <v>23670.279991780451</v>
      </c>
      <c r="G108">
        <v>27572.453783830766</v>
      </c>
      <c r="H108">
        <v>26668.175484013555</v>
      </c>
      <c r="I108">
        <v>45248.73064358117</v>
      </c>
      <c r="J108">
        <v>45600.784856222621</v>
      </c>
      <c r="K108">
        <v>44736.478207056527</v>
      </c>
      <c r="L108">
        <v>46129.204809377894</v>
      </c>
      <c r="M108">
        <v>30510.681484102177</v>
      </c>
      <c r="N108">
        <v>20074.895677976259</v>
      </c>
      <c r="O108">
        <v>18598.873481566865</v>
      </c>
      <c r="P108">
        <v>17567.564345733612</v>
      </c>
      <c r="Q108">
        <v>17741.34835845021</v>
      </c>
      <c r="R108">
        <v>17914.400234915876</v>
      </c>
      <c r="S108">
        <v>18086.732325012486</v>
      </c>
      <c r="T108">
        <v>18258.356880265717</v>
      </c>
      <c r="U108">
        <v>18429.286054954289</v>
      </c>
      <c r="V108">
        <v>18599.531907208777</v>
      </c>
      <c r="W108">
        <v>18769.106400100103</v>
      </c>
      <c r="X108">
        <v>18938.021402717688</v>
      </c>
      <c r="Y108">
        <v>19106.288691237543</v>
      </c>
      <c r="Z108">
        <v>19273.919949980293</v>
      </c>
      <c r="AA108">
        <v>19440.926772459246</v>
      </c>
      <c r="AB108">
        <v>19607.320662418653</v>
      </c>
      <c r="AC108">
        <v>19773.11303486225</v>
      </c>
      <c r="AD108">
        <v>19938.315217072093</v>
      </c>
    </row>
    <row r="110" spans="2:30" s="278" customFormat="1" x14ac:dyDescent="0.2"/>
    <row r="112" spans="2:30" x14ac:dyDescent="0.2">
      <c r="B112" s="665" t="s">
        <v>375</v>
      </c>
    </row>
    <row r="113" spans="2:30" x14ac:dyDescent="0.2">
      <c r="D113">
        <v>2005</v>
      </c>
      <c r="E113">
        <v>2006</v>
      </c>
      <c r="F113">
        <v>2007</v>
      </c>
      <c r="G113">
        <v>2008</v>
      </c>
      <c r="H113">
        <v>2009</v>
      </c>
      <c r="I113">
        <v>2010</v>
      </c>
      <c r="J113">
        <v>2011</v>
      </c>
      <c r="K113">
        <v>2012</v>
      </c>
      <c r="L113">
        <v>2013</v>
      </c>
      <c r="M113">
        <v>2014</v>
      </c>
      <c r="N113">
        <v>2015</v>
      </c>
      <c r="O113">
        <v>2016</v>
      </c>
      <c r="P113">
        <v>2017</v>
      </c>
      <c r="Q113">
        <v>2018</v>
      </c>
      <c r="R113">
        <v>2019</v>
      </c>
      <c r="S113">
        <v>2020</v>
      </c>
      <c r="T113">
        <v>2021</v>
      </c>
      <c r="U113">
        <v>2022</v>
      </c>
      <c r="V113">
        <v>2023</v>
      </c>
      <c r="W113">
        <v>2024</v>
      </c>
      <c r="X113">
        <v>2025</v>
      </c>
      <c r="Y113">
        <v>2026</v>
      </c>
      <c r="Z113">
        <v>2027</v>
      </c>
      <c r="AA113">
        <v>2028</v>
      </c>
      <c r="AB113">
        <v>2029</v>
      </c>
      <c r="AC113">
        <v>2030</v>
      </c>
      <c r="AD113">
        <v>2031</v>
      </c>
    </row>
    <row r="114" spans="2:30" x14ac:dyDescent="0.2">
      <c r="C114" t="s">
        <v>224</v>
      </c>
      <c r="D114" s="550">
        <v>6354.72</v>
      </c>
      <c r="E114" s="550">
        <v>8623.7719662377203</v>
      </c>
      <c r="F114" s="550">
        <v>8587.8671826528644</v>
      </c>
      <c r="G114" s="550">
        <v>11679.702558071775</v>
      </c>
      <c r="H114" s="550">
        <v>14977.791663858638</v>
      </c>
      <c r="I114" s="550">
        <v>11900.823235010826</v>
      </c>
      <c r="J114" s="550">
        <v>10881.115375653835</v>
      </c>
      <c r="K114" s="550">
        <v>12012.57937086435</v>
      </c>
      <c r="L114" s="550">
        <v>9419.6510665402802</v>
      </c>
      <c r="M114" s="550">
        <v>7300.4424721542118</v>
      </c>
      <c r="N114" s="550">
        <v>6798.6054709685595</v>
      </c>
      <c r="O114" s="550">
        <v>5256.2018235241276</v>
      </c>
      <c r="P114" s="550">
        <v>4158.1793294006602</v>
      </c>
      <c r="Q114" s="550">
        <v>4264.916417035598</v>
      </c>
      <c r="R114" s="550">
        <v>4370.5861337941897</v>
      </c>
      <c r="S114" s="550">
        <v>4475.1991533851951</v>
      </c>
      <c r="T114" s="550">
        <v>4578.7660427802884</v>
      </c>
      <c r="U114" s="550">
        <v>4681.2972632814326</v>
      </c>
      <c r="V114" s="550">
        <v>4782.8031715775624</v>
      </c>
      <c r="W114" s="550">
        <v>4883.2940207907341</v>
      </c>
      <c r="X114" s="550">
        <v>4982.7799615117729</v>
      </c>
      <c r="Y114" s="550">
        <v>5081.2710428256005</v>
      </c>
      <c r="Z114" s="550">
        <v>5178.7772133262888</v>
      </c>
      <c r="AA114" s="550">
        <v>5275.3083221219749</v>
      </c>
      <c r="AB114" s="550">
        <v>5370.8741198296993</v>
      </c>
      <c r="AC114" s="550">
        <v>5465.4842595603486</v>
      </c>
      <c r="AD114" s="550">
        <v>5559.1482978936892</v>
      </c>
    </row>
    <row r="115" spans="2:30" x14ac:dyDescent="0.2">
      <c r="C115" s="550" t="s">
        <v>225</v>
      </c>
      <c r="D115" s="550">
        <v>6354.72</v>
      </c>
      <c r="E115" s="550">
        <v>8623.7719662377203</v>
      </c>
      <c r="F115" s="550">
        <v>8587.8671826528644</v>
      </c>
      <c r="G115" s="550">
        <v>11679.702558071775</v>
      </c>
      <c r="H115" s="550">
        <v>14977.791663858638</v>
      </c>
      <c r="I115" s="550">
        <v>11900.823235010826</v>
      </c>
      <c r="J115" s="550">
        <v>10881.115375653835</v>
      </c>
      <c r="K115" s="550">
        <v>12012.57937086435</v>
      </c>
      <c r="L115" s="550">
        <v>9419.6510665402802</v>
      </c>
      <c r="M115" s="550">
        <v>7300.4424721542118</v>
      </c>
      <c r="N115" s="550">
        <v>6798.6054709685595</v>
      </c>
      <c r="O115" s="550">
        <v>5256.2018235241276</v>
      </c>
      <c r="P115" s="550">
        <v>4158.1793294006602</v>
      </c>
      <c r="Q115" s="550">
        <v>3875.7982335753127</v>
      </c>
      <c r="R115" s="550">
        <v>3593.5690270724635</v>
      </c>
      <c r="S115" s="550">
        <v>3313.8191208793428</v>
      </c>
      <c r="T115" s="550">
        <v>3037.8253977694262</v>
      </c>
      <c r="U115" s="550">
        <v>2769.1011029665542</v>
      </c>
      <c r="V115" s="550">
        <v>2513.8736859268433</v>
      </c>
      <c r="W115" s="550">
        <v>2270.6447374042036</v>
      </c>
      <c r="X115" s="550">
        <v>2034.8977889755022</v>
      </c>
      <c r="Y115" s="550">
        <v>1807.07850618716</v>
      </c>
      <c r="Z115" s="550">
        <v>1581.5936504301085</v>
      </c>
      <c r="AA115" s="550">
        <v>1361.2078472371229</v>
      </c>
      <c r="AB115" s="550">
        <v>1148.7965612210201</v>
      </c>
      <c r="AC115" s="550">
        <v>944.11726415940097</v>
      </c>
      <c r="AD115" s="550">
        <v>746.93444501760325</v>
      </c>
    </row>
    <row r="116" spans="2:30" x14ac:dyDescent="0.2">
      <c r="C116" s="550" t="s">
        <v>226</v>
      </c>
      <c r="D116" s="550">
        <v>6354.72</v>
      </c>
      <c r="E116" s="550">
        <v>8623.7719662377203</v>
      </c>
      <c r="F116" s="550">
        <v>8587.8671826528644</v>
      </c>
      <c r="G116" s="550">
        <v>11679.702558071775</v>
      </c>
      <c r="H116" s="550">
        <v>14977.791663858638</v>
      </c>
      <c r="I116" s="550">
        <v>16055.368689556281</v>
      </c>
      <c r="J116" s="550">
        <v>15035.660830199291</v>
      </c>
      <c r="K116" s="550">
        <v>16167.124825409806</v>
      </c>
      <c r="L116" s="550">
        <v>13574.196521085734</v>
      </c>
      <c r="M116" s="550">
        <v>11454.987926699667</v>
      </c>
      <c r="N116" s="550">
        <v>10953.150925514014</v>
      </c>
      <c r="O116" s="550">
        <v>9410.7472780695825</v>
      </c>
      <c r="P116" s="550">
        <v>8312.7247839461161</v>
      </c>
      <c r="Q116" s="550">
        <v>8419.461871581052</v>
      </c>
      <c r="R116" s="550">
        <v>8525.1315883396455</v>
      </c>
      <c r="S116" s="550">
        <v>8629.7446079306501</v>
      </c>
      <c r="T116" s="550">
        <v>8733.3114973257434</v>
      </c>
      <c r="U116" s="550">
        <v>8835.8427178268885</v>
      </c>
      <c r="V116" s="550">
        <v>8937.3486261230173</v>
      </c>
      <c r="W116" s="550">
        <v>9037.8394753361899</v>
      </c>
      <c r="X116" s="550">
        <v>9137.3254160572269</v>
      </c>
      <c r="Y116" s="550">
        <v>9235.8164973710554</v>
      </c>
      <c r="Z116" s="550">
        <v>9333.3226678717438</v>
      </c>
      <c r="AA116" s="550">
        <v>9429.8537766674308</v>
      </c>
      <c r="AB116" s="550">
        <v>9525.4195743751552</v>
      </c>
      <c r="AC116" s="550">
        <v>9620.0297141058036</v>
      </c>
      <c r="AD116" s="550">
        <v>9713.6937524391433</v>
      </c>
    </row>
    <row r="117" spans="2:30" x14ac:dyDescent="0.2">
      <c r="C117" s="550" t="s">
        <v>392</v>
      </c>
      <c r="D117" s="550">
        <v>6354.72</v>
      </c>
      <c r="E117" s="550">
        <v>8623.7719662377203</v>
      </c>
      <c r="F117" s="550">
        <v>8587.8671826528644</v>
      </c>
      <c r="G117" s="550">
        <v>20819.702558071775</v>
      </c>
      <c r="H117" s="550">
        <v>24117.791663858639</v>
      </c>
      <c r="I117" s="550">
        <v>21040.823235010826</v>
      </c>
      <c r="J117" s="550">
        <v>20021.115375653833</v>
      </c>
      <c r="K117" s="550">
        <v>21152.57937086435</v>
      </c>
      <c r="L117" s="550">
        <v>18559.651066540282</v>
      </c>
      <c r="M117" s="550">
        <v>16440.442472154213</v>
      </c>
      <c r="N117" s="550">
        <v>15938.60547096856</v>
      </c>
      <c r="O117" s="550">
        <v>14396.201823524127</v>
      </c>
      <c r="P117" s="550">
        <v>13298.17932940066</v>
      </c>
      <c r="Q117" s="550">
        <v>4264.916417035598</v>
      </c>
      <c r="R117" s="550">
        <v>4370.5861337941897</v>
      </c>
      <c r="S117" s="550">
        <v>4475.1991533851951</v>
      </c>
      <c r="T117" s="550">
        <v>4578.7660427802884</v>
      </c>
      <c r="U117" s="550">
        <v>4681.2972632814326</v>
      </c>
      <c r="V117" s="550">
        <v>4782.8031715775624</v>
      </c>
      <c r="W117" s="550">
        <v>4883.2940207907341</v>
      </c>
      <c r="X117" s="550">
        <v>4982.7799615117729</v>
      </c>
      <c r="Y117" s="550">
        <v>5081.2710428256005</v>
      </c>
      <c r="Z117" s="550">
        <v>5178.7772133262888</v>
      </c>
      <c r="AA117" s="550">
        <v>5275.3083221219749</v>
      </c>
      <c r="AB117" s="550">
        <v>5370.8741198296993</v>
      </c>
      <c r="AC117" s="550">
        <v>5465.4842595603486</v>
      </c>
      <c r="AD117" s="550">
        <v>5559.1482978936892</v>
      </c>
    </row>
    <row r="118" spans="2:30" x14ac:dyDescent="0.2">
      <c r="C118" s="550" t="s">
        <v>393</v>
      </c>
      <c r="D118" s="550">
        <v>6354.72</v>
      </c>
      <c r="E118" s="550">
        <v>8623.7719662377203</v>
      </c>
      <c r="F118" s="550">
        <v>8587.8671826528644</v>
      </c>
      <c r="G118" s="550">
        <v>11679.702558071775</v>
      </c>
      <c r="H118" s="550">
        <v>14977.791663858638</v>
      </c>
      <c r="I118" s="550">
        <v>30400.823235010823</v>
      </c>
      <c r="J118" s="550">
        <v>30781.115375653837</v>
      </c>
      <c r="K118" s="550">
        <v>33012.579370864354</v>
      </c>
      <c r="L118" s="550">
        <v>31419.651066540282</v>
      </c>
      <c r="M118" s="550">
        <v>17300.442472154213</v>
      </c>
      <c r="N118" s="550">
        <v>6798.6054709685595</v>
      </c>
      <c r="O118" s="550">
        <v>5256.2018235241276</v>
      </c>
      <c r="P118" s="550">
        <v>4158.1793294006602</v>
      </c>
      <c r="Q118" s="550">
        <v>4264.916417035598</v>
      </c>
      <c r="R118" s="550">
        <v>4370.5861337941897</v>
      </c>
      <c r="S118" s="550">
        <v>4475.1991533851951</v>
      </c>
      <c r="T118" s="550">
        <v>4578.7660427802884</v>
      </c>
      <c r="U118" s="550">
        <v>4681.2972632814326</v>
      </c>
      <c r="V118" s="550">
        <v>4782.8031715775624</v>
      </c>
      <c r="W118" s="550">
        <v>4883.2940207907341</v>
      </c>
      <c r="X118" s="550">
        <v>4982.7799615117729</v>
      </c>
      <c r="Y118" s="550">
        <v>5081.2710428256005</v>
      </c>
      <c r="Z118" s="550">
        <v>5178.7772133262888</v>
      </c>
      <c r="AA118" s="550">
        <v>5275.3083221219749</v>
      </c>
      <c r="AB118" s="550">
        <v>5370.8741198296993</v>
      </c>
      <c r="AC118" s="550">
        <v>5465.4842595603486</v>
      </c>
      <c r="AD118" s="550">
        <v>5559.1482978936892</v>
      </c>
    </row>
    <row r="127" spans="2:30" x14ac:dyDescent="0.2">
      <c r="B127" s="666" t="s">
        <v>376</v>
      </c>
    </row>
    <row r="129" spans="2:30" s="550" customFormat="1" x14ac:dyDescent="0.2">
      <c r="D129" s="550">
        <v>2005</v>
      </c>
      <c r="E129" s="550">
        <v>2006</v>
      </c>
      <c r="F129" s="550">
        <v>2007</v>
      </c>
      <c r="G129" s="550">
        <v>2008</v>
      </c>
      <c r="H129" s="550">
        <v>2009</v>
      </c>
      <c r="I129" s="550">
        <v>2010</v>
      </c>
      <c r="J129" s="550">
        <v>2011</v>
      </c>
      <c r="K129" s="550">
        <v>2012</v>
      </c>
      <c r="L129" s="550">
        <v>2013</v>
      </c>
      <c r="M129" s="550">
        <v>2014</v>
      </c>
      <c r="N129" s="550">
        <v>2015</v>
      </c>
      <c r="O129" s="550">
        <v>2016</v>
      </c>
      <c r="P129" s="550">
        <v>2017</v>
      </c>
      <c r="Q129" s="550">
        <v>2018</v>
      </c>
      <c r="R129" s="550">
        <v>2019</v>
      </c>
      <c r="S129" s="550">
        <v>2020</v>
      </c>
      <c r="T129" s="550">
        <v>2021</v>
      </c>
      <c r="U129" s="550">
        <v>2022</v>
      </c>
      <c r="V129" s="550">
        <v>2023</v>
      </c>
      <c r="W129" s="550">
        <v>2024</v>
      </c>
      <c r="X129" s="550">
        <v>2025</v>
      </c>
      <c r="Y129" s="550">
        <v>2026</v>
      </c>
      <c r="Z129" s="550">
        <v>2027</v>
      </c>
      <c r="AA129" s="550">
        <v>2028</v>
      </c>
      <c r="AB129" s="550">
        <v>2029</v>
      </c>
      <c r="AC129" s="550">
        <v>2030</v>
      </c>
      <c r="AD129" s="550">
        <v>2031</v>
      </c>
    </row>
    <row r="130" spans="2:30" s="550" customFormat="1" x14ac:dyDescent="0.2">
      <c r="C130" s="550" t="s">
        <v>224</v>
      </c>
      <c r="D130" s="550">
        <v>27330.28</v>
      </c>
      <c r="E130" s="550">
        <v>27599.095982657629</v>
      </c>
      <c r="F130" s="550">
        <v>15082.412809127589</v>
      </c>
      <c r="G130" s="550">
        <v>15892.75122575899</v>
      </c>
      <c r="H130" s="550">
        <v>11690.383820154919</v>
      </c>
      <c r="I130" s="550">
        <v>13812.006891693349</v>
      </c>
      <c r="J130" s="550">
        <v>13785.739051691897</v>
      </c>
      <c r="K130" s="550">
        <v>10905.952405760163</v>
      </c>
      <c r="L130" s="550">
        <v>13683.305807290801</v>
      </c>
      <c r="M130" s="550">
        <v>12288.594429719034</v>
      </c>
      <c r="N130" s="550">
        <v>11570.542482490846</v>
      </c>
      <c r="O130" s="550">
        <v>11193.453433081128</v>
      </c>
      <c r="P130" s="550">
        <v>10673.708763493907</v>
      </c>
      <c r="Q130" s="550">
        <v>10566.971675858968</v>
      </c>
      <c r="R130" s="550">
        <v>10461.301959100378</v>
      </c>
      <c r="S130" s="550">
        <v>10356.688939509373</v>
      </c>
      <c r="T130" s="550">
        <v>10253.12205011428</v>
      </c>
      <c r="U130" s="550">
        <v>10150.590829613137</v>
      </c>
      <c r="V130" s="550">
        <v>10049.084921317006</v>
      </c>
      <c r="W130" s="550">
        <v>9948.5940721038351</v>
      </c>
      <c r="X130" s="550">
        <v>9849.1081313827963</v>
      </c>
      <c r="Y130" s="550">
        <v>9750.6170500689677</v>
      </c>
      <c r="Z130" s="550">
        <v>9653.1108795682776</v>
      </c>
      <c r="AA130" s="550">
        <v>9556.5797707725942</v>
      </c>
      <c r="AB130" s="550">
        <v>9461.013973064868</v>
      </c>
      <c r="AC130" s="550">
        <v>9366.4038333342196</v>
      </c>
      <c r="AD130" s="550">
        <v>9272.7397950008781</v>
      </c>
    </row>
    <row r="131" spans="2:30" s="550" customFormat="1" x14ac:dyDescent="0.2">
      <c r="C131" s="550" t="s">
        <v>225</v>
      </c>
      <c r="D131" s="550">
        <v>27330.28</v>
      </c>
      <c r="E131" s="550">
        <v>27599.095982657629</v>
      </c>
      <c r="F131" s="550">
        <v>15082.412809127589</v>
      </c>
      <c r="G131" s="550">
        <v>15892.75122575899</v>
      </c>
      <c r="H131" s="550">
        <v>11690.383820154919</v>
      </c>
      <c r="I131" s="550">
        <v>15343.207580862685</v>
      </c>
      <c r="J131" s="550">
        <v>15314.312956861086</v>
      </c>
      <c r="K131" s="550">
        <v>12269.947646336181</v>
      </c>
      <c r="L131" s="550">
        <v>15767.242118019785</v>
      </c>
      <c r="M131" s="550">
        <v>15153.422014479436</v>
      </c>
      <c r="N131" s="550">
        <v>16321.026939228712</v>
      </c>
      <c r="O131" s="550">
        <v>17112.928336932138</v>
      </c>
      <c r="P131" s="550">
        <v>17983.309885067451</v>
      </c>
      <c r="Q131" s="550">
        <v>27857.332550024286</v>
      </c>
      <c r="R131" s="550">
        <v>42739.695302553075</v>
      </c>
      <c r="S131" s="550">
        <v>50212.581805588146</v>
      </c>
      <c r="T131" s="550">
        <v>43432.409569139214</v>
      </c>
      <c r="U131" s="550">
        <v>37232.230716853723</v>
      </c>
      <c r="V131" s="550">
        <v>32899.963238747863</v>
      </c>
      <c r="W131" s="550">
        <v>32472.155244776466</v>
      </c>
      <c r="X131" s="550">
        <v>35363.637911411686</v>
      </c>
      <c r="Y131" s="550">
        <v>42494.121380415119</v>
      </c>
      <c r="Z131" s="550">
        <v>51314.990455553379</v>
      </c>
      <c r="AA131" s="550">
        <v>59659.483974620547</v>
      </c>
      <c r="AB131" s="550">
        <v>65797.145431042532</v>
      </c>
      <c r="AC131" s="550">
        <v>65954.078874060942</v>
      </c>
      <c r="AD131" s="550">
        <v>66112.581651509536</v>
      </c>
    </row>
    <row r="132" spans="2:30" s="550" customFormat="1" x14ac:dyDescent="0.2">
      <c r="C132" s="550" t="s">
        <v>226</v>
      </c>
      <c r="D132" s="550">
        <v>27330.28</v>
      </c>
      <c r="E132" s="550">
        <v>27599.095982657629</v>
      </c>
      <c r="F132" s="550">
        <v>15082.412809127589</v>
      </c>
      <c r="G132" s="550">
        <v>15892.75122575899</v>
      </c>
      <c r="H132" s="550">
        <v>11690.383820154919</v>
      </c>
      <c r="I132" s="550">
        <v>14502.607236278016</v>
      </c>
      <c r="J132" s="550">
        <v>14475.026004276495</v>
      </c>
      <c r="K132" s="550">
        <v>11451.250026048172</v>
      </c>
      <c r="L132" s="550">
        <v>14367.471097655342</v>
      </c>
      <c r="M132" s="550">
        <v>12903.024151204987</v>
      </c>
      <c r="N132" s="550">
        <v>12149.069606615389</v>
      </c>
      <c r="O132" s="550">
        <v>11753.126104735184</v>
      </c>
      <c r="P132" s="550">
        <v>11207.394201668603</v>
      </c>
      <c r="Q132" s="550">
        <v>11095.320259651917</v>
      </c>
      <c r="R132" s="550">
        <v>10984.367057055397</v>
      </c>
      <c r="S132" s="550">
        <v>10874.523386484841</v>
      </c>
      <c r="T132" s="550">
        <v>10765.778152619994</v>
      </c>
      <c r="U132" s="550">
        <v>10658.120371093793</v>
      </c>
      <c r="V132" s="550">
        <v>10551.539167382856</v>
      </c>
      <c r="W132" s="550">
        <v>10446.023775709027</v>
      </c>
      <c r="X132" s="550">
        <v>10341.563537951937</v>
      </c>
      <c r="Y132" s="550">
        <v>10238.147902572417</v>
      </c>
      <c r="Z132" s="550">
        <v>10135.766423546693</v>
      </c>
      <c r="AA132" s="550">
        <v>10034.408759311224</v>
      </c>
      <c r="AB132" s="550">
        <v>9934.0646717181116</v>
      </c>
      <c r="AC132" s="550">
        <v>9834.7240250009309</v>
      </c>
      <c r="AD132" s="550">
        <v>9736.3767847509225</v>
      </c>
    </row>
    <row r="133" spans="2:30" s="550" customFormat="1" x14ac:dyDescent="0.2">
      <c r="C133" s="550" t="s">
        <v>392</v>
      </c>
      <c r="D133" s="550">
        <v>27330.28</v>
      </c>
      <c r="E133" s="550">
        <v>27599.095982657629</v>
      </c>
      <c r="F133" s="550">
        <v>15082.412809127589</v>
      </c>
      <c r="G133" s="550">
        <v>16687.388787046941</v>
      </c>
      <c r="H133" s="550">
        <v>12274.903011162665</v>
      </c>
      <c r="I133" s="550">
        <v>14502.607236278016</v>
      </c>
      <c r="J133" s="550">
        <v>14475.026004276495</v>
      </c>
      <c r="K133" s="550">
        <v>11451.250026048172</v>
      </c>
      <c r="L133" s="550">
        <v>14367.471097655342</v>
      </c>
      <c r="M133" s="550">
        <v>12903.024151204987</v>
      </c>
      <c r="N133" s="550">
        <v>12149.069606615389</v>
      </c>
      <c r="O133" s="550">
        <v>11753.126104735184</v>
      </c>
      <c r="P133" s="550">
        <v>11207.394201668603</v>
      </c>
      <c r="Q133" s="550">
        <v>11207.394201668603</v>
      </c>
      <c r="R133" s="550">
        <v>11207.394201668603</v>
      </c>
      <c r="S133" s="550">
        <v>11207.394201668603</v>
      </c>
      <c r="T133" s="550">
        <v>11207.394201668603</v>
      </c>
      <c r="U133" s="550">
        <v>11207.394201668605</v>
      </c>
      <c r="V133" s="550">
        <v>11207.394201668603</v>
      </c>
      <c r="W133" s="550">
        <v>11207.394201668603</v>
      </c>
      <c r="X133" s="550">
        <v>11207.394201668603</v>
      </c>
      <c r="Y133" s="550">
        <v>11207.394201668603</v>
      </c>
      <c r="Z133" s="550">
        <v>11207.394201668603</v>
      </c>
      <c r="AA133" s="550">
        <v>11207.394201668603</v>
      </c>
      <c r="AB133" s="550">
        <v>11207.394201668603</v>
      </c>
      <c r="AC133" s="550">
        <v>11207.394201668603</v>
      </c>
      <c r="AD133" s="550">
        <v>11207.394201668601</v>
      </c>
    </row>
    <row r="134" spans="2:30" s="550" customFormat="1" x14ac:dyDescent="0.2">
      <c r="C134" s="550" t="s">
        <v>393</v>
      </c>
      <c r="D134" s="550">
        <v>27330.28</v>
      </c>
      <c r="E134" s="550">
        <v>27599.095982657629</v>
      </c>
      <c r="F134" s="550">
        <v>15082.412809127589</v>
      </c>
      <c r="G134" s="550">
        <v>15892.75122575899</v>
      </c>
      <c r="H134" s="550">
        <v>11690.383820154919</v>
      </c>
      <c r="I134" s="550">
        <v>14847.907408570349</v>
      </c>
      <c r="J134" s="550">
        <v>14819.669480568786</v>
      </c>
      <c r="K134" s="550">
        <v>11723.898836192175</v>
      </c>
      <c r="L134" s="550">
        <v>14709.55374283761</v>
      </c>
      <c r="M134" s="550">
        <v>13210.239011947964</v>
      </c>
      <c r="N134" s="550">
        <v>13276.290207007702</v>
      </c>
      <c r="O134" s="550">
        <v>13342.671658042736</v>
      </c>
      <c r="P134" s="550">
        <v>13409.38501633295</v>
      </c>
      <c r="Q134" s="550">
        <v>13476.431941414614</v>
      </c>
      <c r="R134" s="550">
        <v>13543.814101121685</v>
      </c>
      <c r="S134" s="550">
        <v>13611.533171627292</v>
      </c>
      <c r="T134" s="550">
        <v>13679.590837485428</v>
      </c>
      <c r="U134" s="550">
        <v>13747.988791672855</v>
      </c>
      <c r="V134" s="550">
        <v>13816.728735631215</v>
      </c>
      <c r="W134" s="550">
        <v>13885.812379309369</v>
      </c>
      <c r="X134" s="550">
        <v>13955.241441205915</v>
      </c>
      <c r="Y134" s="550">
        <v>14025.017648411944</v>
      </c>
      <c r="Z134" s="550">
        <v>14095.142736654003</v>
      </c>
      <c r="AA134" s="550">
        <v>14165.618450337271</v>
      </c>
      <c r="AB134" s="550">
        <v>14236.446542588954</v>
      </c>
      <c r="AC134" s="550">
        <v>14307.628775301901</v>
      </c>
      <c r="AD134" s="550">
        <v>14379.166919178406</v>
      </c>
    </row>
    <row r="141" spans="2:30" x14ac:dyDescent="0.2">
      <c r="B141" s="665" t="s">
        <v>254</v>
      </c>
    </row>
    <row r="142" spans="2:30" s="550" customFormat="1" x14ac:dyDescent="0.2">
      <c r="D142" s="550">
        <v>2005</v>
      </c>
      <c r="E142" s="550">
        <v>2006</v>
      </c>
      <c r="F142" s="550">
        <v>2007</v>
      </c>
      <c r="G142" s="550">
        <v>2008</v>
      </c>
      <c r="H142" s="550">
        <v>2009</v>
      </c>
      <c r="I142" s="550">
        <v>2010</v>
      </c>
      <c r="J142" s="550">
        <v>2011</v>
      </c>
      <c r="K142" s="550">
        <v>2012</v>
      </c>
      <c r="L142" s="550">
        <v>2013</v>
      </c>
      <c r="M142" s="550">
        <v>2014</v>
      </c>
      <c r="N142" s="550">
        <v>2015</v>
      </c>
      <c r="O142" s="550">
        <v>2016</v>
      </c>
      <c r="P142" s="550">
        <v>2017</v>
      </c>
      <c r="Q142" s="550">
        <v>2018</v>
      </c>
      <c r="R142" s="550">
        <v>2019</v>
      </c>
      <c r="S142" s="550">
        <v>2020</v>
      </c>
      <c r="T142" s="550">
        <v>2021</v>
      </c>
      <c r="U142" s="550">
        <v>2022</v>
      </c>
      <c r="V142" s="550">
        <v>2023</v>
      </c>
      <c r="W142" s="550">
        <v>2024</v>
      </c>
      <c r="X142" s="550">
        <v>2025</v>
      </c>
      <c r="Y142" s="550">
        <v>2026</v>
      </c>
      <c r="Z142" s="550">
        <v>2027</v>
      </c>
      <c r="AA142" s="550">
        <v>2028</v>
      </c>
      <c r="AB142" s="550">
        <v>2029</v>
      </c>
      <c r="AC142" s="550">
        <v>2030</v>
      </c>
      <c r="AD142" s="550">
        <v>2031</v>
      </c>
    </row>
    <row r="143" spans="2:30" s="550" customFormat="1" x14ac:dyDescent="0.2">
      <c r="C143" s="550" t="s">
        <v>224</v>
      </c>
      <c r="D143" s="550">
        <v>33685</v>
      </c>
      <c r="E143" s="550">
        <v>36222.867948895349</v>
      </c>
      <c r="F143" s="550">
        <v>23670.279991780451</v>
      </c>
      <c r="G143" s="550">
        <v>27572.453783830766</v>
      </c>
      <c r="H143" s="550">
        <v>26668.175484013555</v>
      </c>
      <c r="I143" s="550">
        <v>25712.830126704175</v>
      </c>
      <c r="J143" s="550">
        <v>24666.85442734573</v>
      </c>
      <c r="K143" s="550">
        <v>22918.531776624513</v>
      </c>
      <c r="L143" s="550">
        <v>23102.956873831081</v>
      </c>
      <c r="M143" s="550">
        <v>19589.036901873245</v>
      </c>
      <c r="N143" s="550">
        <v>18369.147953459404</v>
      </c>
      <c r="O143" s="550">
        <v>16449.655256605256</v>
      </c>
      <c r="P143" s="550">
        <v>14831.888092894567</v>
      </c>
      <c r="Q143" s="550">
        <v>14831.888092894565</v>
      </c>
      <c r="R143" s="550">
        <v>14831.888092894567</v>
      </c>
      <c r="S143" s="550">
        <v>14831.888092894569</v>
      </c>
      <c r="T143" s="550">
        <v>14831.888092894569</v>
      </c>
      <c r="U143" s="550">
        <v>14831.888092894569</v>
      </c>
      <c r="V143" s="550">
        <v>14831.888092894569</v>
      </c>
      <c r="W143" s="550">
        <v>14831.888092894569</v>
      </c>
      <c r="X143" s="550">
        <v>14831.888092894569</v>
      </c>
      <c r="Y143" s="550">
        <v>14831.888092894569</v>
      </c>
      <c r="Z143" s="550">
        <v>14831.888092894565</v>
      </c>
      <c r="AA143" s="550">
        <v>14831.888092894569</v>
      </c>
      <c r="AB143" s="550">
        <v>14831.888092894567</v>
      </c>
      <c r="AC143" s="550">
        <v>14831.888092894569</v>
      </c>
      <c r="AD143" s="550">
        <v>14831.888092894567</v>
      </c>
    </row>
    <row r="144" spans="2:30" s="550" customFormat="1" x14ac:dyDescent="0.2">
      <c r="C144" s="550" t="s">
        <v>225</v>
      </c>
      <c r="D144" s="550">
        <v>33685</v>
      </c>
      <c r="E144" s="550">
        <v>36222.867948895349</v>
      </c>
      <c r="F144" s="550">
        <v>23670.279991780451</v>
      </c>
      <c r="G144" s="550">
        <v>27572.453783830766</v>
      </c>
      <c r="H144" s="550">
        <v>26668.175484013555</v>
      </c>
      <c r="I144" s="550">
        <v>27244.030815873513</v>
      </c>
      <c r="J144" s="550">
        <v>26195.428332514923</v>
      </c>
      <c r="K144" s="550">
        <v>24282.527017200533</v>
      </c>
      <c r="L144" s="550">
        <v>25186.893184560067</v>
      </c>
      <c r="M144" s="550">
        <v>22453.864486633647</v>
      </c>
      <c r="N144" s="550">
        <v>23119.632410197271</v>
      </c>
      <c r="O144" s="550">
        <v>22369.130160456265</v>
      </c>
      <c r="P144" s="550">
        <v>22141.489214468111</v>
      </c>
      <c r="Q144" s="550">
        <v>31733.130783599598</v>
      </c>
      <c r="R144" s="550">
        <v>46333.264329625541</v>
      </c>
      <c r="S144" s="550">
        <v>53526.40092646749</v>
      </c>
      <c r="T144" s="550">
        <v>46470.23496690864</v>
      </c>
      <c r="U144" s="550">
        <v>40001.331819820276</v>
      </c>
      <c r="V144" s="550">
        <v>35413.83692467471</v>
      </c>
      <c r="W144" s="550">
        <v>34742.799982180673</v>
      </c>
      <c r="X144" s="550">
        <v>37398.53570038719</v>
      </c>
      <c r="Y144" s="550">
        <v>44301.199886602277</v>
      </c>
      <c r="Z144" s="550">
        <v>52896.584105983486</v>
      </c>
      <c r="AA144" s="550">
        <v>61020.691821857668</v>
      </c>
      <c r="AB144" s="550">
        <v>66945.941992263557</v>
      </c>
      <c r="AC144" s="550">
        <v>66898.196138220344</v>
      </c>
      <c r="AD144" s="550">
        <v>66859.516096527135</v>
      </c>
    </row>
    <row r="145" spans="3:30" s="550" customFormat="1" x14ac:dyDescent="0.2">
      <c r="C145" s="550" t="s">
        <v>226</v>
      </c>
      <c r="D145" s="550">
        <v>33685</v>
      </c>
      <c r="E145" s="550">
        <v>36222.867948895349</v>
      </c>
      <c r="F145" s="550">
        <v>23670.279991780451</v>
      </c>
      <c r="G145" s="550">
        <v>27572.453783830766</v>
      </c>
      <c r="H145" s="550">
        <v>26668.175484013555</v>
      </c>
      <c r="I145" s="550">
        <v>30557.975925834297</v>
      </c>
      <c r="J145" s="550">
        <v>29510.686834475786</v>
      </c>
      <c r="K145" s="550">
        <v>27618.374851457978</v>
      </c>
      <c r="L145" s="550">
        <v>27941.667618741078</v>
      </c>
      <c r="M145" s="550">
        <v>24358.012077904656</v>
      </c>
      <c r="N145" s="550">
        <v>23102.220532129402</v>
      </c>
      <c r="O145" s="550">
        <v>21163.873382804766</v>
      </c>
      <c r="P145" s="550">
        <v>19520.118985614718</v>
      </c>
      <c r="Q145" s="550">
        <v>19514.782131232969</v>
      </c>
      <c r="R145" s="550">
        <v>19509.498645395041</v>
      </c>
      <c r="S145" s="550">
        <v>19504.267994415492</v>
      </c>
      <c r="T145" s="550">
        <v>19499.089649945738</v>
      </c>
      <c r="U145" s="550">
        <v>19493.963088920682</v>
      </c>
      <c r="V145" s="550">
        <v>19488.887793505874</v>
      </c>
      <c r="W145" s="550">
        <v>19483.863251045215</v>
      </c>
      <c r="X145" s="550">
        <v>19478.888954009162</v>
      </c>
      <c r="Y145" s="550">
        <v>19473.96439994347</v>
      </c>
      <c r="Z145" s="550">
        <v>19469.089091418435</v>
      </c>
      <c r="AA145" s="550">
        <v>19464.262535978654</v>
      </c>
      <c r="AB145" s="550">
        <v>19459.484246093267</v>
      </c>
      <c r="AC145" s="550">
        <v>19454.753739106734</v>
      </c>
      <c r="AD145" s="550">
        <v>19450.070537190066</v>
      </c>
    </row>
    <row r="146" spans="3:30" s="550" customFormat="1" x14ac:dyDescent="0.2">
      <c r="C146" s="550" t="s">
        <v>392</v>
      </c>
      <c r="D146" s="550">
        <v>33685</v>
      </c>
      <c r="E146" s="550">
        <v>36222.867948895349</v>
      </c>
      <c r="F146" s="550">
        <v>23670.279991780451</v>
      </c>
      <c r="G146" s="550">
        <v>37507.091345118715</v>
      </c>
      <c r="H146" s="550">
        <v>36392.694675021303</v>
      </c>
      <c r="I146" s="550">
        <v>35543.430471288841</v>
      </c>
      <c r="J146" s="550">
        <v>34496.141379930326</v>
      </c>
      <c r="K146" s="550">
        <v>32603.829396912522</v>
      </c>
      <c r="L146" s="550">
        <v>32927.122164195622</v>
      </c>
      <c r="M146" s="550">
        <v>29343.4666233592</v>
      </c>
      <c r="N146" s="550">
        <v>28087.675077583946</v>
      </c>
      <c r="O146" s="550">
        <v>26149.32792825931</v>
      </c>
      <c r="P146" s="550">
        <v>24505.573531069262</v>
      </c>
      <c r="Q146" s="550">
        <v>15472.310618704201</v>
      </c>
      <c r="R146" s="550">
        <v>15577.980335462793</v>
      </c>
      <c r="S146" s="550">
        <v>15682.593355053799</v>
      </c>
      <c r="T146" s="550">
        <v>15786.160244448893</v>
      </c>
      <c r="U146" s="550">
        <v>15888.691464950038</v>
      </c>
      <c r="V146" s="550">
        <v>15990.197373246167</v>
      </c>
      <c r="W146" s="550">
        <v>16090.688222459337</v>
      </c>
      <c r="X146" s="550">
        <v>16190.174163180376</v>
      </c>
      <c r="Y146" s="550">
        <v>16288.665244494205</v>
      </c>
      <c r="Z146" s="550">
        <v>16386.171414994893</v>
      </c>
      <c r="AA146" s="550">
        <v>16482.702523790576</v>
      </c>
      <c r="AB146" s="550">
        <v>16578.268321498304</v>
      </c>
      <c r="AC146" s="550">
        <v>16672.878461228953</v>
      </c>
      <c r="AD146" s="550">
        <v>16766.542499562289</v>
      </c>
    </row>
    <row r="147" spans="3:30" s="550" customFormat="1" x14ac:dyDescent="0.2">
      <c r="C147" s="550" t="s">
        <v>393</v>
      </c>
      <c r="D147" s="550">
        <v>33685</v>
      </c>
      <c r="E147" s="550">
        <v>36222.867948895349</v>
      </c>
      <c r="F147" s="550">
        <v>23670.279991780451</v>
      </c>
      <c r="G147" s="550">
        <v>27572.453783830766</v>
      </c>
      <c r="H147" s="550">
        <v>26668.175484013555</v>
      </c>
      <c r="I147" s="550">
        <v>45248.73064358117</v>
      </c>
      <c r="J147" s="550">
        <v>45600.784856222621</v>
      </c>
      <c r="K147" s="550">
        <v>44736.478207056527</v>
      </c>
      <c r="L147" s="550">
        <v>46129.204809377894</v>
      </c>
      <c r="M147" s="550">
        <v>30510.681484102177</v>
      </c>
      <c r="N147" s="550">
        <v>20074.895677976259</v>
      </c>
      <c r="O147" s="550">
        <v>18598.873481566865</v>
      </c>
      <c r="P147" s="550">
        <v>17567.564345733612</v>
      </c>
      <c r="Q147" s="550">
        <v>17741.34835845021</v>
      </c>
      <c r="R147" s="550">
        <v>17914.400234915876</v>
      </c>
      <c r="S147" s="550">
        <v>18086.732325012486</v>
      </c>
      <c r="T147" s="550">
        <v>18258.356880265717</v>
      </c>
      <c r="U147" s="550">
        <v>18429.286054954289</v>
      </c>
      <c r="V147" s="550">
        <v>18599.531907208777</v>
      </c>
      <c r="W147" s="550">
        <v>18769.106400100103</v>
      </c>
      <c r="X147" s="550">
        <v>18938.021402717688</v>
      </c>
      <c r="Y147" s="550">
        <v>19106.288691237543</v>
      </c>
      <c r="Z147" s="550">
        <v>19273.919949980293</v>
      </c>
      <c r="AA147" s="550">
        <v>19440.926772459246</v>
      </c>
      <c r="AB147" s="550">
        <v>19607.320662418653</v>
      </c>
      <c r="AC147" s="550">
        <v>19773.11303486225</v>
      </c>
      <c r="AD147" s="550">
        <v>19938.315217072093</v>
      </c>
    </row>
    <row r="185" spans="3:25" x14ac:dyDescent="0.2">
      <c r="D185">
        <v>1</v>
      </c>
      <c r="E185">
        <v>2</v>
      </c>
      <c r="F185" s="550">
        <v>3</v>
      </c>
      <c r="G185" s="550">
        <v>4</v>
      </c>
      <c r="H185" s="550">
        <v>5</v>
      </c>
      <c r="I185" s="550">
        <v>6</v>
      </c>
      <c r="J185" s="550">
        <v>7</v>
      </c>
      <c r="K185" s="550">
        <v>8</v>
      </c>
      <c r="L185" s="550">
        <v>9</v>
      </c>
      <c r="M185" s="550">
        <v>10</v>
      </c>
      <c r="N185" s="550">
        <v>11</v>
      </c>
      <c r="O185" s="550">
        <v>12</v>
      </c>
      <c r="P185" s="550">
        <v>13</v>
      </c>
      <c r="Q185" s="550">
        <v>14</v>
      </c>
      <c r="R185" s="550">
        <v>15</v>
      </c>
      <c r="S185" s="550">
        <v>16</v>
      </c>
      <c r="T185" s="550">
        <v>17</v>
      </c>
      <c r="U185" s="550">
        <v>18</v>
      </c>
      <c r="V185" s="550">
        <v>19</v>
      </c>
      <c r="W185" s="550">
        <v>20</v>
      </c>
      <c r="X185" s="550">
        <v>21</v>
      </c>
      <c r="Y185" s="550">
        <v>22</v>
      </c>
    </row>
    <row r="186" spans="3:25" x14ac:dyDescent="0.2">
      <c r="C186" t="s">
        <v>395</v>
      </c>
      <c r="D186" s="550">
        <v>0.83713627302550664</v>
      </c>
      <c r="E186" s="550">
        <v>0.83690416390310551</v>
      </c>
      <c r="F186" s="550">
        <v>0.81224137783795236</v>
      </c>
      <c r="G186" s="550">
        <v>0.8360238169887394</v>
      </c>
      <c r="H186" s="550">
        <v>0.83091635102863437</v>
      </c>
      <c r="I186" s="550">
        <v>0.82841870195729561</v>
      </c>
      <c r="J186" s="550">
        <v>0.82867971354720682</v>
      </c>
      <c r="K186" s="550">
        <v>0.82805231436977156</v>
      </c>
      <c r="L186" s="550">
        <v>0.82945784339177298</v>
      </c>
      <c r="M186" s="550">
        <v>0.83073828755387458</v>
      </c>
      <c r="N186" s="550">
        <v>0.83294133193747066</v>
      </c>
      <c r="O186" s="550">
        <v>0.83395820448057656</v>
      </c>
      <c r="P186" s="550">
        <v>0.83435453461522779</v>
      </c>
      <c r="Q186" s="550">
        <v>0.83421643733333128</v>
      </c>
      <c r="R186" s="550">
        <v>0.83643122862104136</v>
      </c>
      <c r="S186" s="550">
        <v>0.83755289583054537</v>
      </c>
      <c r="T186" s="550">
        <v>0.83859458033183987</v>
      </c>
      <c r="U186" s="550">
        <v>0.83963305915190223</v>
      </c>
      <c r="V186" s="550">
        <v>0.84034154174675735</v>
      </c>
      <c r="W186" s="550">
        <v>0.84191084211840028</v>
      </c>
      <c r="X186" s="550">
        <v>0.84150338665656488</v>
      </c>
      <c r="Y186" s="550">
        <v>0.84033419767708539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174"/>
  <sheetViews>
    <sheetView topLeftCell="A43" zoomScale="70" zoomScaleNormal="70" workbookViewId="0">
      <selection activeCell="A88" sqref="A88:XFD91"/>
    </sheetView>
  </sheetViews>
  <sheetFormatPr defaultRowHeight="12.75" x14ac:dyDescent="0.2"/>
  <cols>
    <col min="2" max="2" width="16.5703125" customWidth="1"/>
    <col min="5" max="5" width="27.85546875" customWidth="1"/>
  </cols>
  <sheetData>
    <row r="2" spans="2:30" ht="18" x14ac:dyDescent="0.25">
      <c r="B2" s="667" t="s">
        <v>377</v>
      </c>
      <c r="C2" s="667">
        <v>1</v>
      </c>
      <c r="E2" t="s">
        <v>391</v>
      </c>
      <c r="F2">
        <v>0</v>
      </c>
      <c r="G2">
        <v>-1</v>
      </c>
      <c r="H2" t="s">
        <v>384</v>
      </c>
      <c r="O2">
        <v>0.84101947844841529</v>
      </c>
      <c r="Q2" t="s">
        <v>379</v>
      </c>
    </row>
    <row r="3" spans="2:30" x14ac:dyDescent="0.2">
      <c r="O3">
        <v>0.91855820112778552</v>
      </c>
      <c r="Q3">
        <v>5</v>
      </c>
    </row>
    <row r="4" spans="2:30" x14ac:dyDescent="0.2">
      <c r="B4" t="s">
        <v>385</v>
      </c>
      <c r="C4">
        <v>2010</v>
      </c>
      <c r="D4">
        <v>2012</v>
      </c>
      <c r="E4" t="s">
        <v>387</v>
      </c>
      <c r="F4">
        <v>2</v>
      </c>
      <c r="G4">
        <v>1</v>
      </c>
      <c r="H4" t="s">
        <v>388</v>
      </c>
      <c r="O4">
        <v>0.83086743822133124</v>
      </c>
    </row>
    <row r="5" spans="2:30" x14ac:dyDescent="0.2">
      <c r="B5" t="s">
        <v>386</v>
      </c>
      <c r="C5">
        <v>2010</v>
      </c>
      <c r="D5">
        <v>2019</v>
      </c>
      <c r="E5" t="s">
        <v>389</v>
      </c>
      <c r="F5">
        <v>1</v>
      </c>
      <c r="G5">
        <v>1.5</v>
      </c>
      <c r="H5" t="s">
        <v>390</v>
      </c>
      <c r="O5">
        <v>0.72258330400688564</v>
      </c>
    </row>
    <row r="6" spans="2:30" x14ac:dyDescent="0.2">
      <c r="O6">
        <v>0.82318265854857187</v>
      </c>
    </row>
    <row r="7" spans="2:30" x14ac:dyDescent="0.2">
      <c r="O7">
        <v>0.67068469449419288</v>
      </c>
      <c r="P7" t="s">
        <v>394</v>
      </c>
    </row>
    <row r="8" spans="2:30" x14ac:dyDescent="0.2">
      <c r="O8">
        <v>4.8068957748471828</v>
      </c>
      <c r="P8">
        <v>0.80114929580786376</v>
      </c>
    </row>
    <row r="10" spans="2:30" x14ac:dyDescent="0.2">
      <c r="D10">
        <v>2005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>
        <v>2019</v>
      </c>
      <c r="S10">
        <v>2020</v>
      </c>
      <c r="T10">
        <v>2021</v>
      </c>
      <c r="U10">
        <v>2022</v>
      </c>
      <c r="V10">
        <v>2023</v>
      </c>
      <c r="W10">
        <v>2024</v>
      </c>
      <c r="X10">
        <v>2025</v>
      </c>
      <c r="Y10">
        <v>2026</v>
      </c>
      <c r="Z10">
        <v>2027</v>
      </c>
      <c r="AA10">
        <v>2028</v>
      </c>
      <c r="AB10">
        <v>2029</v>
      </c>
      <c r="AC10">
        <v>2030</v>
      </c>
      <c r="AD10">
        <v>2031</v>
      </c>
    </row>
    <row r="11" spans="2:30" x14ac:dyDescent="0.2">
      <c r="B11" s="198" t="s">
        <v>374</v>
      </c>
      <c r="C11" s="198" t="s">
        <v>375</v>
      </c>
      <c r="D11">
        <v>6354.72</v>
      </c>
      <c r="E11">
        <v>8623.7719662377203</v>
      </c>
      <c r="F11">
        <v>8587.8671826528644</v>
      </c>
      <c r="G11">
        <v>11679.702558071775</v>
      </c>
      <c r="H11">
        <v>14977.791663858638</v>
      </c>
      <c r="I11">
        <v>11900.823235010826</v>
      </c>
      <c r="J11">
        <v>10881.115375653835</v>
      </c>
      <c r="K11">
        <v>12012.57937086435</v>
      </c>
      <c r="L11">
        <v>9419.6510665402802</v>
      </c>
      <c r="M11">
        <v>7300.4424721542118</v>
      </c>
      <c r="N11">
        <v>6798.6054709685595</v>
      </c>
      <c r="O11">
        <v>5256.2018235241276</v>
      </c>
      <c r="P11">
        <v>4158.1793294006602</v>
      </c>
      <c r="Q11">
        <v>4264.916417035598</v>
      </c>
      <c r="R11">
        <v>4370.5861337941897</v>
      </c>
      <c r="S11">
        <v>4475.1991533851951</v>
      </c>
      <c r="T11">
        <v>4578.7660427802884</v>
      </c>
      <c r="U11">
        <v>4681.2972632814326</v>
      </c>
      <c r="V11">
        <v>4782.8031715775624</v>
      </c>
      <c r="W11">
        <v>4883.2940207907341</v>
      </c>
      <c r="X11">
        <v>4982.7799615117729</v>
      </c>
      <c r="Y11">
        <v>5081.2710428256005</v>
      </c>
      <c r="Z11">
        <v>5178.7772133262888</v>
      </c>
      <c r="AA11">
        <v>5275.3083221219749</v>
      </c>
      <c r="AB11">
        <v>5370.8741198296993</v>
      </c>
      <c r="AC11">
        <v>5465.4842595603486</v>
      </c>
      <c r="AD11">
        <v>5559.1482978936892</v>
      </c>
    </row>
    <row r="12" spans="2:30" x14ac:dyDescent="0.2">
      <c r="B12" s="198"/>
      <c r="C12" s="198" t="s">
        <v>376</v>
      </c>
      <c r="D12">
        <v>27330.28</v>
      </c>
      <c r="E12">
        <v>27599.095982657629</v>
      </c>
      <c r="F12">
        <v>15082.412809127589</v>
      </c>
      <c r="G12">
        <v>15892.75122575899</v>
      </c>
      <c r="H12">
        <v>11690.383820154919</v>
      </c>
      <c r="I12">
        <v>13812.006891693349</v>
      </c>
      <c r="J12">
        <v>13785.739051691897</v>
      </c>
      <c r="K12">
        <v>10905.952405760163</v>
      </c>
      <c r="L12">
        <v>13683.305807290801</v>
      </c>
      <c r="M12">
        <v>12288.594429719034</v>
      </c>
      <c r="N12">
        <v>11570.542482490846</v>
      </c>
      <c r="O12">
        <v>11193.453433081128</v>
      </c>
      <c r="P12">
        <v>10673.708763493907</v>
      </c>
      <c r="Q12">
        <v>10566.971675858968</v>
      </c>
      <c r="R12">
        <v>10461.301959100378</v>
      </c>
      <c r="S12">
        <v>10356.688939509373</v>
      </c>
      <c r="T12">
        <v>10253.12205011428</v>
      </c>
      <c r="U12">
        <v>10150.590829613137</v>
      </c>
      <c r="V12">
        <v>10049.084921317006</v>
      </c>
      <c r="W12">
        <v>9948.5940721038351</v>
      </c>
      <c r="X12">
        <v>9849.1081313827963</v>
      </c>
      <c r="Y12">
        <v>9750.6170500689677</v>
      </c>
      <c r="Z12">
        <v>9653.1108795682776</v>
      </c>
      <c r="AA12">
        <v>9556.5797707725942</v>
      </c>
      <c r="AB12">
        <v>9461.013973064868</v>
      </c>
      <c r="AC12">
        <v>9366.4038333342196</v>
      </c>
      <c r="AD12">
        <v>9272.7397950008781</v>
      </c>
    </row>
    <row r="13" spans="2:30" x14ac:dyDescent="0.2">
      <c r="B13" s="198"/>
      <c r="C13" s="198" t="s">
        <v>254</v>
      </c>
      <c r="D13">
        <v>33685</v>
      </c>
      <c r="E13">
        <v>36222.867948895349</v>
      </c>
      <c r="F13">
        <v>23670.279991780451</v>
      </c>
      <c r="G13">
        <v>27572.453783830766</v>
      </c>
      <c r="H13">
        <v>26668.175484013555</v>
      </c>
      <c r="I13">
        <v>25712.830126704175</v>
      </c>
      <c r="J13">
        <v>24666.85442734573</v>
      </c>
      <c r="K13">
        <v>22918.531776624513</v>
      </c>
      <c r="L13">
        <v>23102.956873831081</v>
      </c>
      <c r="M13">
        <v>19589.036901873245</v>
      </c>
      <c r="N13">
        <v>18369.147953459404</v>
      </c>
      <c r="O13">
        <v>16449.655256605256</v>
      </c>
      <c r="P13">
        <v>14831.888092894567</v>
      </c>
      <c r="Q13">
        <v>14831.888092894565</v>
      </c>
      <c r="R13">
        <v>14831.888092894567</v>
      </c>
      <c r="S13">
        <v>14831.888092894569</v>
      </c>
      <c r="T13">
        <v>14831.888092894569</v>
      </c>
      <c r="U13">
        <v>14831.888092894569</v>
      </c>
      <c r="V13">
        <v>14831.888092894569</v>
      </c>
      <c r="W13">
        <v>14831.888092894569</v>
      </c>
      <c r="X13">
        <v>14831.888092894569</v>
      </c>
      <c r="Y13">
        <v>14831.888092894569</v>
      </c>
      <c r="Z13">
        <v>14831.888092894565</v>
      </c>
      <c r="AA13">
        <v>14831.888092894569</v>
      </c>
      <c r="AB13">
        <v>14831.888092894567</v>
      </c>
      <c r="AC13">
        <v>14831.888092894569</v>
      </c>
      <c r="AD13">
        <v>14831.888092894567</v>
      </c>
    </row>
    <row r="40" spans="2:30" ht="18" x14ac:dyDescent="0.25">
      <c r="B40" s="667" t="s">
        <v>377</v>
      </c>
      <c r="C40" s="667">
        <v>2</v>
      </c>
      <c r="E40" t="s">
        <v>391</v>
      </c>
      <c r="F40">
        <v>-3</v>
      </c>
      <c r="G40">
        <v>-1</v>
      </c>
      <c r="H40" t="s">
        <v>384</v>
      </c>
      <c r="O40">
        <v>1.0000000124542612</v>
      </c>
      <c r="Q40" t="s">
        <v>379</v>
      </c>
    </row>
    <row r="41" spans="2:30" x14ac:dyDescent="0.2">
      <c r="O41">
        <v>1.00579095590226</v>
      </c>
      <c r="Q41">
        <v>5</v>
      </c>
    </row>
    <row r="42" spans="2:30" x14ac:dyDescent="0.2">
      <c r="B42" t="s">
        <v>385</v>
      </c>
      <c r="C42">
        <v>2010</v>
      </c>
      <c r="D42">
        <v>2012</v>
      </c>
      <c r="E42" t="s">
        <v>387</v>
      </c>
      <c r="F42">
        <v>2</v>
      </c>
      <c r="G42">
        <v>1</v>
      </c>
      <c r="H42" t="s">
        <v>388</v>
      </c>
      <c r="O42">
        <v>0.99987518021207833</v>
      </c>
    </row>
    <row r="43" spans="2:30" x14ac:dyDescent="0.2">
      <c r="B43" t="s">
        <v>386</v>
      </c>
      <c r="C43">
        <v>2010</v>
      </c>
      <c r="D43">
        <v>2019</v>
      </c>
      <c r="E43" t="s">
        <v>389</v>
      </c>
      <c r="F43">
        <v>1</v>
      </c>
      <c r="G43">
        <v>1.5</v>
      </c>
      <c r="H43" t="s">
        <v>390</v>
      </c>
      <c r="O43">
        <v>1.0033283909441999</v>
      </c>
    </row>
    <row r="44" spans="2:30" x14ac:dyDescent="0.2">
      <c r="O44">
        <v>0.99922279543120029</v>
      </c>
    </row>
    <row r="45" spans="2:30" x14ac:dyDescent="0.2">
      <c r="O45">
        <v>0.99999677214300242</v>
      </c>
      <c r="P45" t="s">
        <v>394</v>
      </c>
    </row>
    <row r="46" spans="2:30" x14ac:dyDescent="0.2">
      <c r="O46">
        <v>6.008214107087003</v>
      </c>
      <c r="P46">
        <v>1.0013690178478338</v>
      </c>
    </row>
    <row r="47" spans="2:30" x14ac:dyDescent="0.2">
      <c r="I47">
        <v>0.83713627302550664</v>
      </c>
      <c r="J47">
        <v>0.83690416390310551</v>
      </c>
      <c r="K47">
        <v>0.81224137783795236</v>
      </c>
      <c r="L47">
        <v>0.8360238169887394</v>
      </c>
      <c r="M47">
        <v>0.83091635102863437</v>
      </c>
      <c r="N47">
        <v>0.82841870195729561</v>
      </c>
      <c r="O47">
        <v>0.82867971354720682</v>
      </c>
      <c r="P47">
        <v>0.82805231436977156</v>
      </c>
      <c r="Q47">
        <v>0.82945784339177298</v>
      </c>
      <c r="R47">
        <v>0.83073828755387458</v>
      </c>
      <c r="S47">
        <v>0.83294133193747066</v>
      </c>
      <c r="T47">
        <v>0.83395820448057656</v>
      </c>
      <c r="U47">
        <v>0.83435453461522779</v>
      </c>
      <c r="V47">
        <v>0.83421643733333128</v>
      </c>
      <c r="W47">
        <v>0.83643122862104136</v>
      </c>
      <c r="X47">
        <v>0.83755289583054537</v>
      </c>
      <c r="Y47">
        <v>0.83859458033183987</v>
      </c>
      <c r="Z47">
        <v>0.83963305915190223</v>
      </c>
      <c r="AA47">
        <v>0.84034154174675735</v>
      </c>
      <c r="AB47">
        <v>0.84191084211840028</v>
      </c>
      <c r="AC47">
        <v>0.84150338665656488</v>
      </c>
      <c r="AD47">
        <v>0.84033419767708539</v>
      </c>
    </row>
    <row r="48" spans="2:30" x14ac:dyDescent="0.2">
      <c r="D48">
        <v>2005</v>
      </c>
      <c r="E48">
        <v>2006</v>
      </c>
      <c r="F48">
        <v>2007</v>
      </c>
      <c r="G48">
        <v>2008</v>
      </c>
      <c r="H48">
        <v>2009</v>
      </c>
      <c r="I48">
        <v>2010</v>
      </c>
      <c r="J48">
        <v>2011</v>
      </c>
      <c r="K48">
        <v>2012</v>
      </c>
      <c r="L48">
        <v>2013</v>
      </c>
      <c r="M48">
        <v>2014</v>
      </c>
      <c r="N48">
        <v>2015</v>
      </c>
      <c r="O48">
        <v>2016</v>
      </c>
      <c r="P48">
        <v>2017</v>
      </c>
      <c r="Q48">
        <v>2018</v>
      </c>
      <c r="R48">
        <v>2019</v>
      </c>
      <c r="S48">
        <v>2020</v>
      </c>
      <c r="T48">
        <v>2021</v>
      </c>
      <c r="U48">
        <v>2022</v>
      </c>
      <c r="V48">
        <v>2023</v>
      </c>
      <c r="W48">
        <v>2024</v>
      </c>
      <c r="X48">
        <v>2025</v>
      </c>
      <c r="Y48">
        <v>2026</v>
      </c>
      <c r="Z48">
        <v>2027</v>
      </c>
      <c r="AA48">
        <v>2028</v>
      </c>
      <c r="AB48">
        <v>2029</v>
      </c>
      <c r="AC48">
        <v>2030</v>
      </c>
      <c r="AD48">
        <v>2031</v>
      </c>
    </row>
    <row r="49" spans="2:30" x14ac:dyDescent="0.2">
      <c r="B49" t="s">
        <v>374</v>
      </c>
      <c r="C49" t="s">
        <v>375</v>
      </c>
      <c r="D49">
        <v>6354.72</v>
      </c>
      <c r="E49">
        <v>8623.7719662377203</v>
      </c>
      <c r="F49">
        <v>8587.8671826528644</v>
      </c>
      <c r="G49">
        <v>11679.702558071775</v>
      </c>
      <c r="H49">
        <v>14977.791663858638</v>
      </c>
      <c r="I49">
        <v>11900.823235010826</v>
      </c>
      <c r="J49">
        <v>10881.115375653835</v>
      </c>
      <c r="K49">
        <v>12012.57937086435</v>
      </c>
      <c r="L49">
        <v>9419.6510665402802</v>
      </c>
      <c r="M49">
        <v>7300.4424721542118</v>
      </c>
      <c r="N49">
        <v>6798.6054709685595</v>
      </c>
      <c r="O49">
        <v>5256.2018235241276</v>
      </c>
      <c r="P49">
        <v>4158.1793294006602</v>
      </c>
      <c r="Q49">
        <v>3875.7982335753127</v>
      </c>
      <c r="R49">
        <v>3593.5690270724635</v>
      </c>
      <c r="S49">
        <v>3313.8191208793428</v>
      </c>
      <c r="T49">
        <v>3037.8253977694262</v>
      </c>
      <c r="U49">
        <v>2769.1011029665542</v>
      </c>
      <c r="V49">
        <v>2513.8736859268433</v>
      </c>
      <c r="W49">
        <v>2270.6447374042036</v>
      </c>
      <c r="X49">
        <v>2034.8977889755022</v>
      </c>
      <c r="Y49">
        <v>1807.07850618716</v>
      </c>
      <c r="Z49">
        <v>1581.5936504301085</v>
      </c>
      <c r="AA49">
        <v>1361.2078472371229</v>
      </c>
      <c r="AB49">
        <v>1148.7965612210201</v>
      </c>
      <c r="AC49">
        <v>944.11726415940097</v>
      </c>
      <c r="AD49">
        <v>746.93444501760325</v>
      </c>
    </row>
    <row r="50" spans="2:30" x14ac:dyDescent="0.2">
      <c r="C50" t="s">
        <v>376</v>
      </c>
      <c r="D50">
        <v>27330.28</v>
      </c>
      <c r="E50">
        <v>27599.095982657629</v>
      </c>
      <c r="F50">
        <v>15082.412809127589</v>
      </c>
      <c r="G50">
        <v>15892.75122575899</v>
      </c>
      <c r="H50">
        <v>11690.383820154919</v>
      </c>
      <c r="I50">
        <v>15343.207580862685</v>
      </c>
      <c r="J50">
        <v>15314.312956861086</v>
      </c>
      <c r="K50">
        <v>12269.947646336181</v>
      </c>
      <c r="L50">
        <v>15767.242118019785</v>
      </c>
      <c r="M50">
        <v>15153.422014479436</v>
      </c>
      <c r="N50">
        <v>16321.026939228712</v>
      </c>
      <c r="O50">
        <v>17112.928336932138</v>
      </c>
      <c r="P50">
        <v>17983.309885067451</v>
      </c>
      <c r="Q50">
        <v>27857.332550024286</v>
      </c>
      <c r="R50">
        <v>42739.695302553075</v>
      </c>
      <c r="S50">
        <v>50212.581805588146</v>
      </c>
      <c r="T50">
        <v>43432.409569139214</v>
      </c>
      <c r="U50">
        <v>37232.230716853723</v>
      </c>
      <c r="V50">
        <v>32899.963238747863</v>
      </c>
      <c r="W50">
        <v>32472.155244776466</v>
      </c>
      <c r="X50">
        <v>35363.637911411686</v>
      </c>
      <c r="Y50">
        <v>42494.121380415119</v>
      </c>
      <c r="Z50">
        <v>51314.990455553379</v>
      </c>
      <c r="AA50">
        <v>59659.483974620547</v>
      </c>
      <c r="AB50">
        <v>65797.145431042532</v>
      </c>
      <c r="AC50">
        <v>65954.078874060942</v>
      </c>
      <c r="AD50">
        <v>66112.581651509536</v>
      </c>
    </row>
    <row r="51" spans="2:30" x14ac:dyDescent="0.2">
      <c r="C51" t="s">
        <v>254</v>
      </c>
      <c r="D51">
        <v>33685</v>
      </c>
      <c r="E51">
        <v>36222.867948895349</v>
      </c>
      <c r="F51">
        <v>23670.279991780451</v>
      </c>
      <c r="G51">
        <v>27572.453783830766</v>
      </c>
      <c r="H51">
        <v>26668.175484013555</v>
      </c>
      <c r="I51">
        <v>27244.030815873513</v>
      </c>
      <c r="J51">
        <v>26195.428332514923</v>
      </c>
      <c r="K51">
        <v>24282.527017200533</v>
      </c>
      <c r="L51">
        <v>25186.893184560067</v>
      </c>
      <c r="M51">
        <v>22453.864486633647</v>
      </c>
      <c r="N51">
        <v>23119.632410197271</v>
      </c>
      <c r="O51">
        <v>22369.130160456265</v>
      </c>
      <c r="P51">
        <v>22141.489214468111</v>
      </c>
      <c r="Q51">
        <v>31733.130783599598</v>
      </c>
      <c r="R51">
        <v>46333.264329625541</v>
      </c>
      <c r="S51">
        <v>53526.40092646749</v>
      </c>
      <c r="T51">
        <v>46470.23496690864</v>
      </c>
      <c r="U51">
        <v>40001.331819820276</v>
      </c>
      <c r="V51">
        <v>35413.83692467471</v>
      </c>
      <c r="W51">
        <v>34742.799982180673</v>
      </c>
      <c r="X51">
        <v>37398.53570038719</v>
      </c>
      <c r="Y51">
        <v>44301.199886602277</v>
      </c>
      <c r="Z51">
        <v>52896.584105983486</v>
      </c>
      <c r="AA51">
        <v>61020.691821857668</v>
      </c>
      <c r="AB51">
        <v>66945.941992263557</v>
      </c>
      <c r="AC51">
        <v>66898.196138220344</v>
      </c>
      <c r="AD51">
        <v>66859.516096527135</v>
      </c>
    </row>
    <row r="80" spans="2:17" ht="18" x14ac:dyDescent="0.25">
      <c r="B80" s="667" t="s">
        <v>377</v>
      </c>
      <c r="C80" s="667">
        <v>3</v>
      </c>
      <c r="E80" t="s">
        <v>391</v>
      </c>
      <c r="F80">
        <v>0</v>
      </c>
      <c r="G80">
        <v>-1</v>
      </c>
      <c r="H80" t="s">
        <v>384</v>
      </c>
      <c r="O80">
        <v>0.85044293071451638</v>
      </c>
      <c r="Q80" t="s">
        <v>379</v>
      </c>
    </row>
    <row r="81" spans="2:30" x14ac:dyDescent="0.2">
      <c r="O81">
        <v>0.92311824327492153</v>
      </c>
      <c r="Q81">
        <v>5</v>
      </c>
    </row>
    <row r="82" spans="2:30" x14ac:dyDescent="0.2">
      <c r="B82" t="s">
        <v>385</v>
      </c>
      <c r="C82">
        <v>2010</v>
      </c>
      <c r="D82">
        <v>2012</v>
      </c>
      <c r="E82" t="s">
        <v>387</v>
      </c>
      <c r="F82">
        <v>2</v>
      </c>
      <c r="G82">
        <v>1</v>
      </c>
      <c r="H82" t="s">
        <v>388</v>
      </c>
      <c r="O82">
        <v>0.83848249340214864</v>
      </c>
    </row>
    <row r="83" spans="2:30" x14ac:dyDescent="0.2">
      <c r="B83" t="s">
        <v>386</v>
      </c>
      <c r="C83">
        <v>2010</v>
      </c>
      <c r="D83">
        <v>2019</v>
      </c>
      <c r="E83" t="s">
        <v>389</v>
      </c>
      <c r="F83">
        <v>1</v>
      </c>
      <c r="G83">
        <v>1.5</v>
      </c>
      <c r="H83" t="s">
        <v>390</v>
      </c>
      <c r="O83">
        <v>0.73597433106234134</v>
      </c>
    </row>
    <row r="84" spans="2:30" x14ac:dyDescent="0.2">
      <c r="O84">
        <v>0.83279903045439485</v>
      </c>
    </row>
    <row r="85" spans="2:30" x14ac:dyDescent="0.2">
      <c r="O85">
        <v>0.6926312381193922</v>
      </c>
      <c r="P85" t="s">
        <v>394</v>
      </c>
    </row>
    <row r="86" spans="2:30" x14ac:dyDescent="0.2">
      <c r="O86">
        <v>4.8734482670277144</v>
      </c>
      <c r="P86">
        <v>0.81224137783795236</v>
      </c>
    </row>
    <row r="87" spans="2:30" x14ac:dyDescent="0.2">
      <c r="I87">
        <v>0.83713627302550664</v>
      </c>
      <c r="J87">
        <v>0.83690416390310551</v>
      </c>
      <c r="K87">
        <v>0.81224137783795236</v>
      </c>
      <c r="L87">
        <v>0.8360238169887394</v>
      </c>
      <c r="M87">
        <v>0.83091635102863437</v>
      </c>
      <c r="N87">
        <v>0.82841870195729561</v>
      </c>
      <c r="O87">
        <v>0.82867971354720682</v>
      </c>
      <c r="P87">
        <v>0.82805231436977156</v>
      </c>
      <c r="Q87">
        <v>0.82945784339177298</v>
      </c>
      <c r="R87">
        <v>0.83073828755387458</v>
      </c>
      <c r="S87">
        <v>0.83294133193747066</v>
      </c>
      <c r="T87">
        <v>0.83395820448057656</v>
      </c>
      <c r="U87">
        <v>0.83435453461522779</v>
      </c>
      <c r="V87">
        <v>0.83421643733333128</v>
      </c>
      <c r="W87">
        <v>0.83643122862104136</v>
      </c>
      <c r="X87">
        <v>0.83755289583054537</v>
      </c>
      <c r="Y87">
        <v>0.83859458033183987</v>
      </c>
      <c r="Z87">
        <v>0.83963305915190223</v>
      </c>
      <c r="AA87">
        <v>0.84034154174675735</v>
      </c>
      <c r="AB87">
        <v>0.84191084211840028</v>
      </c>
      <c r="AC87">
        <v>0.84150338665656488</v>
      </c>
      <c r="AD87">
        <v>0.84033419767708539</v>
      </c>
    </row>
    <row r="88" spans="2:30" x14ac:dyDescent="0.2">
      <c r="D88">
        <v>2005</v>
      </c>
      <c r="E88">
        <v>2006</v>
      </c>
      <c r="F88">
        <v>2007</v>
      </c>
      <c r="G88">
        <v>2008</v>
      </c>
      <c r="H88">
        <v>2009</v>
      </c>
      <c r="I88">
        <v>2010</v>
      </c>
      <c r="J88">
        <v>2011</v>
      </c>
      <c r="K88">
        <v>2012</v>
      </c>
      <c r="L88">
        <v>2013</v>
      </c>
      <c r="M88">
        <v>2014</v>
      </c>
      <c r="N88">
        <v>2015</v>
      </c>
      <c r="O88">
        <v>2016</v>
      </c>
      <c r="P88">
        <v>2017</v>
      </c>
      <c r="Q88">
        <v>2018</v>
      </c>
      <c r="R88">
        <v>2019</v>
      </c>
      <c r="S88">
        <v>2020</v>
      </c>
      <c r="T88">
        <v>2021</v>
      </c>
      <c r="U88">
        <v>2022</v>
      </c>
      <c r="V88">
        <v>2023</v>
      </c>
      <c r="W88">
        <v>2024</v>
      </c>
      <c r="X88">
        <v>2025</v>
      </c>
      <c r="Y88">
        <v>2026</v>
      </c>
      <c r="Z88">
        <v>2027</v>
      </c>
      <c r="AA88">
        <v>2028</v>
      </c>
      <c r="AB88">
        <v>2029</v>
      </c>
      <c r="AC88">
        <v>2030</v>
      </c>
      <c r="AD88">
        <v>2031</v>
      </c>
    </row>
    <row r="89" spans="2:30" x14ac:dyDescent="0.2">
      <c r="B89" t="s">
        <v>374</v>
      </c>
      <c r="C89" t="s">
        <v>375</v>
      </c>
      <c r="D89">
        <v>6354.72</v>
      </c>
      <c r="E89">
        <v>8623.7719662377203</v>
      </c>
      <c r="F89">
        <v>8587.8671826528644</v>
      </c>
      <c r="G89">
        <v>11679.702558071775</v>
      </c>
      <c r="H89">
        <v>14977.791663858638</v>
      </c>
      <c r="I89">
        <v>42367.489901677494</v>
      </c>
      <c r="J89">
        <v>41347.782042320505</v>
      </c>
      <c r="K89">
        <v>42479.246037531018</v>
      </c>
      <c r="L89">
        <v>9419.6510665402802</v>
      </c>
      <c r="M89">
        <v>7300.4424721542118</v>
      </c>
      <c r="N89">
        <v>6798.6054709685595</v>
      </c>
      <c r="O89">
        <v>5256.2018235241276</v>
      </c>
      <c r="P89">
        <v>4158.1793294006602</v>
      </c>
      <c r="Q89">
        <v>4264.916417035598</v>
      </c>
      <c r="R89">
        <v>4370.5861337941897</v>
      </c>
      <c r="S89">
        <v>4475.1991533851951</v>
      </c>
      <c r="T89">
        <v>4578.7660427802884</v>
      </c>
      <c r="U89">
        <v>4681.2972632814326</v>
      </c>
      <c r="V89">
        <v>4782.8031715775624</v>
      </c>
      <c r="W89">
        <v>4883.2940207907341</v>
      </c>
      <c r="X89">
        <v>4982.7799615117729</v>
      </c>
      <c r="Y89">
        <v>5081.2710428256005</v>
      </c>
      <c r="Z89">
        <v>5178.7772133262888</v>
      </c>
      <c r="AA89">
        <v>5275.3083221219749</v>
      </c>
      <c r="AB89">
        <v>5370.8741198296993</v>
      </c>
      <c r="AC89">
        <v>5465.4842595603486</v>
      </c>
      <c r="AD89">
        <v>5559.1482978936892</v>
      </c>
    </row>
    <row r="90" spans="2:30" x14ac:dyDescent="0.2">
      <c r="C90" t="s">
        <v>376</v>
      </c>
      <c r="D90">
        <v>27330.28</v>
      </c>
      <c r="E90">
        <v>27599.095982657629</v>
      </c>
      <c r="F90">
        <v>15082.412809127589</v>
      </c>
      <c r="G90">
        <v>15892.75122575899</v>
      </c>
      <c r="H90">
        <v>11690.383820154919</v>
      </c>
      <c r="I90">
        <v>14502.607236278016</v>
      </c>
      <c r="J90">
        <v>14475.026004276495</v>
      </c>
      <c r="K90">
        <v>11451.250026048172</v>
      </c>
      <c r="L90">
        <v>11451.250026048172</v>
      </c>
      <c r="M90">
        <v>11451.250026048172</v>
      </c>
      <c r="N90">
        <v>11451.250026048172</v>
      </c>
      <c r="O90">
        <v>11451.250026048172</v>
      </c>
      <c r="P90">
        <v>11451.250026048172</v>
      </c>
      <c r="Q90">
        <v>11451.250026048172</v>
      </c>
      <c r="R90">
        <v>11451.250026048172</v>
      </c>
      <c r="S90">
        <v>11451.250026048172</v>
      </c>
      <c r="T90">
        <v>11451.250026048172</v>
      </c>
      <c r="U90">
        <v>11451.250026048172</v>
      </c>
      <c r="V90">
        <v>11451.250026048172</v>
      </c>
      <c r="W90">
        <v>11451.250026048172</v>
      </c>
      <c r="X90">
        <v>11451.250026048172</v>
      </c>
      <c r="Y90">
        <v>11451.250026048172</v>
      </c>
      <c r="Z90">
        <v>11451.250026048172</v>
      </c>
      <c r="AA90">
        <v>11451.250026048172</v>
      </c>
      <c r="AB90">
        <v>11451.250026048172</v>
      </c>
      <c r="AC90">
        <v>11451.250026048174</v>
      </c>
      <c r="AD90">
        <v>11451.250026048172</v>
      </c>
    </row>
    <row r="91" spans="2:30" x14ac:dyDescent="0.2">
      <c r="C91" t="s">
        <v>254</v>
      </c>
      <c r="D91">
        <v>33685</v>
      </c>
      <c r="E91">
        <v>36222.867948895349</v>
      </c>
      <c r="F91">
        <v>23670.279991780451</v>
      </c>
      <c r="G91">
        <v>27572.453783830766</v>
      </c>
      <c r="H91">
        <v>26668.175484013555</v>
      </c>
      <c r="I91">
        <v>56870.097137955512</v>
      </c>
      <c r="J91">
        <v>55822.808046596998</v>
      </c>
      <c r="K91">
        <v>53930.496063579194</v>
      </c>
      <c r="L91">
        <v>20870.90109258845</v>
      </c>
      <c r="M91">
        <v>18751.692498202385</v>
      </c>
      <c r="N91">
        <v>18249.855497016732</v>
      </c>
      <c r="O91">
        <v>16707.451849572299</v>
      </c>
      <c r="P91">
        <v>15609.429355448832</v>
      </c>
      <c r="Q91">
        <v>15716.16644308377</v>
      </c>
      <c r="R91">
        <v>15821.836159842362</v>
      </c>
      <c r="S91">
        <v>15926.449179433366</v>
      </c>
      <c r="T91">
        <v>16030.01606882846</v>
      </c>
      <c r="U91">
        <v>16132.547289329605</v>
      </c>
      <c r="V91">
        <v>16234.053197625733</v>
      </c>
      <c r="W91">
        <v>16334.544046838906</v>
      </c>
      <c r="X91">
        <v>16434.029987559945</v>
      </c>
      <c r="Y91">
        <v>16532.521068873772</v>
      </c>
      <c r="Z91">
        <v>16630.02723937446</v>
      </c>
      <c r="AA91">
        <v>16726.558348170147</v>
      </c>
      <c r="AB91">
        <v>16822.124145877871</v>
      </c>
      <c r="AC91">
        <v>16916.734285608523</v>
      </c>
      <c r="AD91">
        <v>17010.398323941859</v>
      </c>
    </row>
    <row r="121" spans="2:30" ht="18" x14ac:dyDescent="0.25">
      <c r="B121" s="667" t="s">
        <v>377</v>
      </c>
      <c r="C121" s="667">
        <v>4</v>
      </c>
      <c r="E121" t="s">
        <v>391</v>
      </c>
      <c r="F121">
        <v>0</v>
      </c>
      <c r="G121">
        <v>-1</v>
      </c>
      <c r="H121" t="s">
        <v>384</v>
      </c>
      <c r="O121">
        <v>0.86877299482654335</v>
      </c>
      <c r="Q121" t="s">
        <v>379</v>
      </c>
    </row>
    <row r="122" spans="2:30" x14ac:dyDescent="0.2">
      <c r="O122">
        <v>0.93394975491666765</v>
      </c>
      <c r="Q122">
        <v>5</v>
      </c>
    </row>
    <row r="123" spans="2:30" x14ac:dyDescent="0.2">
      <c r="B123" t="s">
        <v>385</v>
      </c>
      <c r="C123">
        <v>2010</v>
      </c>
      <c r="D123">
        <v>2012</v>
      </c>
      <c r="E123" t="s">
        <v>387</v>
      </c>
      <c r="F123">
        <v>2</v>
      </c>
      <c r="G123">
        <v>1</v>
      </c>
      <c r="H123" t="s">
        <v>388</v>
      </c>
      <c r="O123">
        <v>0.85549333257469995</v>
      </c>
    </row>
    <row r="124" spans="2:30" x14ac:dyDescent="0.2">
      <c r="B124" t="s">
        <v>386</v>
      </c>
      <c r="C124">
        <v>2010</v>
      </c>
      <c r="D124">
        <v>2019</v>
      </c>
      <c r="E124" t="s">
        <v>389</v>
      </c>
      <c r="F124">
        <v>1</v>
      </c>
      <c r="G124">
        <v>1.5</v>
      </c>
      <c r="H124" t="s">
        <v>390</v>
      </c>
      <c r="O124">
        <v>0.76076720652729113</v>
      </c>
    </row>
    <row r="125" spans="2:30" x14ac:dyDescent="0.2">
      <c r="O125">
        <v>0.84346711988251355</v>
      </c>
    </row>
    <row r="126" spans="2:30" x14ac:dyDescent="0.2">
      <c r="O126">
        <v>0.7219793165955315</v>
      </c>
      <c r="P126" t="s">
        <v>394</v>
      </c>
    </row>
    <row r="127" spans="2:30" x14ac:dyDescent="0.2">
      <c r="O127">
        <v>4.9844297253232472</v>
      </c>
      <c r="P127">
        <v>0.83073828755387458</v>
      </c>
    </row>
    <row r="128" spans="2:30" x14ac:dyDescent="0.2">
      <c r="I128">
        <v>0.83713627302550664</v>
      </c>
      <c r="J128">
        <v>0.83690416390310551</v>
      </c>
      <c r="K128">
        <v>0.81224137783795236</v>
      </c>
      <c r="L128">
        <v>0.8360238169887394</v>
      </c>
      <c r="M128">
        <v>0.83091635102863437</v>
      </c>
      <c r="N128">
        <v>0.82841870195729561</v>
      </c>
      <c r="O128">
        <v>0.82867971354720682</v>
      </c>
      <c r="P128">
        <v>0.82805231436977156</v>
      </c>
      <c r="Q128">
        <v>0.82945784339177298</v>
      </c>
      <c r="R128">
        <v>0.83073828755387458</v>
      </c>
      <c r="S128">
        <v>0.83294133193747066</v>
      </c>
      <c r="T128">
        <v>0.83395820448057656</v>
      </c>
      <c r="U128">
        <v>0.83435453461522779</v>
      </c>
      <c r="V128">
        <v>0.83421643733333128</v>
      </c>
      <c r="W128">
        <v>0.83643122862104136</v>
      </c>
      <c r="X128">
        <v>0.83755289583054537</v>
      </c>
      <c r="Y128">
        <v>0.83859458033183987</v>
      </c>
      <c r="Z128">
        <v>0.83963305915190223</v>
      </c>
      <c r="AA128">
        <v>0.84034154174675735</v>
      </c>
      <c r="AB128">
        <v>0.84191084211840028</v>
      </c>
      <c r="AC128">
        <v>0.84150338665656488</v>
      </c>
      <c r="AD128">
        <v>0.84033419767708539</v>
      </c>
    </row>
    <row r="129" spans="2:30" x14ac:dyDescent="0.2">
      <c r="D129">
        <v>2005</v>
      </c>
      <c r="E129">
        <v>2006</v>
      </c>
      <c r="F129">
        <v>2007</v>
      </c>
      <c r="G129">
        <v>2008</v>
      </c>
      <c r="H129">
        <v>2009</v>
      </c>
      <c r="I129">
        <v>2010</v>
      </c>
      <c r="J129">
        <v>2011</v>
      </c>
      <c r="K129">
        <v>2012</v>
      </c>
      <c r="L129">
        <v>2013</v>
      </c>
      <c r="M129">
        <v>2014</v>
      </c>
      <c r="N129">
        <v>2015</v>
      </c>
      <c r="O129">
        <v>2016</v>
      </c>
      <c r="P129">
        <v>2017</v>
      </c>
      <c r="Q129">
        <v>2018</v>
      </c>
      <c r="R129">
        <v>2019</v>
      </c>
      <c r="S129">
        <v>2020</v>
      </c>
      <c r="T129">
        <v>2021</v>
      </c>
      <c r="U129">
        <v>2022</v>
      </c>
      <c r="V129">
        <v>2023</v>
      </c>
      <c r="W129">
        <v>2024</v>
      </c>
      <c r="X129">
        <v>2025</v>
      </c>
      <c r="Y129">
        <v>2026</v>
      </c>
      <c r="Z129">
        <v>2027</v>
      </c>
      <c r="AA129">
        <v>2028</v>
      </c>
      <c r="AB129">
        <v>2029</v>
      </c>
      <c r="AC129">
        <v>2030</v>
      </c>
      <c r="AD129">
        <v>2031</v>
      </c>
    </row>
    <row r="130" spans="2:30" x14ac:dyDescent="0.2">
      <c r="B130" t="s">
        <v>374</v>
      </c>
      <c r="C130" t="s">
        <v>375</v>
      </c>
      <c r="D130">
        <v>6354.72</v>
      </c>
      <c r="E130">
        <v>8623.7719662377203</v>
      </c>
      <c r="F130">
        <v>8587.8671826528644</v>
      </c>
      <c r="G130">
        <v>11679.702558071775</v>
      </c>
      <c r="H130">
        <v>14977.791663858638</v>
      </c>
      <c r="I130">
        <v>21040.823235010826</v>
      </c>
      <c r="J130">
        <v>20021.115375653833</v>
      </c>
      <c r="K130">
        <v>21152.57937086435</v>
      </c>
      <c r="L130">
        <v>18559.651066540282</v>
      </c>
      <c r="M130">
        <v>16440.442472154213</v>
      </c>
      <c r="N130">
        <v>15938.60547096856</v>
      </c>
      <c r="O130">
        <v>14396.201823524127</v>
      </c>
      <c r="P130">
        <v>13298.17932940066</v>
      </c>
      <c r="Q130">
        <v>13404.916417035598</v>
      </c>
      <c r="R130">
        <v>13510.58613379419</v>
      </c>
      <c r="S130">
        <v>4475.1991533851951</v>
      </c>
      <c r="T130">
        <v>4578.7660427802884</v>
      </c>
      <c r="U130">
        <v>4681.2972632814326</v>
      </c>
      <c r="V130">
        <v>4782.8031715775624</v>
      </c>
      <c r="W130">
        <v>4883.2940207907341</v>
      </c>
      <c r="X130">
        <v>4982.7799615117729</v>
      </c>
      <c r="Y130">
        <v>5081.2710428256005</v>
      </c>
      <c r="Z130">
        <v>5178.7772133262888</v>
      </c>
      <c r="AA130">
        <v>5275.3083221219749</v>
      </c>
      <c r="AB130">
        <v>5370.8741198296993</v>
      </c>
      <c r="AC130">
        <v>5465.4842595603486</v>
      </c>
      <c r="AD130">
        <v>5559.1482978936892</v>
      </c>
    </row>
    <row r="131" spans="2:30" x14ac:dyDescent="0.2">
      <c r="C131" t="s">
        <v>376</v>
      </c>
      <c r="D131">
        <v>27330.28</v>
      </c>
      <c r="E131">
        <v>27599.095982657629</v>
      </c>
      <c r="F131">
        <v>15082.412809127589</v>
      </c>
      <c r="G131">
        <v>15892.75122575899</v>
      </c>
      <c r="H131">
        <v>11690.383820154919</v>
      </c>
      <c r="I131">
        <v>14502.607236278016</v>
      </c>
      <c r="J131">
        <v>14475.026004276495</v>
      </c>
      <c r="K131">
        <v>11451.250026048172</v>
      </c>
      <c r="L131">
        <v>14367.471097655342</v>
      </c>
      <c r="M131">
        <v>12903.024151204987</v>
      </c>
      <c r="N131">
        <v>12149.069606615389</v>
      </c>
      <c r="O131">
        <v>11753.126104735184</v>
      </c>
      <c r="P131">
        <v>11207.394201668603</v>
      </c>
      <c r="Q131">
        <v>11095.320259651917</v>
      </c>
      <c r="R131">
        <v>10984.367057055397</v>
      </c>
      <c r="S131">
        <v>10984.367057055397</v>
      </c>
      <c r="T131">
        <v>10984.367057055397</v>
      </c>
      <c r="U131">
        <v>10984.367057055397</v>
      </c>
      <c r="V131">
        <v>10984.367057055397</v>
      </c>
      <c r="W131">
        <v>10984.367057055397</v>
      </c>
      <c r="X131">
        <v>10984.367057055397</v>
      </c>
      <c r="Y131">
        <v>10984.367057055397</v>
      </c>
      <c r="Z131">
        <v>10984.367057055397</v>
      </c>
      <c r="AA131">
        <v>10984.367057055397</v>
      </c>
      <c r="AB131">
        <v>10984.367057055397</v>
      </c>
      <c r="AC131">
        <v>10984.367057055397</v>
      </c>
      <c r="AD131">
        <v>10984.367057055397</v>
      </c>
    </row>
    <row r="132" spans="2:30" x14ac:dyDescent="0.2">
      <c r="C132" t="s">
        <v>254</v>
      </c>
      <c r="D132">
        <v>33685</v>
      </c>
      <c r="E132">
        <v>36222.867948895349</v>
      </c>
      <c r="F132">
        <v>23670.279991780451</v>
      </c>
      <c r="G132">
        <v>27572.453783830766</v>
      </c>
      <c r="H132">
        <v>26668.175484013555</v>
      </c>
      <c r="I132">
        <v>35543.430471288841</v>
      </c>
      <c r="J132">
        <v>34496.141379930326</v>
      </c>
      <c r="K132">
        <v>32603.829396912522</v>
      </c>
      <c r="L132">
        <v>32927.122164195622</v>
      </c>
      <c r="M132">
        <v>29343.4666233592</v>
      </c>
      <c r="N132">
        <v>28087.675077583946</v>
      </c>
      <c r="O132">
        <v>26149.32792825931</v>
      </c>
      <c r="P132">
        <v>24505.573531069262</v>
      </c>
      <c r="Q132">
        <v>24500.236676687513</v>
      </c>
      <c r="R132">
        <v>24494.953190849585</v>
      </c>
      <c r="S132">
        <v>15459.566210440593</v>
      </c>
      <c r="T132">
        <v>15563.133099835686</v>
      </c>
      <c r="U132">
        <v>15665.664320336829</v>
      </c>
      <c r="V132">
        <v>15767.17022863296</v>
      </c>
      <c r="W132">
        <v>15867.661077846131</v>
      </c>
      <c r="X132">
        <v>15967.14701856717</v>
      </c>
      <c r="Y132">
        <v>16065.638099880998</v>
      </c>
      <c r="Z132">
        <v>16163.144270381687</v>
      </c>
      <c r="AA132">
        <v>16259.675379177372</v>
      </c>
      <c r="AB132">
        <v>16355.241176885096</v>
      </c>
      <c r="AC132">
        <v>16449.851316615746</v>
      </c>
      <c r="AD132">
        <v>16543.515354949086</v>
      </c>
    </row>
    <row r="163" spans="2:30" ht="18" x14ac:dyDescent="0.25">
      <c r="B163" s="667" t="s">
        <v>377</v>
      </c>
      <c r="C163" s="667">
        <v>5</v>
      </c>
      <c r="E163" t="s">
        <v>391</v>
      </c>
      <c r="F163">
        <v>0</v>
      </c>
      <c r="G163">
        <v>-1</v>
      </c>
      <c r="H163" t="s">
        <v>384</v>
      </c>
      <c r="O163">
        <v>0.87088012621370248</v>
      </c>
      <c r="Q163" t="s">
        <v>379</v>
      </c>
    </row>
    <row r="164" spans="2:30" x14ac:dyDescent="0.2">
      <c r="O164">
        <v>0.93378977922627082</v>
      </c>
      <c r="Q164">
        <v>5</v>
      </c>
    </row>
    <row r="165" spans="2:30" x14ac:dyDescent="0.2">
      <c r="B165" t="s">
        <v>385</v>
      </c>
      <c r="C165">
        <v>2010</v>
      </c>
      <c r="D165">
        <v>2012</v>
      </c>
      <c r="E165" t="s">
        <v>387</v>
      </c>
      <c r="F165">
        <v>2</v>
      </c>
      <c r="G165">
        <v>1</v>
      </c>
      <c r="H165" t="s">
        <v>388</v>
      </c>
      <c r="O165">
        <v>0.85638315967776169</v>
      </c>
    </row>
    <row r="166" spans="2:30" x14ac:dyDescent="0.2">
      <c r="B166" t="s">
        <v>386</v>
      </c>
      <c r="C166">
        <v>2010</v>
      </c>
      <c r="D166">
        <v>2019</v>
      </c>
      <c r="E166" t="s">
        <v>389</v>
      </c>
      <c r="F166">
        <v>1</v>
      </c>
      <c r="G166">
        <v>1.5</v>
      </c>
      <c r="H166" t="s">
        <v>390</v>
      </c>
      <c r="O166">
        <v>0.7642139280435053</v>
      </c>
    </row>
    <row r="167" spans="2:30" x14ac:dyDescent="0.2">
      <c r="O167">
        <v>0.85132887166987614</v>
      </c>
    </row>
    <row r="168" spans="2:30" x14ac:dyDescent="0.2">
      <c r="O168">
        <v>0.74093547796487669</v>
      </c>
      <c r="P168" t="s">
        <v>394</v>
      </c>
    </row>
    <row r="169" spans="2:30" x14ac:dyDescent="0.2">
      <c r="O169">
        <v>5.0175313427959933</v>
      </c>
      <c r="P169">
        <v>0.83625522379933226</v>
      </c>
    </row>
    <row r="170" spans="2:30" x14ac:dyDescent="0.2">
      <c r="I170">
        <v>0.83713627302550664</v>
      </c>
      <c r="J170">
        <v>0.83690416390310551</v>
      </c>
      <c r="K170">
        <v>0.81224137783795236</v>
      </c>
      <c r="L170">
        <v>0.8360238169887394</v>
      </c>
      <c r="M170">
        <v>0.83091635102863437</v>
      </c>
      <c r="N170">
        <v>0.82841870195729561</v>
      </c>
      <c r="O170">
        <v>0.82867971354720682</v>
      </c>
      <c r="P170">
        <v>0.82805231436977156</v>
      </c>
      <c r="Q170">
        <v>0.82945784339177298</v>
      </c>
      <c r="R170">
        <v>0.83073828755387458</v>
      </c>
      <c r="S170">
        <v>0.83294133193747066</v>
      </c>
      <c r="T170">
        <v>0.83395820448057656</v>
      </c>
      <c r="U170">
        <v>0.83435453461522779</v>
      </c>
      <c r="V170">
        <v>0.83421643733333128</v>
      </c>
      <c r="W170">
        <v>0.83643122862104136</v>
      </c>
      <c r="X170">
        <v>0.83755289583054537</v>
      </c>
      <c r="Y170">
        <v>0.83859458033183987</v>
      </c>
      <c r="Z170">
        <v>0.83963305915190223</v>
      </c>
      <c r="AA170">
        <v>0.84034154174675735</v>
      </c>
      <c r="AB170">
        <v>0.84191084211840028</v>
      </c>
      <c r="AC170">
        <v>0.84150338665656488</v>
      </c>
      <c r="AD170">
        <v>0.84033419767708539</v>
      </c>
    </row>
    <row r="171" spans="2:30" x14ac:dyDescent="0.2">
      <c r="D171">
        <v>2005</v>
      </c>
      <c r="E171">
        <v>2006</v>
      </c>
      <c r="F171">
        <v>2007</v>
      </c>
      <c r="G171">
        <v>2008</v>
      </c>
      <c r="H171">
        <v>2009</v>
      </c>
      <c r="I171">
        <v>2010</v>
      </c>
      <c r="J171">
        <v>2011</v>
      </c>
      <c r="K171">
        <v>2012</v>
      </c>
      <c r="L171">
        <v>2013</v>
      </c>
      <c r="M171">
        <v>2014</v>
      </c>
      <c r="N171">
        <v>2015</v>
      </c>
      <c r="O171">
        <v>2016</v>
      </c>
      <c r="P171">
        <v>2017</v>
      </c>
      <c r="Q171">
        <v>2018</v>
      </c>
      <c r="R171">
        <v>2019</v>
      </c>
      <c r="S171">
        <v>2020</v>
      </c>
      <c r="T171">
        <v>2021</v>
      </c>
      <c r="U171">
        <v>2022</v>
      </c>
      <c r="V171">
        <v>2023</v>
      </c>
      <c r="W171">
        <v>2024</v>
      </c>
      <c r="X171">
        <v>2025</v>
      </c>
      <c r="Y171">
        <v>2026</v>
      </c>
      <c r="Z171">
        <v>2027</v>
      </c>
      <c r="AA171">
        <v>2028</v>
      </c>
      <c r="AB171">
        <v>2029</v>
      </c>
      <c r="AC171">
        <v>2030</v>
      </c>
      <c r="AD171">
        <v>2031</v>
      </c>
    </row>
    <row r="172" spans="2:30" x14ac:dyDescent="0.2">
      <c r="B172" t="s">
        <v>374</v>
      </c>
      <c r="C172" t="s">
        <v>375</v>
      </c>
      <c r="D172">
        <v>6354.72</v>
      </c>
      <c r="E172">
        <v>8623.7719662377203</v>
      </c>
      <c r="F172">
        <v>8587.8671826528644</v>
      </c>
      <c r="G172">
        <v>11679.702558071775</v>
      </c>
      <c r="H172">
        <v>14977.791663858638</v>
      </c>
      <c r="I172">
        <v>30400.823235010823</v>
      </c>
      <c r="J172">
        <v>30781.115375653837</v>
      </c>
      <c r="K172">
        <v>33012.579370864354</v>
      </c>
      <c r="L172">
        <v>31419.651066540282</v>
      </c>
      <c r="M172">
        <v>17300.442472154213</v>
      </c>
      <c r="N172">
        <v>6798.6054709685595</v>
      </c>
      <c r="O172">
        <v>5256.2018235241276</v>
      </c>
      <c r="P172">
        <v>4158.1793294006602</v>
      </c>
      <c r="Q172">
        <v>4264.916417035598</v>
      </c>
      <c r="R172">
        <v>4370.5861337941897</v>
      </c>
      <c r="S172">
        <v>4475.1991533851951</v>
      </c>
      <c r="T172">
        <v>4578.7660427802884</v>
      </c>
      <c r="U172">
        <v>4681.2972632814326</v>
      </c>
      <c r="V172">
        <v>4782.8031715775624</v>
      </c>
      <c r="W172">
        <v>4883.2940207907341</v>
      </c>
      <c r="X172">
        <v>4982.7799615117729</v>
      </c>
      <c r="Y172">
        <v>5081.2710428256005</v>
      </c>
      <c r="Z172">
        <v>5178.7772133262888</v>
      </c>
      <c r="AA172">
        <v>5275.3083221219749</v>
      </c>
      <c r="AB172">
        <v>5370.8741198296993</v>
      </c>
      <c r="AC172">
        <v>5465.4842595603486</v>
      </c>
      <c r="AD172">
        <v>5559.1482978936892</v>
      </c>
    </row>
    <row r="173" spans="2:30" x14ac:dyDescent="0.2">
      <c r="C173" t="s">
        <v>376</v>
      </c>
      <c r="D173">
        <v>27330.28</v>
      </c>
      <c r="E173">
        <v>27599.095982657629</v>
      </c>
      <c r="F173">
        <v>15082.412809127589</v>
      </c>
      <c r="G173">
        <v>15892.75122575899</v>
      </c>
      <c r="H173">
        <v>11690.383820154919</v>
      </c>
      <c r="I173">
        <v>14847.907408570349</v>
      </c>
      <c r="J173">
        <v>14819.669480568786</v>
      </c>
      <c r="K173">
        <v>11723.898836192175</v>
      </c>
      <c r="L173">
        <v>14709.55374283761</v>
      </c>
      <c r="M173">
        <v>13210.239011947964</v>
      </c>
      <c r="N173">
        <v>13276.290207007702</v>
      </c>
      <c r="O173">
        <v>13342.671658042736</v>
      </c>
      <c r="P173">
        <v>13409.38501633295</v>
      </c>
      <c r="Q173">
        <v>13476.431941414614</v>
      </c>
      <c r="R173">
        <v>13543.814101121685</v>
      </c>
      <c r="S173">
        <v>13611.533171627292</v>
      </c>
      <c r="T173">
        <v>13679.590837485428</v>
      </c>
      <c r="U173">
        <v>13747.988791672855</v>
      </c>
      <c r="V173">
        <v>13816.728735631215</v>
      </c>
      <c r="W173">
        <v>13885.812379309369</v>
      </c>
      <c r="X173">
        <v>13955.241441205915</v>
      </c>
      <c r="Y173">
        <v>14025.017648411944</v>
      </c>
      <c r="Z173">
        <v>14095.142736654003</v>
      </c>
      <c r="AA173">
        <v>14165.618450337271</v>
      </c>
      <c r="AB173">
        <v>14236.446542588954</v>
      </c>
      <c r="AC173">
        <v>14307.628775301901</v>
      </c>
      <c r="AD173">
        <v>14379.166919178406</v>
      </c>
    </row>
    <row r="174" spans="2:30" x14ac:dyDescent="0.2">
      <c r="C174" t="s">
        <v>254</v>
      </c>
      <c r="D174">
        <v>33685</v>
      </c>
      <c r="E174">
        <v>36222.867948895349</v>
      </c>
      <c r="F174">
        <v>23670.279991780451</v>
      </c>
      <c r="G174">
        <v>27572.453783830766</v>
      </c>
      <c r="H174">
        <v>26668.175484013555</v>
      </c>
      <c r="I174">
        <v>45248.73064358117</v>
      </c>
      <c r="J174">
        <v>45600.784856222621</v>
      </c>
      <c r="K174">
        <v>44736.478207056527</v>
      </c>
      <c r="L174">
        <v>46129.204809377894</v>
      </c>
      <c r="M174">
        <v>30510.681484102177</v>
      </c>
      <c r="N174">
        <v>20074.895677976259</v>
      </c>
      <c r="O174">
        <v>18598.873481566865</v>
      </c>
      <c r="P174">
        <v>17567.564345733612</v>
      </c>
      <c r="Q174">
        <v>17741.34835845021</v>
      </c>
      <c r="R174">
        <v>17914.400234915876</v>
      </c>
      <c r="S174">
        <v>18086.732325012486</v>
      </c>
      <c r="T174">
        <v>18258.356880265717</v>
      </c>
      <c r="U174">
        <v>18429.286054954289</v>
      </c>
      <c r="V174">
        <v>18599.531907208777</v>
      </c>
      <c r="W174">
        <v>18769.106400100103</v>
      </c>
      <c r="X174">
        <v>18938.021402717688</v>
      </c>
      <c r="Y174">
        <v>19106.288691237543</v>
      </c>
      <c r="Z174">
        <v>19273.919949980293</v>
      </c>
      <c r="AA174">
        <v>19440.926772459246</v>
      </c>
      <c r="AB174">
        <v>19607.320662418653</v>
      </c>
      <c r="AC174">
        <v>19773.11303486225</v>
      </c>
      <c r="AD174">
        <v>19938.315217072093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26"/>
  <sheetViews>
    <sheetView topLeftCell="E229" workbookViewId="0">
      <selection activeCell="F258" sqref="F258"/>
    </sheetView>
  </sheetViews>
  <sheetFormatPr defaultRowHeight="12.75" x14ac:dyDescent="0.2"/>
  <cols>
    <col min="2" max="2" width="11.5703125" customWidth="1"/>
    <col min="3" max="3" width="13.85546875" customWidth="1"/>
  </cols>
  <sheetData>
    <row r="2" spans="2:30" x14ac:dyDescent="0.2">
      <c r="B2" s="240" t="s">
        <v>397</v>
      </c>
    </row>
    <row r="4" spans="2:30" x14ac:dyDescent="0.2">
      <c r="B4" s="669" t="s">
        <v>398</v>
      </c>
    </row>
    <row r="5" spans="2:30" s="550" customFormat="1" x14ac:dyDescent="0.2">
      <c r="D5" s="550">
        <v>2005</v>
      </c>
      <c r="E5" s="550">
        <v>2006</v>
      </c>
      <c r="F5" s="550">
        <v>2007</v>
      </c>
      <c r="G5" s="550">
        <v>2008</v>
      </c>
      <c r="H5" s="550">
        <v>2009</v>
      </c>
      <c r="I5" s="550">
        <v>2010</v>
      </c>
      <c r="J5" s="550">
        <v>2011</v>
      </c>
      <c r="K5" s="550">
        <v>2012</v>
      </c>
      <c r="L5" s="550">
        <v>2013</v>
      </c>
      <c r="M5" s="550">
        <v>2014</v>
      </c>
      <c r="N5" s="550">
        <v>2015</v>
      </c>
      <c r="O5" s="550">
        <v>2016</v>
      </c>
      <c r="P5" s="550">
        <v>2017</v>
      </c>
      <c r="Q5" s="550">
        <v>2018</v>
      </c>
      <c r="R5" s="550">
        <v>2019</v>
      </c>
      <c r="S5" s="550">
        <v>2020</v>
      </c>
      <c r="T5" s="550">
        <v>2021</v>
      </c>
      <c r="U5" s="550">
        <v>2022</v>
      </c>
      <c r="V5" s="550">
        <v>2023</v>
      </c>
      <c r="W5" s="550">
        <v>2024</v>
      </c>
      <c r="X5" s="550">
        <v>2025</v>
      </c>
      <c r="Y5" s="550">
        <v>2026</v>
      </c>
      <c r="Z5" s="550">
        <v>2027</v>
      </c>
      <c r="AA5" s="550">
        <v>2028</v>
      </c>
      <c r="AB5" s="550">
        <v>2029</v>
      </c>
      <c r="AC5" s="550">
        <v>2030</v>
      </c>
      <c r="AD5" s="550">
        <v>2031</v>
      </c>
    </row>
    <row r="6" spans="2:30" s="550" customFormat="1" x14ac:dyDescent="0.2">
      <c r="B6" s="550" t="s">
        <v>374</v>
      </c>
      <c r="C6" s="550" t="s">
        <v>375</v>
      </c>
      <c r="D6" s="550">
        <v>6354.72</v>
      </c>
      <c r="E6" s="550">
        <v>8623.7719662377203</v>
      </c>
      <c r="F6" s="550">
        <v>8587.8671826528644</v>
      </c>
      <c r="G6" s="550">
        <v>11679.702558071775</v>
      </c>
      <c r="H6" s="550">
        <v>14977.791663858638</v>
      </c>
      <c r="I6" s="550">
        <v>11900.823235010826</v>
      </c>
      <c r="J6" s="550">
        <v>10881.115375653835</v>
      </c>
      <c r="K6" s="550">
        <v>12012.57937086435</v>
      </c>
      <c r="L6" s="550">
        <v>9419.6510665402802</v>
      </c>
      <c r="M6" s="550">
        <v>7300.4424721542118</v>
      </c>
      <c r="N6" s="550">
        <v>6798.6054709685595</v>
      </c>
      <c r="O6" s="550">
        <v>5256.2018235241276</v>
      </c>
      <c r="P6" s="550">
        <v>4158.1793294006602</v>
      </c>
      <c r="Q6" s="550">
        <v>3875.7982335753127</v>
      </c>
      <c r="R6" s="550">
        <v>3593.5690270724635</v>
      </c>
      <c r="S6" s="550">
        <v>3313.8191208793428</v>
      </c>
      <c r="T6" s="550">
        <v>3037.8253977694262</v>
      </c>
      <c r="U6" s="550">
        <v>2769.1011029665542</v>
      </c>
      <c r="V6" s="550">
        <v>2513.8736859268433</v>
      </c>
      <c r="W6" s="550">
        <v>2270.6447374042036</v>
      </c>
      <c r="X6" s="550">
        <v>2034.8977889755022</v>
      </c>
      <c r="Y6" s="550">
        <v>1807.07850618716</v>
      </c>
      <c r="Z6" s="550">
        <v>1581.5936504301085</v>
      </c>
      <c r="AA6" s="550">
        <v>1361.2078472371229</v>
      </c>
      <c r="AB6" s="550">
        <v>1148.7965612210201</v>
      </c>
      <c r="AC6" s="550">
        <v>944.11726415940097</v>
      </c>
      <c r="AD6" s="550">
        <v>746.93444501760325</v>
      </c>
    </row>
    <row r="7" spans="2:30" s="550" customFormat="1" x14ac:dyDescent="0.2">
      <c r="C7" s="550" t="s">
        <v>376</v>
      </c>
      <c r="D7" s="550">
        <v>27330.28</v>
      </c>
      <c r="E7" s="550">
        <v>27599.095982657629</v>
      </c>
      <c r="F7" s="550">
        <v>15082.412809127589</v>
      </c>
      <c r="G7" s="550">
        <v>15892.75122575899</v>
      </c>
      <c r="H7" s="550">
        <v>11690.383820154919</v>
      </c>
      <c r="I7" s="550">
        <v>15343.207580862685</v>
      </c>
      <c r="J7" s="550">
        <v>15314.312956861086</v>
      </c>
      <c r="K7" s="550">
        <v>12269.947646336181</v>
      </c>
      <c r="L7" s="550">
        <v>15767.242118019785</v>
      </c>
      <c r="M7" s="550">
        <v>15153.422014479436</v>
      </c>
      <c r="N7" s="550">
        <v>16321.026939228712</v>
      </c>
      <c r="O7" s="550">
        <v>17112.928336932138</v>
      </c>
      <c r="P7" s="550">
        <v>17983.309885067451</v>
      </c>
      <c r="Q7" s="550">
        <v>27857.332550024286</v>
      </c>
      <c r="R7" s="550">
        <v>42739.695302553075</v>
      </c>
      <c r="S7" s="550">
        <v>50212.581805588146</v>
      </c>
      <c r="T7" s="550">
        <v>43432.409569139214</v>
      </c>
      <c r="U7" s="550">
        <v>37232.230716853723</v>
      </c>
      <c r="V7" s="550">
        <v>32899.963238747863</v>
      </c>
      <c r="W7" s="550">
        <v>32472.155244776466</v>
      </c>
      <c r="X7" s="550">
        <v>35363.637911411686</v>
      </c>
      <c r="Y7" s="550">
        <v>42494.121380415119</v>
      </c>
      <c r="Z7" s="550">
        <v>51314.990455553379</v>
      </c>
      <c r="AA7" s="550">
        <v>59659.483974620547</v>
      </c>
      <c r="AB7" s="550">
        <v>65797.145431042532</v>
      </c>
      <c r="AC7" s="550">
        <v>65954.078874060942</v>
      </c>
      <c r="AD7" s="550">
        <v>66112.581651509536</v>
      </c>
    </row>
    <row r="8" spans="2:30" s="550" customFormat="1" x14ac:dyDescent="0.2">
      <c r="C8" s="550" t="s">
        <v>254</v>
      </c>
      <c r="D8" s="550">
        <v>33685</v>
      </c>
      <c r="E8" s="550">
        <v>36222.867948895349</v>
      </c>
      <c r="F8" s="550">
        <v>23670.279991780451</v>
      </c>
      <c r="G8" s="550">
        <v>27572.453783830766</v>
      </c>
      <c r="H8" s="550">
        <v>26668.175484013555</v>
      </c>
      <c r="I8" s="550">
        <v>27244.030815873513</v>
      </c>
      <c r="J8" s="550">
        <v>26195.428332514923</v>
      </c>
      <c r="K8" s="550">
        <v>24282.527017200533</v>
      </c>
      <c r="L8" s="550">
        <v>25186.893184560067</v>
      </c>
      <c r="M8" s="550">
        <v>22453.864486633647</v>
      </c>
      <c r="N8" s="550">
        <v>23119.632410197271</v>
      </c>
      <c r="O8" s="550">
        <v>22369.130160456265</v>
      </c>
      <c r="P8" s="550">
        <v>22141.489214468111</v>
      </c>
      <c r="Q8" s="550">
        <v>31733.130783599598</v>
      </c>
      <c r="R8" s="550">
        <v>46333.264329625541</v>
      </c>
      <c r="S8" s="550">
        <v>53526.40092646749</v>
      </c>
      <c r="T8" s="550">
        <v>46470.23496690864</v>
      </c>
      <c r="U8" s="550">
        <v>40001.331819820276</v>
      </c>
      <c r="V8" s="550">
        <v>35413.83692467471</v>
      </c>
      <c r="W8" s="550">
        <v>34742.799982180673</v>
      </c>
      <c r="X8" s="550">
        <v>37398.53570038719</v>
      </c>
      <c r="Y8" s="550">
        <v>44301.199886602277</v>
      </c>
      <c r="Z8" s="550">
        <v>52896.584105983486</v>
      </c>
      <c r="AA8" s="550">
        <v>61020.691821857668</v>
      </c>
      <c r="AB8" s="550">
        <v>66945.941992263557</v>
      </c>
      <c r="AC8" s="550">
        <v>66898.196138220344</v>
      </c>
      <c r="AD8" s="550">
        <v>66859.516096527135</v>
      </c>
    </row>
    <row r="10" spans="2:30" x14ac:dyDescent="0.2">
      <c r="C10" s="550" t="s">
        <v>375</v>
      </c>
      <c r="D10">
        <f>D6*0.001</f>
        <v>6.3547200000000004</v>
      </c>
      <c r="E10" s="550">
        <f t="shared" ref="E10:AC12" si="0">E6*0.001</f>
        <v>8.6237719662377206</v>
      </c>
      <c r="F10" s="550">
        <f t="shared" si="0"/>
        <v>8.5878671826528645</v>
      </c>
      <c r="G10" s="550">
        <f t="shared" si="0"/>
        <v>11.679702558071774</v>
      </c>
      <c r="H10" s="550">
        <f t="shared" si="0"/>
        <v>14.977791663858637</v>
      </c>
      <c r="I10" s="550">
        <f t="shared" si="0"/>
        <v>11.900823235010826</v>
      </c>
      <c r="J10" s="550">
        <f t="shared" si="0"/>
        <v>10.881115375653835</v>
      </c>
      <c r="K10" s="550">
        <f t="shared" si="0"/>
        <v>12.012579370864351</v>
      </c>
      <c r="L10" s="550">
        <f t="shared" si="0"/>
        <v>9.4196510665402808</v>
      </c>
      <c r="M10" s="550">
        <f t="shared" si="0"/>
        <v>7.300442472154212</v>
      </c>
      <c r="N10" s="550">
        <f t="shared" si="0"/>
        <v>6.7986054709685595</v>
      </c>
      <c r="O10" s="550">
        <f t="shared" si="0"/>
        <v>5.2562018235241279</v>
      </c>
      <c r="P10" s="550">
        <f t="shared" si="0"/>
        <v>4.1581793294006602</v>
      </c>
      <c r="Q10" s="550">
        <f t="shared" si="0"/>
        <v>3.8757982335753129</v>
      </c>
      <c r="R10" s="550">
        <f t="shared" si="0"/>
        <v>3.5935690270724634</v>
      </c>
      <c r="S10" s="550">
        <f t="shared" si="0"/>
        <v>3.313819120879343</v>
      </c>
      <c r="T10" s="550">
        <f t="shared" si="0"/>
        <v>3.0378253977694261</v>
      </c>
      <c r="U10" s="550">
        <f t="shared" si="0"/>
        <v>2.7691011029665544</v>
      </c>
      <c r="V10" s="550">
        <f t="shared" si="0"/>
        <v>2.5138736859268436</v>
      </c>
      <c r="W10" s="550">
        <f t="shared" si="0"/>
        <v>2.2706447374042038</v>
      </c>
      <c r="X10" s="550">
        <f t="shared" si="0"/>
        <v>2.0348977889755022</v>
      </c>
      <c r="Y10" s="550">
        <f t="shared" si="0"/>
        <v>1.8070785061871599</v>
      </c>
      <c r="Z10" s="550">
        <f t="shared" si="0"/>
        <v>1.5815936504301085</v>
      </c>
      <c r="AA10" s="550">
        <f t="shared" si="0"/>
        <v>1.361207847237123</v>
      </c>
      <c r="AB10" s="550">
        <f t="shared" si="0"/>
        <v>1.14879656122102</v>
      </c>
      <c r="AC10" s="550">
        <f t="shared" si="0"/>
        <v>0.944117264159401</v>
      </c>
      <c r="AD10" s="550"/>
    </row>
    <row r="11" spans="2:30" x14ac:dyDescent="0.2">
      <c r="C11" s="550" t="s">
        <v>376</v>
      </c>
      <c r="D11" s="550">
        <f t="shared" ref="D11:S12" si="1">D7*0.001</f>
        <v>27.330279999999998</v>
      </c>
      <c r="E11" s="550">
        <f t="shared" si="1"/>
        <v>27.59909598265763</v>
      </c>
      <c r="F11" s="550">
        <f t="shared" si="1"/>
        <v>15.08241280912759</v>
      </c>
      <c r="G11" s="550">
        <f t="shared" si="1"/>
        <v>15.892751225758991</v>
      </c>
      <c r="H11" s="550">
        <f t="shared" si="1"/>
        <v>11.690383820154919</v>
      </c>
      <c r="I11" s="550">
        <f t="shared" si="1"/>
        <v>15.343207580862686</v>
      </c>
      <c r="J11" s="550">
        <f t="shared" si="1"/>
        <v>15.314312956861086</v>
      </c>
      <c r="K11" s="550">
        <f t="shared" si="1"/>
        <v>12.269947646336181</v>
      </c>
      <c r="L11" s="550">
        <f t="shared" si="1"/>
        <v>15.767242118019785</v>
      </c>
      <c r="M11" s="550">
        <f t="shared" si="1"/>
        <v>15.153422014479437</v>
      </c>
      <c r="N11" s="550">
        <f t="shared" si="1"/>
        <v>16.321026939228712</v>
      </c>
      <c r="O11" s="550">
        <f t="shared" si="1"/>
        <v>17.112928336932139</v>
      </c>
      <c r="P11" s="550">
        <f t="shared" si="1"/>
        <v>17.983309885067452</v>
      </c>
      <c r="Q11" s="550">
        <f t="shared" si="1"/>
        <v>27.857332550024285</v>
      </c>
      <c r="R11" s="550">
        <f t="shared" si="1"/>
        <v>42.739695302553073</v>
      </c>
      <c r="S11" s="550">
        <f t="shared" si="1"/>
        <v>50.212581805588144</v>
      </c>
      <c r="T11" s="550">
        <f t="shared" si="0"/>
        <v>43.432409569139217</v>
      </c>
      <c r="U11" s="550">
        <f t="shared" si="0"/>
        <v>37.232230716853721</v>
      </c>
      <c r="V11" s="550">
        <f t="shared" si="0"/>
        <v>32.899963238747866</v>
      </c>
      <c r="W11" s="550">
        <f t="shared" si="0"/>
        <v>32.472155244776467</v>
      </c>
      <c r="X11" s="550">
        <f t="shared" si="0"/>
        <v>35.363637911411686</v>
      </c>
      <c r="Y11" s="550">
        <f t="shared" si="0"/>
        <v>42.494121380415123</v>
      </c>
      <c r="Z11" s="550">
        <f t="shared" si="0"/>
        <v>51.314990455553378</v>
      </c>
      <c r="AA11" s="550">
        <f t="shared" si="0"/>
        <v>59.659483974620549</v>
      </c>
      <c r="AB11" s="550">
        <f t="shared" si="0"/>
        <v>65.797145431042537</v>
      </c>
      <c r="AC11" s="550">
        <f t="shared" si="0"/>
        <v>65.95407887406094</v>
      </c>
      <c r="AD11" s="550"/>
    </row>
    <row r="12" spans="2:30" x14ac:dyDescent="0.2">
      <c r="C12" s="550" t="s">
        <v>254</v>
      </c>
      <c r="D12" s="550">
        <f t="shared" si="1"/>
        <v>33.685000000000002</v>
      </c>
      <c r="E12" s="550">
        <f t="shared" si="0"/>
        <v>36.222867948895349</v>
      </c>
      <c r="F12" s="550">
        <f t="shared" si="0"/>
        <v>23.670279991780451</v>
      </c>
      <c r="G12" s="550">
        <f t="shared" si="0"/>
        <v>27.572453783830767</v>
      </c>
      <c r="H12" s="550">
        <f t="shared" si="0"/>
        <v>26.668175484013556</v>
      </c>
      <c r="I12" s="550">
        <f t="shared" si="0"/>
        <v>27.244030815873515</v>
      </c>
      <c r="J12" s="550">
        <f t="shared" si="0"/>
        <v>26.195428332514922</v>
      </c>
      <c r="K12" s="550">
        <f t="shared" si="0"/>
        <v>24.282527017200533</v>
      </c>
      <c r="L12" s="550">
        <f t="shared" si="0"/>
        <v>25.186893184560066</v>
      </c>
      <c r="M12" s="550">
        <f t="shared" si="0"/>
        <v>22.453864486633648</v>
      </c>
      <c r="N12" s="550">
        <f t="shared" si="0"/>
        <v>23.119632410197273</v>
      </c>
      <c r="O12" s="550">
        <f t="shared" si="0"/>
        <v>22.369130160456265</v>
      </c>
      <c r="P12" s="550">
        <f t="shared" si="0"/>
        <v>22.141489214468113</v>
      </c>
      <c r="Q12" s="550">
        <f t="shared" si="0"/>
        <v>31.733130783599599</v>
      </c>
      <c r="R12" s="550">
        <f t="shared" si="0"/>
        <v>46.333264329625543</v>
      </c>
      <c r="S12" s="550">
        <f t="shared" si="0"/>
        <v>53.526400926467488</v>
      </c>
      <c r="T12" s="550">
        <f t="shared" si="0"/>
        <v>46.470234966908642</v>
      </c>
      <c r="U12" s="550">
        <f t="shared" si="0"/>
        <v>40.00133181982028</v>
      </c>
      <c r="V12" s="550">
        <f t="shared" si="0"/>
        <v>35.413836924674712</v>
      </c>
      <c r="W12" s="550">
        <f t="shared" si="0"/>
        <v>34.742799982180671</v>
      </c>
      <c r="X12" s="550">
        <f t="shared" si="0"/>
        <v>37.398535700387193</v>
      </c>
      <c r="Y12" s="550">
        <f t="shared" si="0"/>
        <v>44.301199886602276</v>
      </c>
      <c r="Z12" s="550">
        <f t="shared" si="0"/>
        <v>52.896584105983486</v>
      </c>
      <c r="AA12" s="550">
        <f t="shared" si="0"/>
        <v>61.020691821857667</v>
      </c>
      <c r="AB12" s="550">
        <f t="shared" si="0"/>
        <v>66.945941992263556</v>
      </c>
      <c r="AC12" s="550">
        <f t="shared" si="0"/>
        <v>66.898196138220342</v>
      </c>
      <c r="AD12" s="550"/>
    </row>
    <row r="74" spans="2:30" x14ac:dyDescent="0.2">
      <c r="B74" s="669" t="s">
        <v>399</v>
      </c>
    </row>
    <row r="77" spans="2:30" s="550" customFormat="1" x14ac:dyDescent="0.2">
      <c r="D77" s="550">
        <v>2005</v>
      </c>
      <c r="E77" s="550">
        <v>2006</v>
      </c>
      <c r="F77" s="550">
        <v>2007</v>
      </c>
      <c r="G77" s="550">
        <v>2008</v>
      </c>
      <c r="H77" s="550">
        <v>2009</v>
      </c>
      <c r="I77" s="550">
        <v>2010</v>
      </c>
      <c r="J77" s="550">
        <v>2011</v>
      </c>
      <c r="K77" s="550">
        <v>2012</v>
      </c>
      <c r="L77" s="550">
        <v>2013</v>
      </c>
      <c r="M77" s="550">
        <v>2014</v>
      </c>
      <c r="N77" s="550">
        <v>2015</v>
      </c>
      <c r="O77" s="550">
        <v>2016</v>
      </c>
      <c r="P77" s="550">
        <v>2017</v>
      </c>
      <c r="Q77" s="550">
        <v>2018</v>
      </c>
      <c r="R77" s="550">
        <v>2019</v>
      </c>
      <c r="S77" s="550">
        <v>2020</v>
      </c>
      <c r="T77" s="550">
        <v>2021</v>
      </c>
      <c r="U77" s="550">
        <v>2022</v>
      </c>
      <c r="V77" s="550">
        <v>2023</v>
      </c>
      <c r="W77" s="550">
        <v>2024</v>
      </c>
      <c r="X77" s="550">
        <v>2025</v>
      </c>
      <c r="Y77" s="550">
        <v>2026</v>
      </c>
      <c r="Z77" s="550">
        <v>2027</v>
      </c>
      <c r="AA77" s="550">
        <v>2028</v>
      </c>
      <c r="AB77" s="550">
        <v>2029</v>
      </c>
      <c r="AC77" s="550">
        <v>2030</v>
      </c>
      <c r="AD77" s="550">
        <v>2031</v>
      </c>
    </row>
    <row r="78" spans="2:30" s="550" customFormat="1" x14ac:dyDescent="0.2">
      <c r="B78" s="198" t="s">
        <v>374</v>
      </c>
      <c r="C78" s="198" t="s">
        <v>375</v>
      </c>
      <c r="D78" s="550">
        <v>6354.72</v>
      </c>
      <c r="E78" s="550">
        <v>8623.7719662377203</v>
      </c>
      <c r="F78" s="550">
        <v>8587.8671826528644</v>
      </c>
      <c r="G78" s="550">
        <v>11679.702558071775</v>
      </c>
      <c r="H78" s="550">
        <v>14977.791663858638</v>
      </c>
      <c r="I78" s="550">
        <v>11900.823235010826</v>
      </c>
      <c r="J78" s="550">
        <v>10881.115375653835</v>
      </c>
      <c r="K78" s="550">
        <v>12012.57937086435</v>
      </c>
      <c r="L78" s="550">
        <v>9419.6510665402802</v>
      </c>
      <c r="M78" s="550">
        <v>7300.4424721542118</v>
      </c>
      <c r="N78" s="550">
        <v>6798.6054709685595</v>
      </c>
      <c r="O78" s="550">
        <v>5256.2018235241276</v>
      </c>
      <c r="P78" s="550">
        <v>4158.1793294006602</v>
      </c>
      <c r="Q78" s="550">
        <v>4264.916417035598</v>
      </c>
      <c r="R78" s="550">
        <v>4370.5861337941897</v>
      </c>
      <c r="S78" s="550">
        <v>4475.1991533851951</v>
      </c>
      <c r="T78" s="550">
        <v>4578.7660427802884</v>
      </c>
      <c r="U78" s="550">
        <v>4681.2972632814326</v>
      </c>
      <c r="V78" s="550">
        <v>4782.8031715775624</v>
      </c>
      <c r="W78" s="550">
        <v>4883.2940207907341</v>
      </c>
      <c r="X78" s="550">
        <v>4982.7799615117729</v>
      </c>
      <c r="Y78" s="550">
        <v>5081.2710428256005</v>
      </c>
      <c r="Z78" s="550">
        <v>5178.7772133262888</v>
      </c>
      <c r="AA78" s="550">
        <v>5275.3083221219749</v>
      </c>
      <c r="AB78" s="550">
        <v>5370.8741198296993</v>
      </c>
      <c r="AC78" s="550">
        <v>5465.4842595603486</v>
      </c>
      <c r="AD78" s="550">
        <v>5559.1482978936892</v>
      </c>
    </row>
    <row r="79" spans="2:30" s="550" customFormat="1" x14ac:dyDescent="0.2">
      <c r="B79" s="198"/>
      <c r="C79" s="198" t="s">
        <v>376</v>
      </c>
      <c r="D79" s="550">
        <v>27330.28</v>
      </c>
      <c r="E79" s="550">
        <v>27599.095982657629</v>
      </c>
      <c r="F79" s="550">
        <v>15082.412809127589</v>
      </c>
      <c r="G79" s="550">
        <v>15892.75122575899</v>
      </c>
      <c r="H79" s="550">
        <v>11690.383820154919</v>
      </c>
      <c r="I79" s="550">
        <v>13812.006891693349</v>
      </c>
      <c r="J79" s="550">
        <v>13785.739051691897</v>
      </c>
      <c r="K79" s="550">
        <v>10905.952405760163</v>
      </c>
      <c r="L79" s="550">
        <v>13683.305807290801</v>
      </c>
      <c r="M79" s="550">
        <v>12288.594429719034</v>
      </c>
      <c r="N79" s="550">
        <v>11570.542482490846</v>
      </c>
      <c r="O79" s="550">
        <v>11193.453433081128</v>
      </c>
      <c r="P79" s="550">
        <v>10673.708763493907</v>
      </c>
      <c r="Q79" s="550">
        <v>10566.971675858968</v>
      </c>
      <c r="R79" s="550">
        <v>10461.301959100378</v>
      </c>
      <c r="S79" s="550">
        <v>10356.688939509373</v>
      </c>
      <c r="T79" s="550">
        <v>10253.12205011428</v>
      </c>
      <c r="U79" s="550">
        <v>10150.590829613137</v>
      </c>
      <c r="V79" s="550">
        <v>10049.084921317006</v>
      </c>
      <c r="W79" s="550">
        <v>9948.5940721038351</v>
      </c>
      <c r="X79" s="550">
        <v>9849.1081313827963</v>
      </c>
      <c r="Y79" s="550">
        <v>9750.6170500689677</v>
      </c>
      <c r="Z79" s="550">
        <v>9653.1108795682776</v>
      </c>
      <c r="AA79" s="550">
        <v>9556.5797707725942</v>
      </c>
      <c r="AB79" s="550">
        <v>9461.013973064868</v>
      </c>
      <c r="AC79" s="550">
        <v>9366.4038333342196</v>
      </c>
      <c r="AD79" s="550">
        <v>9272.7397950008781</v>
      </c>
    </row>
    <row r="80" spans="2:30" s="550" customFormat="1" x14ac:dyDescent="0.2">
      <c r="B80" s="198"/>
      <c r="C80" s="198" t="s">
        <v>254</v>
      </c>
      <c r="D80" s="550">
        <v>33685</v>
      </c>
      <c r="E80" s="550">
        <v>36222.867948895349</v>
      </c>
      <c r="F80" s="550">
        <v>23670.279991780451</v>
      </c>
      <c r="G80" s="550">
        <v>27572.453783830766</v>
      </c>
      <c r="H80" s="550">
        <v>26668.175484013555</v>
      </c>
      <c r="I80" s="550">
        <v>25712.830126704175</v>
      </c>
      <c r="J80" s="550">
        <v>24666.85442734573</v>
      </c>
      <c r="K80" s="550">
        <v>22918.531776624513</v>
      </c>
      <c r="L80" s="550">
        <v>23102.956873831081</v>
      </c>
      <c r="M80" s="550">
        <v>19589.036901873245</v>
      </c>
      <c r="N80" s="550">
        <v>18369.147953459404</v>
      </c>
      <c r="O80" s="550">
        <v>16449.655256605256</v>
      </c>
      <c r="P80" s="550">
        <v>14831.888092894567</v>
      </c>
      <c r="Q80" s="550">
        <v>14831.888092894565</v>
      </c>
      <c r="R80" s="550">
        <v>14831.888092894567</v>
      </c>
      <c r="S80" s="550">
        <v>14831.888092894569</v>
      </c>
      <c r="T80" s="550">
        <v>14831.888092894569</v>
      </c>
      <c r="U80" s="550">
        <v>14831.888092894569</v>
      </c>
      <c r="V80" s="550">
        <v>14831.888092894569</v>
      </c>
      <c r="W80" s="550">
        <v>14831.888092894569</v>
      </c>
      <c r="X80" s="550">
        <v>14831.888092894569</v>
      </c>
      <c r="Y80" s="550">
        <v>14831.888092894569</v>
      </c>
      <c r="Z80" s="550">
        <v>14831.888092894565</v>
      </c>
      <c r="AA80" s="550">
        <v>14831.888092894569</v>
      </c>
      <c r="AB80" s="550">
        <v>14831.888092894567</v>
      </c>
      <c r="AC80" s="550">
        <v>14831.888092894569</v>
      </c>
      <c r="AD80" s="550">
        <v>14831.888092894567</v>
      </c>
    </row>
    <row r="82" spans="4:29" x14ac:dyDescent="0.2">
      <c r="D82">
        <f>D78*0.001</f>
        <v>6.3547200000000004</v>
      </c>
      <c r="E82" s="550">
        <f t="shared" ref="E82:AC84" si="2">E78*0.001</f>
        <v>8.6237719662377206</v>
      </c>
      <c r="F82" s="550">
        <f t="shared" si="2"/>
        <v>8.5878671826528645</v>
      </c>
      <c r="G82" s="550">
        <f t="shared" si="2"/>
        <v>11.679702558071774</v>
      </c>
      <c r="H82" s="550">
        <f t="shared" si="2"/>
        <v>14.977791663858637</v>
      </c>
      <c r="I82" s="550">
        <f t="shared" si="2"/>
        <v>11.900823235010826</v>
      </c>
      <c r="J82" s="550">
        <f t="shared" si="2"/>
        <v>10.881115375653835</v>
      </c>
      <c r="K82" s="550">
        <f t="shared" si="2"/>
        <v>12.012579370864351</v>
      </c>
      <c r="L82" s="550">
        <f t="shared" si="2"/>
        <v>9.4196510665402808</v>
      </c>
      <c r="M82" s="550">
        <f t="shared" si="2"/>
        <v>7.300442472154212</v>
      </c>
      <c r="N82" s="550">
        <f t="shared" si="2"/>
        <v>6.7986054709685595</v>
      </c>
      <c r="O82" s="550">
        <f t="shared" si="2"/>
        <v>5.2562018235241279</v>
      </c>
      <c r="P82" s="550">
        <f t="shared" si="2"/>
        <v>4.1581793294006602</v>
      </c>
      <c r="Q82" s="550">
        <f t="shared" si="2"/>
        <v>4.2649164170355984</v>
      </c>
      <c r="R82" s="550">
        <f t="shared" si="2"/>
        <v>4.3705861337941894</v>
      </c>
      <c r="S82" s="550">
        <f t="shared" si="2"/>
        <v>4.4751991533851951</v>
      </c>
      <c r="T82" s="550">
        <f t="shared" si="2"/>
        <v>4.5787660427802885</v>
      </c>
      <c r="U82" s="550">
        <f t="shared" si="2"/>
        <v>4.6812972632814329</v>
      </c>
      <c r="V82" s="550">
        <f t="shared" si="2"/>
        <v>4.7828031715775623</v>
      </c>
      <c r="W82" s="550">
        <f t="shared" si="2"/>
        <v>4.8832940207907338</v>
      </c>
      <c r="X82" s="550">
        <f t="shared" si="2"/>
        <v>4.9827799615117732</v>
      </c>
      <c r="Y82" s="550">
        <f t="shared" si="2"/>
        <v>5.0812710428256009</v>
      </c>
      <c r="Z82" s="550">
        <f t="shared" si="2"/>
        <v>5.1787772133262893</v>
      </c>
      <c r="AA82" s="550">
        <f t="shared" si="2"/>
        <v>5.2753083221219752</v>
      </c>
      <c r="AB82" s="550">
        <f t="shared" si="2"/>
        <v>5.3708741198296996</v>
      </c>
      <c r="AC82" s="550">
        <f t="shared" si="2"/>
        <v>5.4654842595603483</v>
      </c>
    </row>
    <row r="83" spans="4:29" x14ac:dyDescent="0.2">
      <c r="D83" s="550">
        <f t="shared" ref="D83:S84" si="3">D79*0.001</f>
        <v>27.330279999999998</v>
      </c>
      <c r="E83" s="550">
        <f t="shared" si="3"/>
        <v>27.59909598265763</v>
      </c>
      <c r="F83" s="550">
        <f t="shared" si="3"/>
        <v>15.08241280912759</v>
      </c>
      <c r="G83" s="550">
        <f t="shared" si="3"/>
        <v>15.892751225758991</v>
      </c>
      <c r="H83" s="550">
        <f t="shared" si="3"/>
        <v>11.690383820154919</v>
      </c>
      <c r="I83" s="550">
        <f t="shared" si="3"/>
        <v>13.812006891693349</v>
      </c>
      <c r="J83" s="550">
        <f t="shared" si="3"/>
        <v>13.785739051691897</v>
      </c>
      <c r="K83" s="550">
        <f t="shared" si="3"/>
        <v>10.905952405760162</v>
      </c>
      <c r="L83" s="550">
        <f t="shared" si="3"/>
        <v>13.6833058072908</v>
      </c>
      <c r="M83" s="550">
        <f t="shared" si="3"/>
        <v>12.288594429719035</v>
      </c>
      <c r="N83" s="550">
        <f t="shared" si="3"/>
        <v>11.570542482490847</v>
      </c>
      <c r="O83" s="550">
        <f t="shared" si="3"/>
        <v>11.193453433081128</v>
      </c>
      <c r="P83" s="550">
        <f t="shared" si="3"/>
        <v>10.673708763493908</v>
      </c>
      <c r="Q83" s="550">
        <f t="shared" si="3"/>
        <v>10.566971675858968</v>
      </c>
      <c r="R83" s="550">
        <f t="shared" si="3"/>
        <v>10.461301959100378</v>
      </c>
      <c r="S83" s="550">
        <f t="shared" si="3"/>
        <v>10.356688939509374</v>
      </c>
      <c r="T83" s="550">
        <f t="shared" si="2"/>
        <v>10.25312205011428</v>
      </c>
      <c r="U83" s="550">
        <f t="shared" si="2"/>
        <v>10.150590829613137</v>
      </c>
      <c r="V83" s="550">
        <f t="shared" si="2"/>
        <v>10.049084921317005</v>
      </c>
      <c r="W83" s="550">
        <f t="shared" si="2"/>
        <v>9.9485940721038357</v>
      </c>
      <c r="X83" s="550">
        <f t="shared" si="2"/>
        <v>9.8491081313827973</v>
      </c>
      <c r="Y83" s="550">
        <f t="shared" si="2"/>
        <v>9.7506170500689677</v>
      </c>
      <c r="Z83" s="550">
        <f t="shared" si="2"/>
        <v>9.6531108795682776</v>
      </c>
      <c r="AA83" s="550">
        <f t="shared" si="2"/>
        <v>9.5565797707725952</v>
      </c>
      <c r="AB83" s="550">
        <f t="shared" si="2"/>
        <v>9.461013973064869</v>
      </c>
      <c r="AC83" s="550">
        <f t="shared" si="2"/>
        <v>9.3664038333342194</v>
      </c>
    </row>
    <row r="84" spans="4:29" x14ac:dyDescent="0.2">
      <c r="D84" s="550">
        <f t="shared" si="3"/>
        <v>33.685000000000002</v>
      </c>
      <c r="E84" s="550">
        <f t="shared" si="2"/>
        <v>36.222867948895349</v>
      </c>
      <c r="F84" s="550">
        <f t="shared" si="2"/>
        <v>23.670279991780451</v>
      </c>
      <c r="G84" s="550">
        <f t="shared" si="2"/>
        <v>27.572453783830767</v>
      </c>
      <c r="H84" s="550">
        <f t="shared" si="2"/>
        <v>26.668175484013556</v>
      </c>
      <c r="I84" s="550">
        <f t="shared" si="2"/>
        <v>25.712830126704176</v>
      </c>
      <c r="J84" s="550">
        <f t="shared" si="2"/>
        <v>24.666854427345729</v>
      </c>
      <c r="K84" s="550">
        <f t="shared" si="2"/>
        <v>22.918531776624516</v>
      </c>
      <c r="L84" s="550">
        <f t="shared" si="2"/>
        <v>23.102956873831083</v>
      </c>
      <c r="M84" s="550">
        <f t="shared" si="2"/>
        <v>19.589036901873246</v>
      </c>
      <c r="N84" s="550">
        <f t="shared" si="2"/>
        <v>18.369147953459404</v>
      </c>
      <c r="O84" s="550">
        <f t="shared" si="2"/>
        <v>16.449655256605258</v>
      </c>
      <c r="P84" s="550">
        <f t="shared" si="2"/>
        <v>14.831888092894568</v>
      </c>
      <c r="Q84" s="550">
        <f t="shared" si="2"/>
        <v>14.831888092894566</v>
      </c>
      <c r="R84" s="550">
        <f t="shared" si="2"/>
        <v>14.831888092894568</v>
      </c>
      <c r="S84" s="550">
        <f t="shared" si="2"/>
        <v>14.83188809289457</v>
      </c>
      <c r="T84" s="550">
        <f t="shared" si="2"/>
        <v>14.83188809289457</v>
      </c>
      <c r="U84" s="550">
        <f t="shared" si="2"/>
        <v>14.83188809289457</v>
      </c>
      <c r="V84" s="550">
        <f t="shared" si="2"/>
        <v>14.83188809289457</v>
      </c>
      <c r="W84" s="550">
        <f t="shared" si="2"/>
        <v>14.83188809289457</v>
      </c>
      <c r="X84" s="550">
        <f t="shared" si="2"/>
        <v>14.83188809289457</v>
      </c>
      <c r="Y84" s="550">
        <f t="shared" si="2"/>
        <v>14.83188809289457</v>
      </c>
      <c r="Z84" s="550">
        <f t="shared" si="2"/>
        <v>14.831888092894566</v>
      </c>
      <c r="AA84" s="550">
        <f t="shared" si="2"/>
        <v>14.83188809289457</v>
      </c>
      <c r="AB84" s="550">
        <f t="shared" si="2"/>
        <v>14.831888092894568</v>
      </c>
      <c r="AC84" s="550">
        <f t="shared" si="2"/>
        <v>14.83188809289457</v>
      </c>
    </row>
    <row r="144" spans="1:1" x14ac:dyDescent="0.2">
      <c r="A144" s="669" t="s">
        <v>400</v>
      </c>
    </row>
    <row r="146" spans="2:30" s="550" customFormat="1" x14ac:dyDescent="0.2">
      <c r="D146" s="550">
        <v>2005</v>
      </c>
      <c r="E146" s="550">
        <v>2006</v>
      </c>
      <c r="F146" s="550">
        <v>2007</v>
      </c>
      <c r="G146" s="550">
        <v>2008</v>
      </c>
      <c r="H146" s="550">
        <v>2009</v>
      </c>
      <c r="I146" s="550">
        <v>2010</v>
      </c>
      <c r="J146" s="550">
        <v>2011</v>
      </c>
      <c r="K146" s="550">
        <v>2012</v>
      </c>
      <c r="L146" s="550">
        <v>2013</v>
      </c>
      <c r="M146" s="550">
        <v>2014</v>
      </c>
      <c r="N146" s="550">
        <v>2015</v>
      </c>
      <c r="O146" s="550">
        <v>2016</v>
      </c>
      <c r="P146" s="550">
        <v>2017</v>
      </c>
      <c r="Q146" s="550">
        <v>2018</v>
      </c>
      <c r="R146" s="550">
        <v>2019</v>
      </c>
      <c r="S146" s="550">
        <v>2020</v>
      </c>
      <c r="T146" s="550">
        <v>2021</v>
      </c>
      <c r="U146" s="550">
        <v>2022</v>
      </c>
      <c r="V146" s="550">
        <v>2023</v>
      </c>
      <c r="W146" s="550">
        <v>2024</v>
      </c>
      <c r="X146" s="550">
        <v>2025</v>
      </c>
      <c r="Y146" s="550">
        <v>2026</v>
      </c>
      <c r="Z146" s="550">
        <v>2027</v>
      </c>
      <c r="AA146" s="550">
        <v>2028</v>
      </c>
      <c r="AB146" s="550">
        <v>2029</v>
      </c>
      <c r="AC146" s="550">
        <v>2030</v>
      </c>
      <c r="AD146" s="550">
        <v>2031</v>
      </c>
    </row>
    <row r="147" spans="2:30" s="550" customFormat="1" x14ac:dyDescent="0.2">
      <c r="B147" s="550" t="s">
        <v>374</v>
      </c>
      <c r="C147" s="550" t="s">
        <v>375</v>
      </c>
      <c r="D147" s="550">
        <v>6354.72</v>
      </c>
      <c r="E147" s="550">
        <v>8623.7719662377203</v>
      </c>
      <c r="F147" s="550">
        <v>8587.8671826528644</v>
      </c>
      <c r="G147" s="550">
        <v>11679.702558071775</v>
      </c>
      <c r="H147" s="550">
        <v>14977.791663858638</v>
      </c>
      <c r="I147" s="550">
        <v>42367.489901677494</v>
      </c>
      <c r="J147" s="550">
        <v>41347.782042320505</v>
      </c>
      <c r="K147" s="550">
        <v>42479.246037531018</v>
      </c>
      <c r="L147" s="550">
        <v>9419.6510665402802</v>
      </c>
      <c r="M147" s="550">
        <v>7300.4424721542118</v>
      </c>
      <c r="N147" s="550">
        <v>6798.6054709685595</v>
      </c>
      <c r="O147" s="550">
        <v>5256.2018235241276</v>
      </c>
      <c r="P147" s="550">
        <v>4158.1793294006602</v>
      </c>
      <c r="Q147" s="550">
        <v>4264.916417035598</v>
      </c>
      <c r="R147" s="550">
        <v>4370.5861337941897</v>
      </c>
      <c r="S147" s="550">
        <v>4475.1991533851951</v>
      </c>
      <c r="T147" s="550">
        <v>4578.7660427802884</v>
      </c>
      <c r="U147" s="550">
        <v>4681.2972632814326</v>
      </c>
      <c r="V147" s="550">
        <v>4782.8031715775624</v>
      </c>
      <c r="W147" s="550">
        <v>4883.2940207907341</v>
      </c>
      <c r="X147" s="550">
        <v>4982.7799615117729</v>
      </c>
      <c r="Y147" s="550">
        <v>5081.2710428256005</v>
      </c>
      <c r="Z147" s="550">
        <v>5178.7772133262888</v>
      </c>
      <c r="AA147" s="550">
        <v>5275.3083221219749</v>
      </c>
      <c r="AB147" s="550">
        <v>5370.8741198296993</v>
      </c>
      <c r="AC147" s="550">
        <v>5465.4842595603486</v>
      </c>
      <c r="AD147" s="550">
        <v>5559.1482978936892</v>
      </c>
    </row>
    <row r="148" spans="2:30" s="550" customFormat="1" x14ac:dyDescent="0.2">
      <c r="C148" s="550" t="s">
        <v>376</v>
      </c>
      <c r="D148" s="550">
        <v>27330.28</v>
      </c>
      <c r="E148" s="550">
        <v>27599.095982657629</v>
      </c>
      <c r="F148" s="550">
        <v>15082.412809127589</v>
      </c>
      <c r="G148" s="550">
        <v>15892.75122575899</v>
      </c>
      <c r="H148" s="550">
        <v>11690.383820154919</v>
      </c>
      <c r="I148" s="550">
        <v>14502.607236278016</v>
      </c>
      <c r="J148" s="550">
        <v>14475.026004276495</v>
      </c>
      <c r="K148" s="550">
        <v>11451.250026048172</v>
      </c>
      <c r="L148" s="550">
        <v>11451.250026048172</v>
      </c>
      <c r="M148" s="550">
        <v>11451.250026048172</v>
      </c>
      <c r="N148" s="550">
        <v>11451.250026048172</v>
      </c>
      <c r="O148" s="550">
        <v>11451.250026048172</v>
      </c>
      <c r="P148" s="550">
        <v>11451.250026048172</v>
      </c>
      <c r="Q148" s="550">
        <v>11451.250026048172</v>
      </c>
      <c r="R148" s="550">
        <v>11451.250026048172</v>
      </c>
      <c r="S148" s="550">
        <v>11451.250026048172</v>
      </c>
      <c r="T148" s="550">
        <v>11451.250026048172</v>
      </c>
      <c r="U148" s="550">
        <v>11451.250026048172</v>
      </c>
      <c r="V148" s="550">
        <v>11451.250026048172</v>
      </c>
      <c r="W148" s="550">
        <v>11451.250026048172</v>
      </c>
      <c r="X148" s="550">
        <v>11451.250026048172</v>
      </c>
      <c r="Y148" s="550">
        <v>11451.250026048172</v>
      </c>
      <c r="Z148" s="550">
        <v>11451.250026048172</v>
      </c>
      <c r="AA148" s="550">
        <v>11451.250026048172</v>
      </c>
      <c r="AB148" s="550">
        <v>11451.250026048172</v>
      </c>
      <c r="AC148" s="550">
        <v>11451.250026048174</v>
      </c>
      <c r="AD148" s="550">
        <v>11451.250026048172</v>
      </c>
    </row>
    <row r="149" spans="2:30" s="550" customFormat="1" x14ac:dyDescent="0.2">
      <c r="C149" s="550" t="s">
        <v>254</v>
      </c>
      <c r="D149" s="550">
        <v>33685</v>
      </c>
      <c r="E149" s="550">
        <v>36222.867948895349</v>
      </c>
      <c r="F149" s="550">
        <v>23670.279991780451</v>
      </c>
      <c r="G149" s="550">
        <v>27572.453783830766</v>
      </c>
      <c r="H149" s="550">
        <v>26668.175484013555</v>
      </c>
      <c r="I149" s="550">
        <v>56870.097137955512</v>
      </c>
      <c r="J149" s="550">
        <v>55822.808046596998</v>
      </c>
      <c r="K149" s="550">
        <v>53930.496063579194</v>
      </c>
      <c r="L149" s="550">
        <v>20870.90109258845</v>
      </c>
      <c r="M149" s="550">
        <v>18751.692498202385</v>
      </c>
      <c r="N149" s="550">
        <v>18249.855497016732</v>
      </c>
      <c r="O149" s="550">
        <v>16707.451849572299</v>
      </c>
      <c r="P149" s="550">
        <v>15609.429355448832</v>
      </c>
      <c r="Q149" s="550">
        <v>15716.16644308377</v>
      </c>
      <c r="R149" s="550">
        <v>15821.836159842362</v>
      </c>
      <c r="S149" s="550">
        <v>15926.449179433366</v>
      </c>
      <c r="T149" s="550">
        <v>16030.01606882846</v>
      </c>
      <c r="U149" s="550">
        <v>16132.547289329605</v>
      </c>
      <c r="V149" s="550">
        <v>16234.053197625733</v>
      </c>
      <c r="W149" s="550">
        <v>16334.544046838906</v>
      </c>
      <c r="X149" s="550">
        <v>16434.029987559945</v>
      </c>
      <c r="Y149" s="550">
        <v>16532.521068873772</v>
      </c>
      <c r="Z149" s="550">
        <v>16630.02723937446</v>
      </c>
      <c r="AA149" s="550">
        <v>16726.558348170147</v>
      </c>
      <c r="AB149" s="550">
        <v>16822.124145877871</v>
      </c>
      <c r="AC149" s="550">
        <v>16916.734285608523</v>
      </c>
      <c r="AD149" s="550">
        <v>17010.398323941859</v>
      </c>
    </row>
    <row r="152" spans="2:30" x14ac:dyDescent="0.2">
      <c r="D152">
        <f>D147*0.001</f>
        <v>6.3547200000000004</v>
      </c>
      <c r="E152" s="550">
        <f t="shared" ref="E152:AC154" si="4">E147*0.001</f>
        <v>8.6237719662377206</v>
      </c>
      <c r="F152" s="550">
        <f t="shared" si="4"/>
        <v>8.5878671826528645</v>
      </c>
      <c r="G152" s="550">
        <f t="shared" si="4"/>
        <v>11.679702558071774</v>
      </c>
      <c r="H152" s="550">
        <f t="shared" si="4"/>
        <v>14.977791663858637</v>
      </c>
      <c r="I152" s="550">
        <f t="shared" si="4"/>
        <v>42.367489901677494</v>
      </c>
      <c r="J152" s="550">
        <f t="shared" si="4"/>
        <v>41.347782042320503</v>
      </c>
      <c r="K152" s="550">
        <f t="shared" si="4"/>
        <v>42.47924603753102</v>
      </c>
      <c r="L152" s="550">
        <f t="shared" si="4"/>
        <v>9.4196510665402808</v>
      </c>
      <c r="M152" s="550">
        <f t="shared" si="4"/>
        <v>7.300442472154212</v>
      </c>
      <c r="N152" s="550">
        <f t="shared" si="4"/>
        <v>6.7986054709685595</v>
      </c>
      <c r="O152" s="550">
        <f t="shared" si="4"/>
        <v>5.2562018235241279</v>
      </c>
      <c r="P152" s="550">
        <f t="shared" si="4"/>
        <v>4.1581793294006602</v>
      </c>
      <c r="Q152" s="550">
        <f t="shared" si="4"/>
        <v>4.2649164170355984</v>
      </c>
      <c r="R152" s="550">
        <f t="shared" si="4"/>
        <v>4.3705861337941894</v>
      </c>
      <c r="S152" s="550">
        <f t="shared" si="4"/>
        <v>4.4751991533851951</v>
      </c>
      <c r="T152" s="550">
        <f t="shared" si="4"/>
        <v>4.5787660427802885</v>
      </c>
      <c r="U152" s="550">
        <f t="shared" si="4"/>
        <v>4.6812972632814329</v>
      </c>
      <c r="V152" s="550">
        <f t="shared" si="4"/>
        <v>4.7828031715775623</v>
      </c>
      <c r="W152" s="550">
        <f t="shared" si="4"/>
        <v>4.8832940207907338</v>
      </c>
      <c r="X152" s="550">
        <f t="shared" si="4"/>
        <v>4.9827799615117732</v>
      </c>
      <c r="Y152" s="550">
        <f t="shared" si="4"/>
        <v>5.0812710428256009</v>
      </c>
      <c r="Z152" s="550">
        <f t="shared" si="4"/>
        <v>5.1787772133262893</v>
      </c>
      <c r="AA152" s="550">
        <f t="shared" si="4"/>
        <v>5.2753083221219752</v>
      </c>
      <c r="AB152" s="550">
        <f t="shared" si="4"/>
        <v>5.3708741198296996</v>
      </c>
      <c r="AC152" s="550">
        <f t="shared" si="4"/>
        <v>5.4654842595603483</v>
      </c>
    </row>
    <row r="153" spans="2:30" x14ac:dyDescent="0.2">
      <c r="D153" s="550">
        <f t="shared" ref="D153:S154" si="5">D148*0.001</f>
        <v>27.330279999999998</v>
      </c>
      <c r="E153" s="550">
        <f t="shared" si="5"/>
        <v>27.59909598265763</v>
      </c>
      <c r="F153" s="550">
        <f t="shared" si="5"/>
        <v>15.08241280912759</v>
      </c>
      <c r="G153" s="550">
        <f t="shared" si="5"/>
        <v>15.892751225758991</v>
      </c>
      <c r="H153" s="550">
        <f t="shared" si="5"/>
        <v>11.690383820154919</v>
      </c>
      <c r="I153" s="550">
        <f t="shared" si="5"/>
        <v>14.502607236278017</v>
      </c>
      <c r="J153" s="550">
        <f t="shared" si="5"/>
        <v>14.475026004276495</v>
      </c>
      <c r="K153" s="550">
        <f t="shared" si="5"/>
        <v>11.451250026048172</v>
      </c>
      <c r="L153" s="550">
        <f t="shared" si="5"/>
        <v>11.451250026048172</v>
      </c>
      <c r="M153" s="550">
        <f t="shared" si="5"/>
        <v>11.451250026048172</v>
      </c>
      <c r="N153" s="550">
        <f t="shared" si="5"/>
        <v>11.451250026048172</v>
      </c>
      <c r="O153" s="550">
        <f t="shared" si="5"/>
        <v>11.451250026048172</v>
      </c>
      <c r="P153" s="550">
        <f t="shared" si="5"/>
        <v>11.451250026048172</v>
      </c>
      <c r="Q153" s="550">
        <f t="shared" si="5"/>
        <v>11.451250026048172</v>
      </c>
      <c r="R153" s="550">
        <f t="shared" si="5"/>
        <v>11.451250026048172</v>
      </c>
      <c r="S153" s="550">
        <f t="shared" si="5"/>
        <v>11.451250026048172</v>
      </c>
      <c r="T153" s="550">
        <f t="shared" si="4"/>
        <v>11.451250026048172</v>
      </c>
      <c r="U153" s="550">
        <f t="shared" si="4"/>
        <v>11.451250026048172</v>
      </c>
      <c r="V153" s="550">
        <f t="shared" si="4"/>
        <v>11.451250026048172</v>
      </c>
      <c r="W153" s="550">
        <f t="shared" si="4"/>
        <v>11.451250026048172</v>
      </c>
      <c r="X153" s="550">
        <f t="shared" si="4"/>
        <v>11.451250026048172</v>
      </c>
      <c r="Y153" s="550">
        <f t="shared" si="4"/>
        <v>11.451250026048172</v>
      </c>
      <c r="Z153" s="550">
        <f t="shared" si="4"/>
        <v>11.451250026048172</v>
      </c>
      <c r="AA153" s="550">
        <f t="shared" si="4"/>
        <v>11.451250026048172</v>
      </c>
      <c r="AB153" s="550">
        <f t="shared" si="4"/>
        <v>11.451250026048172</v>
      </c>
      <c r="AC153" s="550">
        <f t="shared" si="4"/>
        <v>11.451250026048173</v>
      </c>
    </row>
    <row r="154" spans="2:30" x14ac:dyDescent="0.2">
      <c r="D154" s="550">
        <f t="shared" si="5"/>
        <v>33.685000000000002</v>
      </c>
      <c r="E154" s="550">
        <f t="shared" si="4"/>
        <v>36.222867948895349</v>
      </c>
      <c r="F154" s="550">
        <f t="shared" si="4"/>
        <v>23.670279991780451</v>
      </c>
      <c r="G154" s="550">
        <f t="shared" si="4"/>
        <v>27.572453783830767</v>
      </c>
      <c r="H154" s="550">
        <f t="shared" si="4"/>
        <v>26.668175484013556</v>
      </c>
      <c r="I154" s="550">
        <f t="shared" si="4"/>
        <v>56.870097137955511</v>
      </c>
      <c r="J154" s="550">
        <f t="shared" si="4"/>
        <v>55.822808046596997</v>
      </c>
      <c r="K154" s="550">
        <f t="shared" si="4"/>
        <v>53.930496063579199</v>
      </c>
      <c r="L154" s="550">
        <f t="shared" si="4"/>
        <v>20.870901092588451</v>
      </c>
      <c r="M154" s="550">
        <f t="shared" si="4"/>
        <v>18.751692498202384</v>
      </c>
      <c r="N154" s="550">
        <f t="shared" si="4"/>
        <v>18.249855497016732</v>
      </c>
      <c r="O154" s="550">
        <f t="shared" si="4"/>
        <v>16.707451849572298</v>
      </c>
      <c r="P154" s="550">
        <f t="shared" si="4"/>
        <v>15.609429355448832</v>
      </c>
      <c r="Q154" s="550">
        <f t="shared" si="4"/>
        <v>15.71616644308377</v>
      </c>
      <c r="R154" s="550">
        <f t="shared" si="4"/>
        <v>15.821836159842363</v>
      </c>
      <c r="S154" s="550">
        <f t="shared" si="4"/>
        <v>15.926449179433366</v>
      </c>
      <c r="T154" s="550">
        <f t="shared" si="4"/>
        <v>16.030016068828459</v>
      </c>
      <c r="U154" s="550">
        <f t="shared" si="4"/>
        <v>16.132547289329604</v>
      </c>
      <c r="V154" s="550">
        <f t="shared" si="4"/>
        <v>16.234053197625734</v>
      </c>
      <c r="W154" s="550">
        <f t="shared" si="4"/>
        <v>16.334544046838907</v>
      </c>
      <c r="X154" s="550">
        <f t="shared" si="4"/>
        <v>16.434029987559946</v>
      </c>
      <c r="Y154" s="550">
        <f t="shared" si="4"/>
        <v>16.532521068873773</v>
      </c>
      <c r="Z154" s="550">
        <f t="shared" si="4"/>
        <v>16.63002723937446</v>
      </c>
      <c r="AA154" s="550">
        <f t="shared" si="4"/>
        <v>16.726558348170148</v>
      </c>
      <c r="AB154" s="550">
        <f t="shared" si="4"/>
        <v>16.822124145877872</v>
      </c>
      <c r="AC154" s="550">
        <f t="shared" si="4"/>
        <v>16.916734285608523</v>
      </c>
    </row>
    <row r="213" spans="2:30" x14ac:dyDescent="0.2">
      <c r="B213" s="669" t="s">
        <v>401</v>
      </c>
    </row>
    <row r="218" spans="2:30" x14ac:dyDescent="0.2">
      <c r="D218">
        <v>2005</v>
      </c>
      <c r="E218">
        <v>2006</v>
      </c>
      <c r="F218">
        <v>2007</v>
      </c>
      <c r="G218">
        <v>2008</v>
      </c>
      <c r="H218">
        <v>2009</v>
      </c>
      <c r="I218">
        <v>2010</v>
      </c>
      <c r="J218">
        <v>2011</v>
      </c>
      <c r="K218">
        <v>2012</v>
      </c>
      <c r="L218">
        <v>2013</v>
      </c>
      <c r="M218">
        <v>2014</v>
      </c>
      <c r="N218">
        <v>2015</v>
      </c>
      <c r="O218">
        <v>2016</v>
      </c>
      <c r="P218">
        <v>2017</v>
      </c>
      <c r="Q218">
        <v>2018</v>
      </c>
      <c r="R218">
        <v>2019</v>
      </c>
      <c r="S218">
        <v>2020</v>
      </c>
      <c r="T218">
        <v>2021</v>
      </c>
      <c r="U218">
        <v>2022</v>
      </c>
      <c r="V218">
        <v>2023</v>
      </c>
      <c r="W218">
        <v>2024</v>
      </c>
      <c r="X218">
        <v>2025</v>
      </c>
      <c r="Y218">
        <v>2026</v>
      </c>
      <c r="Z218">
        <v>2027</v>
      </c>
      <c r="AA218">
        <v>2028</v>
      </c>
      <c r="AB218">
        <v>2029</v>
      </c>
      <c r="AC218">
        <v>2030</v>
      </c>
      <c r="AD218">
        <v>2031</v>
      </c>
    </row>
    <row r="219" spans="2:30" x14ac:dyDescent="0.2">
      <c r="B219" t="s">
        <v>374</v>
      </c>
      <c r="C219" t="s">
        <v>375</v>
      </c>
      <c r="D219">
        <v>6354.72</v>
      </c>
      <c r="E219">
        <v>8623.7719662377203</v>
      </c>
      <c r="F219">
        <v>8587.8671826528644</v>
      </c>
      <c r="G219">
        <v>11679.702558071775</v>
      </c>
      <c r="H219">
        <v>14977.791663858638</v>
      </c>
      <c r="I219">
        <v>21040.823235010826</v>
      </c>
      <c r="J219">
        <v>20021.115375653833</v>
      </c>
      <c r="K219">
        <v>21152.57937086435</v>
      </c>
      <c r="L219">
        <v>18559.651066540282</v>
      </c>
      <c r="M219">
        <v>16440.442472154213</v>
      </c>
      <c r="N219">
        <v>15938.60547096856</v>
      </c>
      <c r="O219">
        <v>14396.201823524127</v>
      </c>
      <c r="P219">
        <v>13298.17932940066</v>
      </c>
      <c r="Q219">
        <v>13404.916417035598</v>
      </c>
      <c r="R219">
        <v>13510.58613379419</v>
      </c>
      <c r="S219">
        <v>4475.1991533851951</v>
      </c>
      <c r="T219">
        <v>4578.7660427802884</v>
      </c>
      <c r="U219">
        <v>4681.2972632814326</v>
      </c>
      <c r="V219">
        <v>4782.8031715775624</v>
      </c>
      <c r="W219">
        <v>4883.2940207907341</v>
      </c>
      <c r="X219">
        <v>4982.7799615117729</v>
      </c>
      <c r="Y219">
        <v>5081.2710428256005</v>
      </c>
      <c r="Z219">
        <v>5178.7772133262888</v>
      </c>
      <c r="AA219">
        <v>5275.3083221219749</v>
      </c>
      <c r="AB219">
        <v>5370.8741198296993</v>
      </c>
      <c r="AC219">
        <v>5465.4842595603486</v>
      </c>
      <c r="AD219">
        <v>5559.1482978936892</v>
      </c>
    </row>
    <row r="220" spans="2:30" x14ac:dyDescent="0.2">
      <c r="C220" t="s">
        <v>376</v>
      </c>
      <c r="D220">
        <v>27330.28</v>
      </c>
      <c r="E220">
        <v>27599.095982657629</v>
      </c>
      <c r="F220">
        <v>15082.412809127589</v>
      </c>
      <c r="G220">
        <v>15892.75122575899</v>
      </c>
      <c r="H220">
        <v>11690.383820154919</v>
      </c>
      <c r="I220">
        <v>14502.607236278016</v>
      </c>
      <c r="J220">
        <v>14475.026004276495</v>
      </c>
      <c r="K220">
        <v>11451.250026048172</v>
      </c>
      <c r="L220">
        <v>14367.471097655342</v>
      </c>
      <c r="M220">
        <v>12903.024151204987</v>
      </c>
      <c r="N220">
        <v>12149.069606615389</v>
      </c>
      <c r="O220">
        <v>11753.126104735184</v>
      </c>
      <c r="P220">
        <v>11207.394201668603</v>
      </c>
      <c r="Q220">
        <v>11095.320259651917</v>
      </c>
      <c r="R220">
        <v>10984.367057055397</v>
      </c>
      <c r="S220">
        <v>10984.367057055397</v>
      </c>
      <c r="T220">
        <v>10984.367057055397</v>
      </c>
      <c r="U220">
        <v>10984.367057055397</v>
      </c>
      <c r="V220">
        <v>10984.367057055397</v>
      </c>
      <c r="W220">
        <v>10984.367057055397</v>
      </c>
      <c r="X220">
        <v>10984.367057055397</v>
      </c>
      <c r="Y220">
        <v>10984.367057055397</v>
      </c>
      <c r="Z220">
        <v>10984.367057055397</v>
      </c>
      <c r="AA220">
        <v>10984.367057055397</v>
      </c>
      <c r="AB220">
        <v>10984.367057055397</v>
      </c>
      <c r="AC220">
        <v>10984.367057055397</v>
      </c>
      <c r="AD220">
        <v>10984.367057055397</v>
      </c>
    </row>
    <row r="221" spans="2:30" x14ac:dyDescent="0.2">
      <c r="C221" t="s">
        <v>254</v>
      </c>
      <c r="D221">
        <v>33685</v>
      </c>
      <c r="E221">
        <v>36222.867948895349</v>
      </c>
      <c r="F221">
        <v>23670.279991780451</v>
      </c>
      <c r="G221">
        <v>27572.453783830766</v>
      </c>
      <c r="H221">
        <v>26668.175484013555</v>
      </c>
      <c r="I221">
        <v>35543.430471288841</v>
      </c>
      <c r="J221">
        <v>34496.141379930326</v>
      </c>
      <c r="K221">
        <v>32603.829396912522</v>
      </c>
      <c r="L221">
        <v>32927.122164195622</v>
      </c>
      <c r="M221">
        <v>29343.4666233592</v>
      </c>
      <c r="N221">
        <v>28087.675077583946</v>
      </c>
      <c r="O221">
        <v>26149.32792825931</v>
      </c>
      <c r="P221">
        <v>24505.573531069262</v>
      </c>
      <c r="Q221">
        <v>24500.236676687513</v>
      </c>
      <c r="R221">
        <v>24494.953190849585</v>
      </c>
      <c r="S221">
        <v>15459.566210440593</v>
      </c>
      <c r="T221">
        <v>15563.133099835686</v>
      </c>
      <c r="U221">
        <v>15665.664320336829</v>
      </c>
      <c r="V221">
        <v>15767.17022863296</v>
      </c>
      <c r="W221">
        <v>15867.661077846131</v>
      </c>
      <c r="X221">
        <v>15967.14701856717</v>
      </c>
      <c r="Y221">
        <v>16065.638099880998</v>
      </c>
      <c r="Z221">
        <v>16163.144270381687</v>
      </c>
      <c r="AA221">
        <v>16259.675379177372</v>
      </c>
      <c r="AB221">
        <v>16355.241176885096</v>
      </c>
      <c r="AC221">
        <v>16449.851316615746</v>
      </c>
      <c r="AD221">
        <v>16543.515354949086</v>
      </c>
    </row>
    <row r="224" spans="2:30" x14ac:dyDescent="0.2">
      <c r="D224">
        <f>D219*0.001</f>
        <v>6.3547200000000004</v>
      </c>
      <c r="E224" s="550">
        <f t="shared" ref="E224:AC226" si="6">E219*0.001</f>
        <v>8.6237719662377206</v>
      </c>
      <c r="F224" s="550">
        <f t="shared" si="6"/>
        <v>8.5878671826528645</v>
      </c>
      <c r="G224" s="550">
        <f t="shared" si="6"/>
        <v>11.679702558071774</v>
      </c>
      <c r="H224" s="550">
        <f t="shared" si="6"/>
        <v>14.977791663858637</v>
      </c>
      <c r="I224" s="550">
        <f t="shared" si="6"/>
        <v>21.040823235010826</v>
      </c>
      <c r="J224" s="550">
        <f t="shared" si="6"/>
        <v>20.021115375653835</v>
      </c>
      <c r="K224" s="550">
        <f t="shared" si="6"/>
        <v>21.152579370864352</v>
      </c>
      <c r="L224" s="550">
        <f t="shared" si="6"/>
        <v>18.559651066540283</v>
      </c>
      <c r="M224" s="550">
        <f t="shared" si="6"/>
        <v>16.440442472154214</v>
      </c>
      <c r="N224" s="550">
        <f t="shared" si="6"/>
        <v>15.938605470968559</v>
      </c>
      <c r="O224" s="550">
        <f t="shared" si="6"/>
        <v>14.396201823524127</v>
      </c>
      <c r="P224" s="550">
        <f t="shared" si="6"/>
        <v>13.298179329400661</v>
      </c>
      <c r="Q224" s="550">
        <f t="shared" si="6"/>
        <v>13.404916417035599</v>
      </c>
      <c r="R224" s="550">
        <f t="shared" si="6"/>
        <v>13.51058613379419</v>
      </c>
      <c r="S224" s="550">
        <f t="shared" si="6"/>
        <v>4.4751991533851951</v>
      </c>
      <c r="T224" s="550">
        <f t="shared" si="6"/>
        <v>4.5787660427802885</v>
      </c>
      <c r="U224" s="550">
        <f t="shared" si="6"/>
        <v>4.6812972632814329</v>
      </c>
      <c r="V224" s="550">
        <f t="shared" si="6"/>
        <v>4.7828031715775623</v>
      </c>
      <c r="W224" s="550">
        <f t="shared" si="6"/>
        <v>4.8832940207907338</v>
      </c>
      <c r="X224" s="550">
        <f t="shared" si="6"/>
        <v>4.9827799615117732</v>
      </c>
      <c r="Y224" s="550">
        <f t="shared" si="6"/>
        <v>5.0812710428256009</v>
      </c>
      <c r="Z224" s="550">
        <f t="shared" si="6"/>
        <v>5.1787772133262893</v>
      </c>
      <c r="AA224" s="550">
        <f t="shared" si="6"/>
        <v>5.2753083221219752</v>
      </c>
      <c r="AB224" s="550">
        <f t="shared" si="6"/>
        <v>5.3708741198296996</v>
      </c>
      <c r="AC224" s="550">
        <f t="shared" si="6"/>
        <v>5.4654842595603483</v>
      </c>
    </row>
    <row r="225" spans="4:29" x14ac:dyDescent="0.2">
      <c r="D225" s="550">
        <f t="shared" ref="D225:S226" si="7">D220*0.001</f>
        <v>27.330279999999998</v>
      </c>
      <c r="E225" s="550">
        <f t="shared" si="7"/>
        <v>27.59909598265763</v>
      </c>
      <c r="F225" s="550">
        <f t="shared" si="7"/>
        <v>15.08241280912759</v>
      </c>
      <c r="G225" s="550">
        <f t="shared" si="7"/>
        <v>15.892751225758991</v>
      </c>
      <c r="H225" s="550">
        <f t="shared" si="7"/>
        <v>11.690383820154919</v>
      </c>
      <c r="I225" s="550">
        <f t="shared" si="7"/>
        <v>14.502607236278017</v>
      </c>
      <c r="J225" s="550">
        <f t="shared" si="7"/>
        <v>14.475026004276495</v>
      </c>
      <c r="K225" s="550">
        <f t="shared" si="7"/>
        <v>11.451250026048172</v>
      </c>
      <c r="L225" s="550">
        <f t="shared" si="7"/>
        <v>14.367471097655342</v>
      </c>
      <c r="M225" s="550">
        <f t="shared" si="7"/>
        <v>12.903024151204987</v>
      </c>
      <c r="N225" s="550">
        <f t="shared" si="7"/>
        <v>12.14906960661539</v>
      </c>
      <c r="O225" s="550">
        <f t="shared" si="7"/>
        <v>11.753126104735184</v>
      </c>
      <c r="P225" s="550">
        <f t="shared" si="7"/>
        <v>11.207394201668604</v>
      </c>
      <c r="Q225" s="550">
        <f t="shared" si="7"/>
        <v>11.095320259651917</v>
      </c>
      <c r="R225" s="550">
        <f t="shared" si="7"/>
        <v>10.984367057055398</v>
      </c>
      <c r="S225" s="550">
        <f t="shared" si="7"/>
        <v>10.984367057055398</v>
      </c>
      <c r="T225" s="550">
        <f t="shared" si="6"/>
        <v>10.984367057055398</v>
      </c>
      <c r="U225" s="550">
        <f t="shared" si="6"/>
        <v>10.984367057055398</v>
      </c>
      <c r="V225" s="550">
        <f t="shared" si="6"/>
        <v>10.984367057055398</v>
      </c>
      <c r="W225" s="550">
        <f t="shared" si="6"/>
        <v>10.984367057055398</v>
      </c>
      <c r="X225" s="550">
        <f t="shared" si="6"/>
        <v>10.984367057055398</v>
      </c>
      <c r="Y225" s="550">
        <f t="shared" si="6"/>
        <v>10.984367057055398</v>
      </c>
      <c r="Z225" s="550">
        <f t="shared" si="6"/>
        <v>10.984367057055398</v>
      </c>
      <c r="AA225" s="550">
        <f t="shared" si="6"/>
        <v>10.984367057055398</v>
      </c>
      <c r="AB225" s="550">
        <f t="shared" si="6"/>
        <v>10.984367057055398</v>
      </c>
      <c r="AC225" s="550">
        <f t="shared" si="6"/>
        <v>10.984367057055398</v>
      </c>
    </row>
    <row r="226" spans="4:29" x14ac:dyDescent="0.2">
      <c r="D226" s="550">
        <f t="shared" si="7"/>
        <v>33.685000000000002</v>
      </c>
      <c r="E226" s="550">
        <f t="shared" si="6"/>
        <v>36.222867948895349</v>
      </c>
      <c r="F226" s="550">
        <f t="shared" si="6"/>
        <v>23.670279991780451</v>
      </c>
      <c r="G226" s="550">
        <f t="shared" si="6"/>
        <v>27.572453783830767</v>
      </c>
      <c r="H226" s="550">
        <f t="shared" si="6"/>
        <v>26.668175484013556</v>
      </c>
      <c r="I226" s="550">
        <f t="shared" si="6"/>
        <v>35.543430471288843</v>
      </c>
      <c r="J226" s="550">
        <f t="shared" si="6"/>
        <v>34.496141379930329</v>
      </c>
      <c r="K226" s="550">
        <f t="shared" si="6"/>
        <v>32.603829396912523</v>
      </c>
      <c r="L226" s="550">
        <f t="shared" si="6"/>
        <v>32.927122164195623</v>
      </c>
      <c r="M226" s="550">
        <f t="shared" si="6"/>
        <v>29.343466623359202</v>
      </c>
      <c r="N226" s="550">
        <f t="shared" si="6"/>
        <v>28.087675077583945</v>
      </c>
      <c r="O226" s="550">
        <f t="shared" si="6"/>
        <v>26.149327928259311</v>
      </c>
      <c r="P226" s="550">
        <f t="shared" si="6"/>
        <v>24.505573531069263</v>
      </c>
      <c r="Q226" s="550">
        <f t="shared" si="6"/>
        <v>24.500236676687514</v>
      </c>
      <c r="R226" s="550">
        <f t="shared" si="6"/>
        <v>24.494953190849586</v>
      </c>
      <c r="S226" s="550">
        <f t="shared" si="6"/>
        <v>15.459566210440594</v>
      </c>
      <c r="T226" s="550">
        <f t="shared" si="6"/>
        <v>15.563133099835687</v>
      </c>
      <c r="U226" s="550">
        <f t="shared" si="6"/>
        <v>15.66566432033683</v>
      </c>
      <c r="V226" s="550">
        <f t="shared" si="6"/>
        <v>15.76717022863296</v>
      </c>
      <c r="W226" s="550">
        <f t="shared" si="6"/>
        <v>15.867661077846131</v>
      </c>
      <c r="X226" s="550">
        <f t="shared" si="6"/>
        <v>15.96714701856717</v>
      </c>
      <c r="Y226" s="550">
        <f t="shared" si="6"/>
        <v>16.065638099880999</v>
      </c>
      <c r="Z226" s="550">
        <f t="shared" si="6"/>
        <v>16.163144270381686</v>
      </c>
      <c r="AA226" s="550">
        <f t="shared" si="6"/>
        <v>16.259675379177374</v>
      </c>
      <c r="AB226" s="550">
        <f t="shared" si="6"/>
        <v>16.355241176885098</v>
      </c>
      <c r="AC226" s="550">
        <f t="shared" si="6"/>
        <v>16.449851316615746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/>
  <dimension ref="A1:AK356"/>
  <sheetViews>
    <sheetView zoomScale="110" zoomScaleNormal="110" workbookViewId="0">
      <pane xSplit="3" ySplit="3" topLeftCell="AB13" activePane="bottomRight" state="frozen"/>
      <selection pane="topRight" activeCell="D1" sqref="D1"/>
      <selection pane="bottomLeft" activeCell="A4" sqref="A4"/>
      <selection pane="bottomRight" activeCell="AF22" sqref="AF22"/>
    </sheetView>
  </sheetViews>
  <sheetFormatPr defaultRowHeight="12.75" x14ac:dyDescent="0.2"/>
  <cols>
    <col min="1" max="1" width="24.5703125" customWidth="1"/>
    <col min="3" max="3" width="48.28515625" customWidth="1"/>
    <col min="4" max="4" width="22.140625" customWidth="1"/>
    <col min="5" max="5" width="12.85546875" bestFit="1" customWidth="1"/>
    <col min="6" max="6" width="17" customWidth="1"/>
    <col min="7" max="9" width="14" bestFit="1" customWidth="1"/>
    <col min="10" max="10" width="16.85546875" customWidth="1"/>
    <col min="11" max="12" width="14" bestFit="1" customWidth="1"/>
    <col min="13" max="13" width="14" style="112" bestFit="1" customWidth="1"/>
    <col min="14" max="14" width="13.5703125" customWidth="1"/>
    <col min="15" max="15" width="14" bestFit="1" customWidth="1"/>
    <col min="16" max="16" width="16.5703125" style="278" customWidth="1"/>
    <col min="17" max="17" width="13.42578125" customWidth="1"/>
    <col min="18" max="18" width="17.85546875" customWidth="1"/>
    <col min="19" max="19" width="23.42578125" customWidth="1"/>
    <col min="20" max="20" width="13.42578125" customWidth="1"/>
    <col min="21" max="24" width="13.85546875" bestFit="1" customWidth="1"/>
    <col min="25" max="25" width="21.42578125" customWidth="1"/>
    <col min="26" max="26" width="18.5703125" customWidth="1"/>
    <col min="27" max="27" width="19.7109375" customWidth="1"/>
    <col min="28" max="28" width="18.7109375" customWidth="1"/>
    <col min="29" max="29" width="19.140625" customWidth="1"/>
    <col min="30" max="30" width="15.5703125" bestFit="1" customWidth="1"/>
    <col min="31" max="34" width="12.7109375" bestFit="1" customWidth="1"/>
    <col min="35" max="35" width="15.5703125" bestFit="1" customWidth="1"/>
    <col min="36" max="36" width="26.42578125" customWidth="1"/>
  </cols>
  <sheetData>
    <row r="1" spans="1:32" x14ac:dyDescent="0.2">
      <c r="Q1">
        <f>Q4/P4</f>
        <v>1.1435</v>
      </c>
      <c r="R1" s="550">
        <f t="shared" ref="R1:AD1" si="0">R4/Q4</f>
        <v>1.117</v>
      </c>
      <c r="S1" s="550">
        <f t="shared" si="0"/>
        <v>1.097</v>
      </c>
      <c r="T1" s="550">
        <f t="shared" si="0"/>
        <v>1.0805</v>
      </c>
      <c r="U1" s="550">
        <f t="shared" si="0"/>
        <v>1.0740000000000001</v>
      </c>
      <c r="V1" s="550">
        <f t="shared" si="0"/>
        <v>1.0865</v>
      </c>
      <c r="W1" s="550">
        <f t="shared" si="0"/>
        <v>1.0965</v>
      </c>
      <c r="X1" s="550">
        <f t="shared" si="0"/>
        <v>1.0934999999999999</v>
      </c>
      <c r="Y1" s="550">
        <f t="shared" si="0"/>
        <v>1.0925799999999999</v>
      </c>
      <c r="Z1" s="550">
        <f t="shared" si="0"/>
        <v>1.0734999999999999</v>
      </c>
      <c r="AA1" s="550">
        <f t="shared" si="0"/>
        <v>1.0634999999999999</v>
      </c>
      <c r="AB1" s="550">
        <f t="shared" si="0"/>
        <v>1.0634999999999999</v>
      </c>
      <c r="AC1" s="550">
        <f t="shared" si="0"/>
        <v>1.0634999999999999</v>
      </c>
      <c r="AD1" s="550">
        <f t="shared" si="0"/>
        <v>1.0634999999999999</v>
      </c>
      <c r="AF1" t="s">
        <v>383</v>
      </c>
    </row>
    <row r="2" spans="1:32" x14ac:dyDescent="0.2">
      <c r="A2" t="s">
        <v>82</v>
      </c>
      <c r="E2">
        <v>1</v>
      </c>
      <c r="F2">
        <v>2</v>
      </c>
      <c r="G2" s="550">
        <v>3</v>
      </c>
      <c r="H2" s="550">
        <v>4</v>
      </c>
      <c r="I2" s="550">
        <v>5</v>
      </c>
      <c r="J2" s="550">
        <v>6</v>
      </c>
      <c r="K2" s="550">
        <v>7</v>
      </c>
      <c r="L2" s="550">
        <v>8</v>
      </c>
      <c r="M2" s="112">
        <v>9</v>
      </c>
      <c r="N2" s="550">
        <v>10</v>
      </c>
      <c r="O2" s="550">
        <v>11</v>
      </c>
      <c r="P2" s="278">
        <v>12</v>
      </c>
      <c r="Q2" s="550">
        <v>13</v>
      </c>
      <c r="R2" s="550">
        <v>14</v>
      </c>
      <c r="S2" s="550">
        <v>15</v>
      </c>
      <c r="T2" s="550">
        <v>16</v>
      </c>
      <c r="U2" s="550">
        <v>17</v>
      </c>
      <c r="V2" s="550">
        <v>18</v>
      </c>
      <c r="W2" s="550">
        <v>19</v>
      </c>
      <c r="X2" s="550">
        <v>20</v>
      </c>
      <c r="Y2" s="550">
        <v>21</v>
      </c>
      <c r="Z2" s="550">
        <v>22</v>
      </c>
      <c r="AA2" s="550">
        <v>23</v>
      </c>
      <c r="AB2" s="550">
        <v>24</v>
      </c>
      <c r="AC2" s="550">
        <v>25</v>
      </c>
      <c r="AD2" s="550">
        <v>26</v>
      </c>
    </row>
    <row r="3" spans="1:32" x14ac:dyDescent="0.2"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  <c r="J3">
        <v>2011</v>
      </c>
      <c r="K3">
        <v>2012</v>
      </c>
      <c r="L3">
        <v>2013</v>
      </c>
      <c r="M3" s="112">
        <v>2014</v>
      </c>
      <c r="N3" s="550">
        <v>2015</v>
      </c>
      <c r="O3" s="550">
        <v>2016</v>
      </c>
      <c r="P3" s="278">
        <v>2017</v>
      </c>
      <c r="Q3" s="550">
        <v>2018</v>
      </c>
      <c r="R3" s="550">
        <v>2019</v>
      </c>
      <c r="S3" s="550">
        <v>2020</v>
      </c>
      <c r="T3" s="550">
        <v>2021</v>
      </c>
      <c r="U3" s="550">
        <v>2022</v>
      </c>
      <c r="V3" s="550">
        <v>2023</v>
      </c>
      <c r="W3" s="550">
        <v>2024</v>
      </c>
      <c r="X3" s="550">
        <v>2025</v>
      </c>
      <c r="Y3" s="550">
        <v>2026</v>
      </c>
      <c r="Z3" s="550">
        <v>2027</v>
      </c>
      <c r="AA3" s="550">
        <v>2028</v>
      </c>
      <c r="AB3" s="550">
        <v>2029</v>
      </c>
      <c r="AC3" s="550">
        <v>2030</v>
      </c>
      <c r="AD3" s="550">
        <v>2031</v>
      </c>
    </row>
    <row r="4" spans="1:32" x14ac:dyDescent="0.2">
      <c r="C4">
        <v>1</v>
      </c>
      <c r="D4">
        <v>1</v>
      </c>
      <c r="E4">
        <v>1.08405</v>
      </c>
      <c r="F4">
        <v>1.2097998000000001</v>
      </c>
      <c r="G4">
        <v>1.3901809501800002</v>
      </c>
      <c r="H4">
        <v>1.5301721718631263</v>
      </c>
      <c r="I4">
        <v>1.7010924034602373</v>
      </c>
      <c r="J4">
        <v>1.8866815846777492</v>
      </c>
      <c r="K4">
        <v>2.0777552621659883</v>
      </c>
      <c r="L4">
        <v>2.2680776441803925</v>
      </c>
      <c r="M4" s="112">
        <f>INDEX(KumIndBud,[1]!NscenInfl,M2)</f>
        <v>2.525504456794867</v>
      </c>
      <c r="N4" s="384">
        <f>INDEX(KumIndBud,[1]!NscenInfl,N2)</f>
        <v>2.8954908597153151</v>
      </c>
      <c r="O4" s="384">
        <f>INDEX(KumIndBud,[1]!NscenInfl,O2)</f>
        <v>3.3783139605728438</v>
      </c>
      <c r="P4" s="278">
        <f>INDEX(KumIndBud,[1]!NscenInfl,P2)</f>
        <v>3.9644514327322322</v>
      </c>
      <c r="Q4" s="384">
        <f>INDEX(KumIndBud,[1]!NscenInfl,Q2)</f>
        <v>4.5333502133293075</v>
      </c>
      <c r="R4" s="384">
        <f>INDEX(KumIndBud,[1]!NscenInfl,R2)</f>
        <v>5.0637521882888361</v>
      </c>
      <c r="S4" s="384">
        <f>INDEX(KumIndBud,[1]!NscenInfl,S2)</f>
        <v>5.5549361505528534</v>
      </c>
      <c r="T4" s="384">
        <f>INDEX(KumIndBud,[1]!NscenInfl,T2)</f>
        <v>6.0021085106723584</v>
      </c>
      <c r="U4" s="384">
        <f>INDEX(KumIndBud,[1]!NscenInfl,U2)</f>
        <v>6.4462645404621135</v>
      </c>
      <c r="V4" s="384">
        <f>INDEX(KumIndBud,[1]!NscenInfl,V2)</f>
        <v>7.0038664232120862</v>
      </c>
      <c r="W4" s="384">
        <f>INDEX(KumIndBud,[1]!NscenInfl,W2)</f>
        <v>7.6797395330520528</v>
      </c>
      <c r="X4" s="384">
        <f>INDEX(KumIndBud,[1]!NscenInfl,X2)</f>
        <v>8.3977951793924195</v>
      </c>
      <c r="Y4" s="384">
        <f>INDEX(KumIndBud,[1]!NscenInfl,Y2)</f>
        <v>9.1752630571005689</v>
      </c>
      <c r="Z4" s="384">
        <f>INDEX(KumIndBud,[1]!NscenInfl,Z2)</f>
        <v>9.8496448917974604</v>
      </c>
      <c r="AA4" s="384">
        <f>INDEX(KumIndBud,[1]!NscenInfl,AA2)</f>
        <v>10.475097342426597</v>
      </c>
      <c r="AB4" s="384">
        <f>INDEX(KumIndBud,[1]!NscenInfl,AB2)</f>
        <v>11.140266023670685</v>
      </c>
      <c r="AC4" s="384">
        <f>INDEX(KumIndBud,[1]!NscenInfl,AC2)</f>
        <v>11.847672916173773</v>
      </c>
      <c r="AD4" s="384">
        <f>INDEX(KumIndBud,[1]!NscenInfl,AD2)</f>
        <v>12.600000146350807</v>
      </c>
    </row>
    <row r="5" spans="1:32" s="550" customFormat="1" x14ac:dyDescent="0.2">
      <c r="M5" s="112"/>
      <c r="N5" s="384"/>
      <c r="O5" s="384"/>
      <c r="P5" s="278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</row>
    <row r="6" spans="1:32" s="550" customFormat="1" x14ac:dyDescent="0.2">
      <c r="A6" s="550" t="s">
        <v>309</v>
      </c>
      <c r="E6" s="550">
        <v>1</v>
      </c>
      <c r="F6" s="550">
        <v>2</v>
      </c>
      <c r="G6" s="550">
        <v>3</v>
      </c>
      <c r="H6" s="550">
        <v>4</v>
      </c>
      <c r="I6" s="550">
        <v>5</v>
      </c>
      <c r="J6" s="550">
        <v>6</v>
      </c>
      <c r="K6" s="550">
        <v>7</v>
      </c>
      <c r="L6" s="550">
        <v>8</v>
      </c>
      <c r="M6" s="112">
        <v>9</v>
      </c>
      <c r="N6" s="550">
        <v>10</v>
      </c>
      <c r="O6" s="550">
        <v>11</v>
      </c>
      <c r="P6" s="278">
        <v>12</v>
      </c>
      <c r="Q6" s="550">
        <v>13</v>
      </c>
      <c r="R6" s="550">
        <v>14</v>
      </c>
      <c r="S6" s="550">
        <v>15</v>
      </c>
      <c r="T6" s="550">
        <v>16</v>
      </c>
      <c r="U6" s="550">
        <v>17</v>
      </c>
      <c r="V6" s="550">
        <v>18</v>
      </c>
      <c r="W6" s="550">
        <v>19</v>
      </c>
      <c r="X6" s="550">
        <v>20</v>
      </c>
      <c r="Y6" s="550">
        <v>21</v>
      </c>
      <c r="Z6" s="550">
        <v>22</v>
      </c>
      <c r="AA6" s="550">
        <v>23</v>
      </c>
      <c r="AB6" s="550">
        <v>24</v>
      </c>
      <c r="AC6" s="550">
        <v>25</v>
      </c>
      <c r="AD6" s="550">
        <v>26</v>
      </c>
    </row>
    <row r="7" spans="1:32" s="550" customFormat="1" x14ac:dyDescent="0.2">
      <c r="D7" s="550">
        <v>2005</v>
      </c>
      <c r="E7" s="550">
        <v>2006</v>
      </c>
      <c r="F7" s="550">
        <v>2007</v>
      </c>
      <c r="G7" s="550">
        <v>2008</v>
      </c>
      <c r="H7" s="550">
        <v>2009</v>
      </c>
      <c r="I7" s="550">
        <v>2010</v>
      </c>
      <c r="J7" s="550">
        <v>2011</v>
      </c>
      <c r="K7" s="550">
        <v>2012</v>
      </c>
      <c r="L7" s="550">
        <v>2013</v>
      </c>
      <c r="M7" s="112">
        <v>2014</v>
      </c>
      <c r="N7" s="550">
        <v>2015</v>
      </c>
      <c r="O7" s="550">
        <v>2016</v>
      </c>
      <c r="P7" s="278">
        <v>2017</v>
      </c>
      <c r="Q7" s="550">
        <v>2018</v>
      </c>
      <c r="R7" s="550">
        <v>2019</v>
      </c>
      <c r="S7" s="550">
        <v>2020</v>
      </c>
      <c r="T7" s="550">
        <v>2021</v>
      </c>
      <c r="U7" s="550">
        <v>2022</v>
      </c>
      <c r="V7" s="550">
        <v>2023</v>
      </c>
      <c r="W7" s="550">
        <v>2024</v>
      </c>
      <c r="X7" s="550">
        <v>2025</v>
      </c>
      <c r="Y7" s="550">
        <v>2026</v>
      </c>
      <c r="Z7" s="550">
        <v>2027</v>
      </c>
      <c r="AA7" s="550">
        <v>2028</v>
      </c>
      <c r="AB7" s="550">
        <v>2029</v>
      </c>
      <c r="AC7" s="550">
        <v>2030</v>
      </c>
      <c r="AD7" s="550">
        <v>2031</v>
      </c>
    </row>
    <row r="8" spans="1:32" s="550" customFormat="1" x14ac:dyDescent="0.2">
      <c r="C8" s="550">
        <v>1</v>
      </c>
      <c r="D8" s="112">
        <v>1</v>
      </c>
      <c r="E8" s="112">
        <f>INDEX(KumIndPotrS,[1]!NscenInfl,E6)</f>
        <v>1.0900000000000001</v>
      </c>
      <c r="F8" s="112">
        <f>INDEX(KumIndPotrS,[1]!NscenInfl,F6)</f>
        <v>1.2088100000000002</v>
      </c>
      <c r="G8" s="112">
        <f>INDEX(KumIndPotrS,[1]!NscenInfl,G6)</f>
        <v>1.36112006</v>
      </c>
      <c r="H8" s="112">
        <f>INDEX(KumIndPotrS,[1]!NscenInfl,H6)</f>
        <v>1.51628774684</v>
      </c>
      <c r="I8" s="112">
        <f>INDEX(KumIndPotrS,[1]!NscenInfl,I6)</f>
        <v>1.6527536440556001</v>
      </c>
      <c r="J8" s="112">
        <f>INDEX(KumIndPotrS,[1]!NscenInfl,J6)</f>
        <v>1.7717519064276035</v>
      </c>
      <c r="K8" s="112">
        <f>INDEX(KumIndPotrS,[1]!NscenInfl,K6)</f>
        <v>1.9297921764809456</v>
      </c>
      <c r="L8" s="112">
        <f>INDEX(KumIndPotrS,[1]!NscenInfl,L6)</f>
        <v>2.0903508855641602</v>
      </c>
      <c r="M8" s="112">
        <f>INDEX(KumIndPotrS,[1]!NscenInfl,M6)</f>
        <v>2.320289482976218</v>
      </c>
      <c r="N8" s="384">
        <f>INDEX(KumIndPotrS,[1]!NscenInfl,N6)</f>
        <v>2.6683329054226506</v>
      </c>
      <c r="O8" s="384">
        <f>INDEX(KumIndPotrS,[1]!NscenInfl,O6)</f>
        <v>3.1086078348173878</v>
      </c>
      <c r="P8" s="278">
        <f>INDEX(KumIndPotrS,[1]!NscenInfl,P6)</f>
        <v>3.6370711667363436</v>
      </c>
      <c r="Q8" s="384">
        <f>INDEX(KumIndPotrS,[1]!NscenInfl,Q6)</f>
        <v>4.1462611300794325</v>
      </c>
      <c r="R8" s="384">
        <f>INDEX(KumIndPotrS,[1]!NscenInfl,R6)</f>
        <v>4.6023498543881702</v>
      </c>
      <c r="S8" s="384">
        <f>INDEX(KumIndPotrS,[1]!NscenInfl,S6)</f>
        <v>5.016561341283106</v>
      </c>
      <c r="T8" s="384">
        <f>INDEX(KumIndPotrS,[1]!NscenInfl,T6)</f>
        <v>5.3677206351729234</v>
      </c>
      <c r="U8" s="384">
        <f>INDEX(KumIndPotrS,[1]!NscenInfl,U6)</f>
        <v>5.6897838732832993</v>
      </c>
      <c r="V8" s="384">
        <f>INDEX(KumIndPotrS,[1]!NscenInfl,V6)</f>
        <v>6.2018644218787964</v>
      </c>
      <c r="W8" s="384">
        <f>INDEX(KumIndPotrS,[1]!NscenInfl,W6)</f>
        <v>6.8220508640666768</v>
      </c>
      <c r="X8" s="384">
        <f>INDEX(KumIndPotrS,[1]!NscenInfl,X6)</f>
        <v>7.4360354418326784</v>
      </c>
      <c r="Y8" s="384">
        <f>INDEX(KumIndPotrS,[1]!NscenInfl,Y6)</f>
        <v>8.0547135905931562</v>
      </c>
      <c r="Z8" s="384">
        <f>INDEX(KumIndPotrS,[1]!NscenInfl,Z6)</f>
        <v>8.6185435419346774</v>
      </c>
      <c r="AA8" s="384">
        <f>INDEX(KumIndPotrS,[1]!NscenInfl,AA6)</f>
        <v>9.1356561544507588</v>
      </c>
      <c r="AB8" s="384">
        <f>INDEX(KumIndPotrS,[1]!NscenInfl,AB6)</f>
        <v>9.6837955237178051</v>
      </c>
      <c r="AC8" s="384">
        <f>INDEX(KumIndPotrS,[1]!NscenInfl,AC6)</f>
        <v>10.264823255140874</v>
      </c>
      <c r="AD8" s="384">
        <f>INDEX(KumIndPotrS,[1]!NscenInfl,AD6)</f>
        <v>10.880712650449327</v>
      </c>
    </row>
    <row r="9" spans="1:32" s="550" customFormat="1" x14ac:dyDescent="0.2">
      <c r="M9" s="112"/>
      <c r="N9" s="384"/>
      <c r="O9" s="384"/>
      <c r="P9" s="278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</row>
    <row r="10" spans="1:32" s="550" customFormat="1" x14ac:dyDescent="0.2">
      <c r="M10" s="112"/>
      <c r="N10" s="384"/>
      <c r="O10" s="384"/>
      <c r="P10" s="278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</row>
    <row r="11" spans="1:32" s="550" customFormat="1" x14ac:dyDescent="0.2">
      <c r="M11" s="112"/>
      <c r="P11" s="278"/>
    </row>
    <row r="12" spans="1:32" s="550" customFormat="1" x14ac:dyDescent="0.2">
      <c r="M12" s="112"/>
      <c r="P12" s="278"/>
    </row>
    <row r="13" spans="1:32" ht="20.25" x14ac:dyDescent="0.2">
      <c r="A13" s="558" t="s">
        <v>248</v>
      </c>
    </row>
    <row r="14" spans="1:32" x14ac:dyDescent="0.2">
      <c r="C14" s="198" t="s">
        <v>253</v>
      </c>
    </row>
    <row r="16" spans="1:32" ht="13.5" thickBot="1" x14ac:dyDescent="0.25">
      <c r="D16">
        <v>2005</v>
      </c>
      <c r="E16">
        <v>2006</v>
      </c>
      <c r="F16">
        <v>2007</v>
      </c>
      <c r="G16">
        <v>2008</v>
      </c>
      <c r="H16">
        <v>2009</v>
      </c>
      <c r="I16">
        <v>2010</v>
      </c>
      <c r="J16">
        <v>2011</v>
      </c>
      <c r="K16">
        <v>2012</v>
      </c>
      <c r="L16">
        <v>2013</v>
      </c>
      <c r="M16" s="112">
        <v>2014</v>
      </c>
      <c r="N16">
        <v>2015</v>
      </c>
      <c r="O16">
        <v>2016</v>
      </c>
      <c r="P16" s="278">
        <v>2017</v>
      </c>
    </row>
    <row r="17" spans="1:30" ht="13.5" thickBot="1" x14ac:dyDescent="0.25">
      <c r="C17" t="s">
        <v>247</v>
      </c>
      <c r="D17" s="545">
        <f t="shared" ref="D17:P17" si="1">D40-D39</f>
        <v>27330.28</v>
      </c>
      <c r="E17" s="549">
        <f t="shared" si="1"/>
        <v>29918.800000000003</v>
      </c>
      <c r="F17" s="549">
        <f t="shared" si="1"/>
        <v>18246.699999999997</v>
      </c>
      <c r="G17" s="549">
        <f t="shared" si="1"/>
        <v>22093.799999999996</v>
      </c>
      <c r="H17" s="549">
        <f t="shared" si="1"/>
        <v>17888.300000000003</v>
      </c>
      <c r="I17" s="549">
        <f t="shared" si="1"/>
        <v>23495.5</v>
      </c>
      <c r="J17" s="549">
        <f t="shared" si="1"/>
        <v>26009.3</v>
      </c>
      <c r="K17" s="549">
        <f t="shared" si="1"/>
        <v>22659.899999999998</v>
      </c>
      <c r="L17" s="549">
        <f t="shared" si="1"/>
        <v>31034.800000000003</v>
      </c>
      <c r="M17" s="563">
        <f t="shared" si="1"/>
        <v>31034.899999999998</v>
      </c>
      <c r="N17" s="549">
        <f t="shared" si="1"/>
        <v>33502.399999999994</v>
      </c>
      <c r="O17" s="549">
        <f t="shared" si="1"/>
        <v>37815</v>
      </c>
      <c r="P17" s="568">
        <f t="shared" si="1"/>
        <v>42315.4</v>
      </c>
    </row>
    <row r="18" spans="1:30" s="550" customFormat="1" x14ac:dyDescent="0.2">
      <c r="D18" s="551"/>
      <c r="E18" s="551"/>
      <c r="F18" s="551"/>
      <c r="G18" s="551"/>
      <c r="H18" s="551"/>
      <c r="I18" s="551"/>
      <c r="J18" s="551"/>
      <c r="K18" s="551"/>
      <c r="L18" s="551"/>
      <c r="M18" s="355"/>
      <c r="N18" s="551"/>
      <c r="O18" s="551"/>
      <c r="P18" s="569"/>
    </row>
    <row r="19" spans="1:30" s="550" customFormat="1" x14ac:dyDescent="0.2">
      <c r="D19" s="551"/>
      <c r="E19" s="551"/>
      <c r="F19" s="551"/>
      <c r="G19" s="551"/>
      <c r="H19" s="551"/>
      <c r="I19" s="551"/>
      <c r="J19" s="551"/>
      <c r="K19" s="551"/>
      <c r="L19" s="551"/>
      <c r="M19" s="355"/>
      <c r="N19" s="551"/>
      <c r="O19" s="551"/>
      <c r="P19" s="569"/>
    </row>
    <row r="20" spans="1:30" s="550" customFormat="1" x14ac:dyDescent="0.2">
      <c r="C20" s="198" t="s">
        <v>249</v>
      </c>
      <c r="D20" s="551"/>
      <c r="E20" s="551"/>
      <c r="F20" s="551"/>
      <c r="G20" s="551"/>
      <c r="H20" s="551"/>
      <c r="I20" s="551"/>
      <c r="J20" s="551"/>
      <c r="K20" s="551"/>
      <c r="L20" s="551"/>
      <c r="M20" s="355"/>
      <c r="N20" s="551"/>
      <c r="O20" s="551"/>
      <c r="P20" s="569"/>
    </row>
    <row r="21" spans="1:30" s="550" customFormat="1" ht="13.5" thickBot="1" x14ac:dyDescent="0.25">
      <c r="D21" s="550">
        <v>2005</v>
      </c>
      <c r="E21" s="550">
        <v>2006</v>
      </c>
      <c r="F21" s="550">
        <v>2007</v>
      </c>
      <c r="G21" s="550">
        <v>2008</v>
      </c>
      <c r="H21" s="550">
        <v>2009</v>
      </c>
      <c r="I21" s="550">
        <v>2010</v>
      </c>
      <c r="J21" s="550">
        <v>2011</v>
      </c>
      <c r="K21" s="550">
        <v>2012</v>
      </c>
      <c r="L21" s="550">
        <v>2013</v>
      </c>
      <c r="M21" s="112">
        <v>2014</v>
      </c>
      <c r="N21" s="550">
        <v>2015</v>
      </c>
      <c r="O21" s="550">
        <v>2016</v>
      </c>
      <c r="P21" s="278">
        <v>2017</v>
      </c>
    </row>
    <row r="22" spans="1:30" ht="13.5" thickBot="1" x14ac:dyDescent="0.25">
      <c r="D22" s="581">
        <v>79969.100000000006</v>
      </c>
      <c r="E22" s="582">
        <v>95616.1</v>
      </c>
      <c r="F22" s="582">
        <v>110421</v>
      </c>
      <c r="G22" s="582">
        <v>147191</v>
      </c>
      <c r="H22" s="582" t="s">
        <v>250</v>
      </c>
      <c r="I22" s="582">
        <v>188788.8</v>
      </c>
      <c r="J22" s="582">
        <v>211320.1</v>
      </c>
      <c r="K22" s="582">
        <v>231029.7</v>
      </c>
      <c r="L22" s="582">
        <v>261029</v>
      </c>
      <c r="M22" s="516">
        <v>268130.5</v>
      </c>
      <c r="N22" s="582">
        <v>299266.7</v>
      </c>
      <c r="O22" s="582">
        <v>296865.90000000002</v>
      </c>
      <c r="P22" s="583">
        <v>302478.90000000002</v>
      </c>
      <c r="T22" s="188"/>
    </row>
    <row r="23" spans="1:30" s="550" customFormat="1" x14ac:dyDescent="0.2">
      <c r="M23" s="112"/>
      <c r="P23" s="278"/>
    </row>
    <row r="24" spans="1:30" s="550" customFormat="1" x14ac:dyDescent="0.2">
      <c r="C24" s="550" t="s">
        <v>267</v>
      </c>
      <c r="M24" s="112"/>
      <c r="P24" s="278"/>
    </row>
    <row r="25" spans="1:30" s="550" customFormat="1" x14ac:dyDescent="0.2">
      <c r="M25" s="112"/>
      <c r="P25" s="278"/>
    </row>
    <row r="26" spans="1:30" s="550" customFormat="1" x14ac:dyDescent="0.2">
      <c r="C26" s="198" t="s">
        <v>262</v>
      </c>
      <c r="D26" s="550">
        <v>2005</v>
      </c>
      <c r="E26" s="550">
        <v>2006</v>
      </c>
      <c r="F26" s="550">
        <v>2007</v>
      </c>
      <c r="G26" s="550">
        <v>2008</v>
      </c>
      <c r="H26" s="112">
        <v>2009</v>
      </c>
      <c r="I26" s="550">
        <v>2010</v>
      </c>
      <c r="J26" s="550">
        <v>2011</v>
      </c>
      <c r="K26" s="550">
        <v>2012</v>
      </c>
      <c r="L26" s="550">
        <v>2013</v>
      </c>
      <c r="M26" s="112">
        <v>2014</v>
      </c>
      <c r="N26" s="550">
        <v>2015</v>
      </c>
      <c r="O26" s="550">
        <v>2016</v>
      </c>
      <c r="P26" s="278">
        <v>2017</v>
      </c>
      <c r="Q26" s="550">
        <v>2018</v>
      </c>
      <c r="R26" s="550">
        <v>2019</v>
      </c>
      <c r="S26" s="550">
        <v>2020</v>
      </c>
      <c r="T26" s="550">
        <v>2021</v>
      </c>
      <c r="U26" s="550">
        <v>2022</v>
      </c>
      <c r="V26" s="550">
        <v>2023</v>
      </c>
      <c r="W26" s="550">
        <v>2024</v>
      </c>
      <c r="X26" s="550">
        <v>2025</v>
      </c>
      <c r="Y26" s="550">
        <v>2026</v>
      </c>
      <c r="Z26" s="550">
        <v>2027</v>
      </c>
      <c r="AA26" s="550">
        <v>2028</v>
      </c>
      <c r="AB26" s="550">
        <v>2029</v>
      </c>
      <c r="AC26" s="550">
        <v>2030</v>
      </c>
      <c r="AD26" s="550">
        <v>2031</v>
      </c>
    </row>
    <row r="27" spans="1:30" s="550" customFormat="1" x14ac:dyDescent="0.2">
      <c r="C27" s="550" t="s">
        <v>263</v>
      </c>
      <c r="D27" s="188">
        <v>79969.100000000006</v>
      </c>
      <c r="E27" s="188">
        <v>95616.1</v>
      </c>
      <c r="F27" s="188">
        <v>110421</v>
      </c>
      <c r="G27" s="188">
        <v>147191</v>
      </c>
      <c r="H27" s="200">
        <v>169088.5</v>
      </c>
      <c r="I27" s="188">
        <v>188788.8</v>
      </c>
      <c r="J27" s="188">
        <v>211320.1</v>
      </c>
      <c r="K27" s="188">
        <v>231029.7</v>
      </c>
      <c r="L27" s="188">
        <v>260768</v>
      </c>
      <c r="M27" s="200">
        <v>268130.5</v>
      </c>
      <c r="N27" s="188">
        <v>299266.7</v>
      </c>
      <c r="O27" s="188">
        <v>296363.3</v>
      </c>
      <c r="P27" s="383">
        <v>296363.3</v>
      </c>
    </row>
    <row r="28" spans="1:30" s="550" customFormat="1" x14ac:dyDescent="0.2">
      <c r="C28" s="550" t="s">
        <v>264</v>
      </c>
      <c r="D28" s="188">
        <v>36067.9</v>
      </c>
      <c r="E28" s="188">
        <v>44274.6</v>
      </c>
      <c r="F28" s="188">
        <v>54830.5</v>
      </c>
      <c r="G28" s="188">
        <v>74059</v>
      </c>
      <c r="H28" s="200">
        <v>79584.600000000006</v>
      </c>
      <c r="I28" s="188">
        <v>88011.5</v>
      </c>
      <c r="J28" s="188">
        <v>97814.8</v>
      </c>
      <c r="K28" s="188">
        <v>115718.9</v>
      </c>
      <c r="L28" s="188">
        <v>126249</v>
      </c>
      <c r="M28" s="200">
        <v>130909.4</v>
      </c>
      <c r="N28" s="188">
        <v>132569.4</v>
      </c>
      <c r="O28" s="188">
        <v>134301.5</v>
      </c>
      <c r="P28" s="383">
        <v>134301.5</v>
      </c>
    </row>
    <row r="29" spans="1:30" s="550" customFormat="1" x14ac:dyDescent="0.2">
      <c r="C29" s="550" t="s">
        <v>265</v>
      </c>
      <c r="D29" s="188">
        <v>11165.3</v>
      </c>
      <c r="E29" s="188">
        <v>12753.4</v>
      </c>
      <c r="F29" s="188">
        <v>15290.7</v>
      </c>
      <c r="G29" s="188">
        <v>21737.5</v>
      </c>
      <c r="H29" s="200">
        <v>27642.2</v>
      </c>
      <c r="I29" s="188">
        <v>35754</v>
      </c>
      <c r="J29" s="188">
        <v>41572</v>
      </c>
      <c r="K29" s="188">
        <v>45939.1</v>
      </c>
      <c r="L29" s="188">
        <v>53156.9</v>
      </c>
      <c r="M29" s="200">
        <v>54517.7</v>
      </c>
      <c r="N29" s="188">
        <v>62632.7</v>
      </c>
      <c r="O29" s="188">
        <v>65759.199999999997</v>
      </c>
      <c r="P29" s="383">
        <v>65759.199999999997</v>
      </c>
    </row>
    <row r="30" spans="1:30" s="550" customFormat="1" x14ac:dyDescent="0.2">
      <c r="C30" s="550" t="s">
        <v>266</v>
      </c>
      <c r="D30" s="188">
        <v>32735.899999999998</v>
      </c>
      <c r="E30" s="188">
        <v>38588.1</v>
      </c>
      <c r="F30" s="188">
        <v>40299.800000000003</v>
      </c>
      <c r="G30" s="188">
        <v>51394.5</v>
      </c>
      <c r="H30" s="200">
        <v>61861.7</v>
      </c>
      <c r="I30" s="188">
        <v>65023.299999999996</v>
      </c>
      <c r="J30" s="188">
        <v>71933.3</v>
      </c>
      <c r="K30" s="188">
        <v>69371.7</v>
      </c>
      <c r="L30" s="188">
        <v>81362.100000000006</v>
      </c>
      <c r="M30" s="200">
        <v>82703.399999999994</v>
      </c>
      <c r="N30" s="188">
        <v>104064.6</v>
      </c>
      <c r="O30" s="188">
        <v>96302.6</v>
      </c>
      <c r="P30" s="383">
        <v>96302.6</v>
      </c>
    </row>
    <row r="32" spans="1:30" s="611" customFormat="1" x14ac:dyDescent="0.2">
      <c r="A32" s="611" t="s">
        <v>270</v>
      </c>
      <c r="C32" s="611" t="s">
        <v>295</v>
      </c>
      <c r="D32" s="612">
        <v>15000</v>
      </c>
      <c r="E32" s="612">
        <f>'[1]распределение '!C$120*0.001</f>
        <v>16709.23893204</v>
      </c>
      <c r="F32" s="612">
        <f>'[1]распределение '!D$120*0.001</f>
        <v>19374.98176214</v>
      </c>
      <c r="G32" s="612">
        <f>'[1]распределение '!E$120*0.001</f>
        <v>23529.01737799</v>
      </c>
      <c r="H32" s="612">
        <f>'[1]распределение '!F$120*0.001</f>
        <v>24880.386637880005</v>
      </c>
      <c r="I32" s="612">
        <f>'[1]распределение '!G$120*0.001</f>
        <v>27975.769610169998</v>
      </c>
      <c r="J32" s="612">
        <f>'[1]распределение '!H$120*0.001</f>
        <v>29060.796293769999</v>
      </c>
      <c r="K32" s="612">
        <f>'[1]распределение '!I$120*0.001</f>
        <v>37764.372420560001</v>
      </c>
      <c r="L32" s="612">
        <f>'[1]распределение '!J$120*0.001</f>
        <v>42168.282307270012</v>
      </c>
      <c r="M32" s="612">
        <f>'[1]распределение '!K$120*0.001</f>
        <v>43886.462336021847</v>
      </c>
      <c r="N32" s="612">
        <f>'[1]распределение '!L$120*0.001</f>
        <v>48162.498189739978</v>
      </c>
      <c r="O32" s="612">
        <f>'[1]распределение '!M$120*0.001</f>
        <v>52315.641393009108</v>
      </c>
      <c r="P32" s="383">
        <f>'[1]распределение '!N$120*0.001</f>
        <v>57533.26064001301</v>
      </c>
      <c r="Q32" s="612">
        <f>'[1]распределение '!O$120*0.001</f>
        <v>65774.955869593003</v>
      </c>
      <c r="R32" s="612">
        <f>'[1]распределение '!P$120*0.001</f>
        <v>73454.781736518038</v>
      </c>
      <c r="S32" s="612">
        <f>'[1]распределение '!Q$120*0.001</f>
        <v>50856.607931067636</v>
      </c>
      <c r="T32" s="612">
        <f>'[1]распределение '!R$120*0.001</f>
        <v>55318.690274628345</v>
      </c>
      <c r="U32" s="612">
        <f>'[1]распределение '!S$120*0.001</f>
        <v>59803.686373187833</v>
      </c>
      <c r="V32" s="612">
        <f>'[1]распределение '!T$120*0.001</f>
        <v>65397.722786339909</v>
      </c>
      <c r="W32" s="612">
        <f>'[1]распределение '!U$120*0.001</f>
        <v>72165.632312537025</v>
      </c>
      <c r="X32" s="612">
        <f>'[1]распределение '!V$120*0.001</f>
        <v>79407.882833356081</v>
      </c>
      <c r="Y32" s="612">
        <f>'[1]распределение '!W$120*0.001</f>
        <v>87294.628076075489</v>
      </c>
      <c r="Z32" s="612">
        <f>'[1]распределение '!X$120*0.001</f>
        <v>94279.536223614035</v>
      </c>
      <c r="AA32" s="612">
        <f>'[1]распределение '!Y$120*0.001</f>
        <v>100865.10688425692</v>
      </c>
      <c r="AB32" s="612">
        <f>'[1]распределение '!Z$120*0.001</f>
        <v>107900.51790698915</v>
      </c>
      <c r="AC32" s="612">
        <f>'[1]распределение '!AA$120*0.001</f>
        <v>115416.00768229149</v>
      </c>
      <c r="AD32" s="612">
        <f>'[1]распределение '!AB$120*0.001</f>
        <v>123443.82320947059</v>
      </c>
    </row>
    <row r="33" spans="1:32" s="188" customFormat="1" x14ac:dyDescent="0.2">
      <c r="C33" s="596"/>
      <c r="P33" s="383"/>
    </row>
    <row r="34" spans="1:32" s="550" customFormat="1" x14ac:dyDescent="0.2">
      <c r="P34" s="278"/>
    </row>
    <row r="35" spans="1:32" s="550" customFormat="1" x14ac:dyDescent="0.2"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623"/>
    </row>
    <row r="36" spans="1:32" s="550" customFormat="1" x14ac:dyDescent="0.2">
      <c r="M36" s="112"/>
      <c r="P36" s="278"/>
      <c r="Q36" s="550" t="s">
        <v>382</v>
      </c>
    </row>
    <row r="38" spans="1:32" ht="13.5" thickBot="1" x14ac:dyDescent="0.25">
      <c r="C38" s="551"/>
      <c r="D38" s="551">
        <v>2005</v>
      </c>
      <c r="E38" s="551">
        <v>2006</v>
      </c>
      <c r="F38" s="551">
        <v>2007</v>
      </c>
      <c r="G38" s="551">
        <v>2008</v>
      </c>
      <c r="H38" s="551">
        <v>2009</v>
      </c>
      <c r="I38" s="551">
        <v>2010</v>
      </c>
      <c r="J38" s="551">
        <v>2011</v>
      </c>
      <c r="K38" s="551">
        <v>2012</v>
      </c>
      <c r="L38" s="551">
        <v>2013</v>
      </c>
      <c r="M38" s="355">
        <v>2014</v>
      </c>
      <c r="N38" s="551">
        <v>2015</v>
      </c>
      <c r="O38" s="551">
        <v>2016</v>
      </c>
      <c r="P38" s="569">
        <v>2017</v>
      </c>
      <c r="Q38" s="550">
        <v>2018</v>
      </c>
      <c r="R38" s="550">
        <v>2019</v>
      </c>
      <c r="S38" s="550">
        <v>2020</v>
      </c>
      <c r="T38" s="550">
        <v>2021</v>
      </c>
      <c r="U38" s="550">
        <v>2022</v>
      </c>
      <c r="V38" s="550">
        <v>2023</v>
      </c>
      <c r="W38" s="550">
        <v>2024</v>
      </c>
      <c r="X38" s="550">
        <v>2025</v>
      </c>
      <c r="Y38" s="550">
        <v>2026</v>
      </c>
      <c r="Z38" s="550">
        <v>2027</v>
      </c>
      <c r="AA38" s="550">
        <v>2028</v>
      </c>
      <c r="AB38" s="550">
        <v>2029</v>
      </c>
      <c r="AC38" s="550">
        <v>2030</v>
      </c>
      <c r="AD38" s="550">
        <v>2031</v>
      </c>
    </row>
    <row r="39" spans="1:32" x14ac:dyDescent="0.2">
      <c r="B39" t="s">
        <v>238</v>
      </c>
      <c r="C39" s="551"/>
      <c r="D39" s="325">
        <v>6354.72</v>
      </c>
      <c r="E39" s="560">
        <v>9348.6</v>
      </c>
      <c r="F39" s="560">
        <v>10389.6</v>
      </c>
      <c r="G39" s="560">
        <v>16236.9</v>
      </c>
      <c r="H39" s="560">
        <v>22918.6</v>
      </c>
      <c r="I39" s="560">
        <v>20244.400000000001</v>
      </c>
      <c r="J39" s="560">
        <v>20529.2</v>
      </c>
      <c r="K39" s="560">
        <v>24959.200000000001</v>
      </c>
      <c r="L39" s="560">
        <v>21364.5</v>
      </c>
      <c r="M39" s="564">
        <v>18437.3</v>
      </c>
      <c r="N39" s="560">
        <v>19685.3</v>
      </c>
      <c r="O39" s="560">
        <v>17757.099999999999</v>
      </c>
      <c r="P39" s="570">
        <v>16484.900000000001</v>
      </c>
      <c r="Q39" s="468">
        <f>Q40-Q167</f>
        <v>19334.359748999996</v>
      </c>
      <c r="R39" s="468">
        <f t="shared" ref="R39:AD39" si="2">R40-R167</f>
        <v>22131.565099105173</v>
      </c>
      <c r="S39" s="468">
        <f t="shared" si="2"/>
        <v>24859.445558062944</v>
      </c>
      <c r="T39" s="468">
        <f t="shared" si="2"/>
        <v>27482.250633749165</v>
      </c>
      <c r="U39" s="468">
        <f t="shared" si="2"/>
        <v>30176.880551653434</v>
      </c>
      <c r="V39" s="468">
        <f t="shared" si="2"/>
        <v>33498.114542244366</v>
      </c>
      <c r="W39" s="468">
        <f t="shared" si="2"/>
        <v>37502.426142983313</v>
      </c>
      <c r="X39" s="468">
        <f t="shared" si="2"/>
        <v>41844.365540756713</v>
      </c>
      <c r="Y39" s="468">
        <f t="shared" si="2"/>
        <v>46621.998482352617</v>
      </c>
      <c r="Z39" s="468">
        <f t="shared" si="2"/>
        <v>51009.116524996367</v>
      </c>
      <c r="AA39" s="468">
        <f t="shared" si="2"/>
        <v>55259.368185540807</v>
      </c>
      <c r="AB39" s="468">
        <f t="shared" si="2"/>
        <v>59832.966474550994</v>
      </c>
      <c r="AC39" s="468">
        <f t="shared" si="2"/>
        <v>64753.269835767205</v>
      </c>
      <c r="AD39" s="468">
        <f t="shared" si="2"/>
        <v>70045.26936704632</v>
      </c>
    </row>
    <row r="40" spans="1:32" x14ac:dyDescent="0.2">
      <c r="B40" s="551" t="s">
        <v>251</v>
      </c>
      <c r="D40" s="326">
        <v>33685</v>
      </c>
      <c r="E40" s="460">
        <v>39267.4</v>
      </c>
      <c r="F40" s="460">
        <v>28636.3</v>
      </c>
      <c r="G40" s="460">
        <v>38330.699999999997</v>
      </c>
      <c r="H40" s="460">
        <v>40806.9</v>
      </c>
      <c r="I40" s="460">
        <v>43739.9</v>
      </c>
      <c r="J40" s="460">
        <v>46538.5</v>
      </c>
      <c r="K40" s="460">
        <v>47619.1</v>
      </c>
      <c r="L40" s="460">
        <v>52399.3</v>
      </c>
      <c r="M40" s="469">
        <v>49472.2</v>
      </c>
      <c r="N40" s="460">
        <v>53187.7</v>
      </c>
      <c r="O40" s="460">
        <v>55572.1</v>
      </c>
      <c r="P40" s="571">
        <v>58800.3</v>
      </c>
      <c r="Q40" s="468">
        <f>P40*(Q1+0.01*$AE$40)</f>
        <v>67238.143049999999</v>
      </c>
      <c r="R40" s="468">
        <f t="shared" ref="R40:AD40" si="3">Q40*(R1+0.01*$AE$40)</f>
        <v>75105.005786850001</v>
      </c>
      <c r="S40" s="468">
        <f t="shared" si="3"/>
        <v>82390.191348174456</v>
      </c>
      <c r="T40" s="468">
        <f t="shared" si="3"/>
        <v>89022.601751702503</v>
      </c>
      <c r="U40" s="468">
        <f t="shared" si="3"/>
        <v>95610.2742813285</v>
      </c>
      <c r="V40" s="468">
        <f t="shared" si="3"/>
        <v>103880.56300666342</v>
      </c>
      <c r="W40" s="468">
        <f t="shared" si="3"/>
        <v>113905.03733680645</v>
      </c>
      <c r="X40" s="468">
        <f t="shared" si="3"/>
        <v>124555.15832779784</v>
      </c>
      <c r="Y40" s="468">
        <f t="shared" si="3"/>
        <v>136086.47488578534</v>
      </c>
      <c r="Z40" s="468">
        <f t="shared" si="3"/>
        <v>146088.83078989055</v>
      </c>
      <c r="AA40" s="468">
        <f t="shared" si="3"/>
        <v>155365.47154504858</v>
      </c>
      <c r="AB40" s="468">
        <f t="shared" si="3"/>
        <v>165231.17898815914</v>
      </c>
      <c r="AC40" s="468">
        <f t="shared" si="3"/>
        <v>175723.35885390724</v>
      </c>
      <c r="AD40" s="468">
        <f t="shared" si="3"/>
        <v>186881.79214113034</v>
      </c>
      <c r="AE40" s="240">
        <f>[3]!TempIndKBInfl</f>
        <v>0</v>
      </c>
      <c r="AF40" t="s">
        <v>381</v>
      </c>
    </row>
    <row r="41" spans="1:32" ht="13.5" thickBot="1" x14ac:dyDescent="0.25">
      <c r="B41" t="s">
        <v>252</v>
      </c>
      <c r="C41" s="551"/>
      <c r="D41" s="328">
        <f t="shared" ref="D41:K41" si="4">100*D39/D40</f>
        <v>18.865132848448866</v>
      </c>
      <c r="E41" s="561">
        <f t="shared" si="4"/>
        <v>23.807535003590765</v>
      </c>
      <c r="F41" s="561">
        <f t="shared" si="4"/>
        <v>36.281223482083931</v>
      </c>
      <c r="G41" s="561">
        <f t="shared" si="4"/>
        <v>42.360040385383002</v>
      </c>
      <c r="H41" s="561">
        <f t="shared" si="4"/>
        <v>56.163540969786972</v>
      </c>
      <c r="I41" s="561">
        <f t="shared" si="4"/>
        <v>46.283599185183327</v>
      </c>
      <c r="J41" s="561">
        <f t="shared" si="4"/>
        <v>44.112294122070971</v>
      </c>
      <c r="K41" s="561">
        <f t="shared" si="4"/>
        <v>52.414262344311425</v>
      </c>
      <c r="L41" s="561">
        <f>100*L39/L40</f>
        <v>40.772491235569937</v>
      </c>
      <c r="M41" s="565">
        <f t="shared" ref="M41:P41" si="5">100*M39/M40</f>
        <v>37.268001018753971</v>
      </c>
      <c r="N41" s="561">
        <f t="shared" si="5"/>
        <v>37.011000663687284</v>
      </c>
      <c r="O41" s="561">
        <f t="shared" si="5"/>
        <v>31.953264317886131</v>
      </c>
      <c r="P41" s="572">
        <f t="shared" si="5"/>
        <v>28.035401179925955</v>
      </c>
    </row>
    <row r="43" spans="1:32" s="655" customFormat="1" x14ac:dyDescent="0.2"/>
    <row r="44" spans="1:32" s="550" customFormat="1" x14ac:dyDescent="0.2">
      <c r="M44" s="112"/>
      <c r="P44" s="278"/>
    </row>
    <row r="45" spans="1:32" s="550" customFormat="1" ht="20.25" x14ac:dyDescent="0.3">
      <c r="B45" s="557" t="s">
        <v>254</v>
      </c>
      <c r="M45" s="112"/>
      <c r="P45" s="278"/>
    </row>
    <row r="46" spans="1:32" s="550" customFormat="1" x14ac:dyDescent="0.2">
      <c r="M46" s="112"/>
      <c r="P46" s="278"/>
    </row>
    <row r="47" spans="1:32" s="551" customFormat="1" ht="32.25" customHeight="1" x14ac:dyDescent="0.2">
      <c r="A47" s="553" t="s">
        <v>236</v>
      </c>
      <c r="D47" s="552"/>
      <c r="E47" s="552"/>
      <c r="F47" s="552"/>
      <c r="G47" s="552"/>
      <c r="H47" s="552"/>
      <c r="I47" s="552"/>
      <c r="J47" s="552"/>
      <c r="P47" s="573"/>
    </row>
    <row r="48" spans="1:32" ht="18" x14ac:dyDescent="0.25">
      <c r="A48" s="554" t="s">
        <v>255</v>
      </c>
      <c r="C48" s="198" t="s">
        <v>289</v>
      </c>
      <c r="D48">
        <v>1</v>
      </c>
      <c r="E48">
        <v>2</v>
      </c>
      <c r="F48" s="550">
        <v>3</v>
      </c>
      <c r="G48" s="550">
        <v>4</v>
      </c>
      <c r="H48" s="550">
        <v>5</v>
      </c>
      <c r="I48" s="550">
        <v>6</v>
      </c>
      <c r="J48" s="550">
        <v>7</v>
      </c>
      <c r="K48" s="550">
        <v>8</v>
      </c>
      <c r="L48" s="550">
        <v>9</v>
      </c>
      <c r="M48" s="112">
        <v>10</v>
      </c>
      <c r="N48" s="550">
        <v>11</v>
      </c>
      <c r="O48" s="550">
        <v>12</v>
      </c>
      <c r="P48" s="278">
        <v>13</v>
      </c>
      <c r="Q48" s="550">
        <v>14</v>
      </c>
      <c r="R48" s="550">
        <v>15</v>
      </c>
      <c r="S48" s="550">
        <v>16</v>
      </c>
      <c r="T48" s="550">
        <v>17</v>
      </c>
      <c r="U48" s="550">
        <v>18</v>
      </c>
      <c r="V48" s="550">
        <v>19</v>
      </c>
      <c r="W48" s="550">
        <v>20</v>
      </c>
      <c r="X48" s="550">
        <v>21</v>
      </c>
      <c r="Y48" s="550">
        <v>22</v>
      </c>
      <c r="Z48" s="550">
        <v>23</v>
      </c>
      <c r="AA48" s="550">
        <v>24</v>
      </c>
      <c r="AB48" s="550">
        <v>25</v>
      </c>
      <c r="AC48" s="550">
        <v>26</v>
      </c>
      <c r="AD48" s="550">
        <v>27</v>
      </c>
    </row>
    <row r="49" spans="1:30" x14ac:dyDescent="0.2">
      <c r="A49" s="316"/>
      <c r="D49">
        <v>2005</v>
      </c>
      <c r="E49">
        <v>2006</v>
      </c>
      <c r="F49">
        <v>2007</v>
      </c>
      <c r="G49">
        <v>2008</v>
      </c>
      <c r="H49">
        <v>2009</v>
      </c>
      <c r="I49">
        <v>2010</v>
      </c>
      <c r="J49">
        <v>2011</v>
      </c>
      <c r="K49">
        <v>2012</v>
      </c>
      <c r="L49">
        <v>2013</v>
      </c>
      <c r="M49" s="355">
        <v>2014</v>
      </c>
      <c r="N49">
        <v>2015</v>
      </c>
      <c r="O49">
        <v>2016</v>
      </c>
      <c r="P49" s="278">
        <v>2017</v>
      </c>
      <c r="Q49">
        <v>2018</v>
      </c>
      <c r="R49">
        <v>2019</v>
      </c>
      <c r="S49">
        <v>2020</v>
      </c>
      <c r="T49">
        <v>2021</v>
      </c>
      <c r="U49">
        <v>2022</v>
      </c>
      <c r="V49">
        <v>2023</v>
      </c>
      <c r="W49">
        <v>2024</v>
      </c>
      <c r="X49">
        <v>2025</v>
      </c>
      <c r="Y49">
        <v>2026</v>
      </c>
      <c r="Z49">
        <v>2027</v>
      </c>
      <c r="AA49">
        <v>2028</v>
      </c>
      <c r="AB49">
        <v>2029</v>
      </c>
      <c r="AC49">
        <v>2030</v>
      </c>
      <c r="AD49">
        <v>2031</v>
      </c>
    </row>
    <row r="50" spans="1:30" s="188" customFormat="1" x14ac:dyDescent="0.2">
      <c r="A50" s="637"/>
      <c r="C50" s="188" t="s">
        <v>238</v>
      </c>
      <c r="D50" s="188">
        <f>D39</f>
        <v>6354.72</v>
      </c>
      <c r="E50" s="188">
        <f t="shared" ref="E50:K50" si="6">E39</f>
        <v>9348.6</v>
      </c>
      <c r="F50" s="188">
        <f t="shared" si="6"/>
        <v>10389.6</v>
      </c>
      <c r="G50" s="188">
        <f t="shared" si="6"/>
        <v>16236.9</v>
      </c>
      <c r="H50" s="188">
        <f t="shared" si="6"/>
        <v>22918.6</v>
      </c>
      <c r="I50" s="188">
        <f t="shared" si="6"/>
        <v>20244.400000000001</v>
      </c>
      <c r="J50" s="188">
        <f t="shared" si="6"/>
        <v>20529.2</v>
      </c>
      <c r="K50" s="188">
        <f t="shared" si="6"/>
        <v>24959.200000000001</v>
      </c>
      <c r="L50" s="188">
        <f>L39</f>
        <v>21364.5</v>
      </c>
      <c r="M50" s="469">
        <f>M39</f>
        <v>18437.3</v>
      </c>
      <c r="N50" s="188">
        <f>N39</f>
        <v>19685.3</v>
      </c>
      <c r="O50" s="188">
        <f>O39</f>
        <v>17757.099999999999</v>
      </c>
      <c r="P50" s="383">
        <f>P39</f>
        <v>16484.900000000001</v>
      </c>
      <c r="Q50" s="188">
        <f>Q53-Q51</f>
        <v>33201.734754709847</v>
      </c>
      <c r="R50" s="188">
        <f t="shared" ref="R50:AD50" si="7">R53-R51</f>
        <v>40973.538979424498</v>
      </c>
      <c r="S50" s="188">
        <f t="shared" si="7"/>
        <v>-1142.6287186313712</v>
      </c>
      <c r="T50" s="188">
        <f t="shared" si="7"/>
        <v>3618.1165691870992</v>
      </c>
      <c r="U50" s="188">
        <f t="shared" si="7"/>
        <v>8886.5202793232893</v>
      </c>
      <c r="V50" s="188">
        <f t="shared" si="7"/>
        <v>14869.063828474202</v>
      </c>
      <c r="W50" s="188">
        <f t="shared" si="7"/>
        <v>21790.944477191559</v>
      </c>
      <c r="X50" s="188">
        <f t="shared" si="7"/>
        <v>29587.983985701634</v>
      </c>
      <c r="Y50" s="188">
        <f t="shared" si="7"/>
        <v>38368.820180995041</v>
      </c>
      <c r="Z50" s="188">
        <f t="shared" si="7"/>
        <v>47416.665198573755</v>
      </c>
      <c r="AA50" s="188">
        <f t="shared" si="7"/>
        <v>56788.526076786613</v>
      </c>
      <c r="AB50" s="188">
        <f t="shared" si="7"/>
        <v>66892.638918386467</v>
      </c>
      <c r="AC50" s="188">
        <f t="shared" si="7"/>
        <v>77779.63666954881</v>
      </c>
      <c r="AD50" s="188">
        <f t="shared" si="7"/>
        <v>89503.537337716451</v>
      </c>
    </row>
    <row r="51" spans="1:30" s="188" customFormat="1" x14ac:dyDescent="0.2">
      <c r="A51" s="637"/>
      <c r="C51" s="188" t="s">
        <v>239</v>
      </c>
      <c r="D51" s="188">
        <f>INDEX(SobDohSopost,[1]!NscenSobDoh,D48)*D4</f>
        <v>27330.28</v>
      </c>
      <c r="E51" s="188">
        <f>INDEX(SobDohSopost,[1]!NscenSobDoh,E48)*E4</f>
        <v>29918.800000000003</v>
      </c>
      <c r="F51" s="188">
        <f>INDEX(SobDohSopost,[1]!NscenSobDoh,F48)*F4</f>
        <v>18246.699999999997</v>
      </c>
      <c r="G51" s="188">
        <f>INDEX(SobDohSopost,[1]!NscenSobDoh,G48)*G4</f>
        <v>32258.803107716158</v>
      </c>
      <c r="H51" s="188">
        <f>INDEX(SobDohSopost,[1]!NscenSobDoh,H48)*H4</f>
        <v>29076.918920663182</v>
      </c>
      <c r="I51" s="188">
        <f>INDEX(SobDohSopost,[1]!NscenSobDoh,I48)*I4</f>
        <v>35933.887654101258</v>
      </c>
      <c r="J51" s="188">
        <f>INDEX(SobDohSopost,[1]!NscenSobDoh,J48)*J4</f>
        <v>39804.715747163704</v>
      </c>
      <c r="K51" s="188">
        <f>INDEX(SobDohSopost,[1]!NscenSobDoh,K48)*K4</f>
        <v>37852.446476957703</v>
      </c>
      <c r="L51" s="188">
        <f>INDEX(SobDohSopost,[1]!NscenSobDoh,L48)*L4</f>
        <v>47618.983734247035</v>
      </c>
      <c r="M51" s="188">
        <f>INDEX(SobDohSopost,[1]!NscenSobDoh,M48)*M4</f>
        <v>49501.388588084068</v>
      </c>
      <c r="N51" s="188">
        <f>INDEX(SobDohSopost,[1]!NscenSobDoh,N48)*N4</f>
        <v>54674.229166238387</v>
      </c>
      <c r="O51" s="188">
        <f>INDEX(SobDohSopost,[1]!NscenSobDoh,O48)*O4</f>
        <v>62517.231679708639</v>
      </c>
      <c r="P51" s="383">
        <f>INDEX(SobDohSopost,[1]!NscenSobDoh,P48)*P4</f>
        <v>71303.468876138097</v>
      </c>
      <c r="Q51" s="612">
        <f>INDEX(SobDohSopost,[1]!NscenSobDoh,Q48)*Q4+[1]рынок!S88*0</f>
        <v>77866.418410170023</v>
      </c>
      <c r="R51" s="188">
        <f>INDEX(SobDohSopost,[1]!NscenSobDoh,R48)*R4+[1]рынок!T88*0</f>
        <v>83062.833842772714</v>
      </c>
      <c r="S51" s="188">
        <f>INDEX(SobDohSopost,[1]!NscenSobDoh,S48)*S4+[1]рынок!U88*0</f>
        <v>87019.531932873186</v>
      </c>
      <c r="T51" s="188">
        <f>INDEX(SobDohSopost,[1]!NscenSobDoh,T48)*T4+[1]рынок!V88*0</f>
        <v>89793.497062063354</v>
      </c>
      <c r="U51" s="188">
        <f>INDEX(SobDohSopost,[1]!NscenSobDoh,U48)*U4+[1]рынок!W88*0</f>
        <v>92098.496131646534</v>
      </c>
      <c r="V51" s="188">
        <f>INDEX(SobDohSopost,[1]!NscenSobDoh,V48)*V4+[1]рынок!X88*0</f>
        <v>95562.090324917415</v>
      </c>
      <c r="W51" s="188">
        <f>INDEX(SobDohSopost,[1]!NscenSobDoh,W48)*W4+[1]рынок!Y88*0</f>
        <v>100068.55959941472</v>
      </c>
      <c r="X51" s="188">
        <f>INDEX(SobDohSopost,[1]!NscenSobDoh,X48)*X4+[1]рынок!Z88*0</f>
        <v>104500.84627547179</v>
      </c>
      <c r="Y51" s="188">
        <f>INDEX(SobDohSopost,[1]!NscenSobDoh,Y48)*Y4+[1]рынок!AA88*0</f>
        <v>109037.63556559046</v>
      </c>
      <c r="Z51" s="188">
        <f>INDEX(SobDohSopost,[1]!NscenSobDoh,Z48)*Z4+[1]рынок!AB88*0</f>
        <v>111784.5661995766</v>
      </c>
      <c r="AA51" s="188">
        <f>INDEX(SobDohSopost,[1]!NscenSobDoh,AA48)*AA4+[1]рынок!AC88*0</f>
        <v>113533.15627635345</v>
      </c>
      <c r="AB51" s="188">
        <f>INDEX(SobDohSopost,[1]!NscenSobDoh,AB48)*AB4+[1]рынок!AD88*0</f>
        <v>115309.0986734063</v>
      </c>
      <c r="AC51" s="188">
        <f>INDEX(SobDohSopost,[1]!NscenSobDoh,AC48)*AC4+[1]рынок!AE88*0</f>
        <v>117112.82124940504</v>
      </c>
      <c r="AD51" s="188">
        <f>INDEX(SobDohSopost,[1]!NscenSobDoh,AD48)*AD4+[1]рынок!AF88*0</f>
        <v>118944.75855579884</v>
      </c>
    </row>
    <row r="52" spans="1:30" s="188" customFormat="1" x14ac:dyDescent="0.2">
      <c r="A52" s="637"/>
      <c r="C52" s="188" t="s">
        <v>240</v>
      </c>
      <c r="D52" s="188">
        <f t="shared" ref="D52:K52" si="8">D41</f>
        <v>18.865132848448866</v>
      </c>
      <c r="E52" s="188">
        <f t="shared" si="8"/>
        <v>23.807535003590765</v>
      </c>
      <c r="F52" s="188">
        <f t="shared" si="8"/>
        <v>36.281223482083931</v>
      </c>
      <c r="G52" s="188">
        <f t="shared" si="8"/>
        <v>42.360040385383002</v>
      </c>
      <c r="H52" s="188">
        <f t="shared" si="8"/>
        <v>56.163540969786972</v>
      </c>
      <c r="I52" s="188">
        <f t="shared" si="8"/>
        <v>46.283599185183327</v>
      </c>
      <c r="J52" s="188">
        <f t="shared" si="8"/>
        <v>44.112294122070971</v>
      </c>
      <c r="K52" s="188">
        <f t="shared" si="8"/>
        <v>52.414262344311425</v>
      </c>
      <c r="L52" s="188">
        <f>L41</f>
        <v>40.772491235569937</v>
      </c>
      <c r="M52" s="469">
        <f>M41</f>
        <v>37.268001018753971</v>
      </c>
      <c r="N52" s="188">
        <f>N41</f>
        <v>37.011000663687284</v>
      </c>
      <c r="O52" s="188">
        <f>O41</f>
        <v>31.953264317886131</v>
      </c>
      <c r="P52" s="383">
        <f>P41</f>
        <v>28.035401179925955</v>
      </c>
      <c r="Q52" s="188">
        <f>INDEX(ScenDoliFB,[1]!NScenDoliFB,Q48)</f>
        <v>28.035401179925955</v>
      </c>
      <c r="R52" s="188">
        <f>INDEX(ScenDoliFB,[1]!NScenDoliFB,R48)</f>
        <v>28.035401179925955</v>
      </c>
      <c r="S52" s="188">
        <f>INDEX(ScenDoliFB,[1]!NScenDoliFB,S48)</f>
        <v>28.035401179925955</v>
      </c>
      <c r="T52" s="188">
        <f>INDEX(ScenDoliFB,[1]!NScenDoliFB,T48)</f>
        <v>28.035401179925955</v>
      </c>
      <c r="U52" s="188">
        <f>INDEX(ScenDoliFB,[1]!NScenDoliFB,U48)</f>
        <v>28.035401179925955</v>
      </c>
      <c r="V52" s="188">
        <f>INDEX(ScenDoliFB,[1]!NScenDoliFB,V48)</f>
        <v>28.035401179925955</v>
      </c>
      <c r="W52" s="188">
        <f>INDEX(ScenDoliFB,[1]!NScenDoliFB,W48)</f>
        <v>28.035401179925955</v>
      </c>
      <c r="X52" s="188">
        <f>INDEX(ScenDoliFB,[1]!NScenDoliFB,X48)</f>
        <v>28.035401179925955</v>
      </c>
      <c r="Y52" s="188">
        <f>INDEX(ScenDoliFB,[1]!NScenDoliFB,Y48)</f>
        <v>28.035401179925955</v>
      </c>
      <c r="Z52" s="188">
        <f>INDEX(ScenDoliFB,[1]!NScenDoliFB,Z48)</f>
        <v>28.035401179925955</v>
      </c>
      <c r="AA52" s="188">
        <f>INDEX(ScenDoliFB,[1]!NScenDoliFB,AA48)</f>
        <v>28.035401179925955</v>
      </c>
      <c r="AB52" s="188">
        <f>INDEX(ScenDoliFB,[1]!NScenDoliFB,AB48)</f>
        <v>28.035401179925955</v>
      </c>
      <c r="AC52" s="188">
        <f>INDEX(ScenDoliFB,[1]!NScenDoliFB,AC48)</f>
        <v>28.035401179925955</v>
      </c>
      <c r="AD52" s="188">
        <f>INDEX(ScenDoliFB,[1]!NScenDoliFB,AD48)</f>
        <v>28.035401179925955</v>
      </c>
    </row>
    <row r="53" spans="1:30" s="188" customFormat="1" x14ac:dyDescent="0.2">
      <c r="A53" s="618"/>
      <c r="C53" s="596" t="s">
        <v>321</v>
      </c>
      <c r="D53" s="188">
        <f>D67</f>
        <v>33685</v>
      </c>
      <c r="E53" s="188">
        <f t="shared" ref="E53:AD53" si="9">E67</f>
        <v>39267.4</v>
      </c>
      <c r="F53" s="188">
        <f t="shared" si="9"/>
        <v>28636.299999999996</v>
      </c>
      <c r="G53" s="188">
        <f t="shared" si="9"/>
        <v>38330.699999999997</v>
      </c>
      <c r="H53" s="188">
        <f t="shared" si="9"/>
        <v>40806.9</v>
      </c>
      <c r="I53" s="188">
        <f t="shared" si="9"/>
        <v>60462.659567626572</v>
      </c>
      <c r="J53" s="188">
        <f t="shared" si="9"/>
        <v>65083.234683954623</v>
      </c>
      <c r="K53" s="188">
        <f t="shared" si="9"/>
        <v>67742.778096197129</v>
      </c>
      <c r="L53" s="188">
        <f t="shared" si="9"/>
        <v>74681.269667808796</v>
      </c>
      <c r="M53" s="188">
        <f t="shared" si="9"/>
        <v>74107.055735105081</v>
      </c>
      <c r="N53" s="188">
        <f t="shared" si="9"/>
        <v>81327.606457797985</v>
      </c>
      <c r="O53" s="188">
        <f t="shared" si="9"/>
        <v>88340.63959963579</v>
      </c>
      <c r="P53" s="383">
        <f t="shared" si="9"/>
        <v>97151.156095172599</v>
      </c>
      <c r="Q53" s="188">
        <f t="shared" si="9"/>
        <v>111068.15316487987</v>
      </c>
      <c r="R53" s="188">
        <f t="shared" si="9"/>
        <v>124036.37282219721</v>
      </c>
      <c r="S53" s="188">
        <f t="shared" si="9"/>
        <v>85876.903214241815</v>
      </c>
      <c r="T53" s="188">
        <f t="shared" si="9"/>
        <v>93411.613631250453</v>
      </c>
      <c r="U53" s="188">
        <f t="shared" si="9"/>
        <v>100985.01641096982</v>
      </c>
      <c r="V53" s="188">
        <f t="shared" si="9"/>
        <v>110431.15415339162</v>
      </c>
      <c r="W53" s="188">
        <f t="shared" si="9"/>
        <v>121859.50407660627</v>
      </c>
      <c r="X53" s="188">
        <f t="shared" si="9"/>
        <v>134088.83026117343</v>
      </c>
      <c r="Y53" s="188">
        <f t="shared" si="9"/>
        <v>147406.4557465855</v>
      </c>
      <c r="Z53" s="188">
        <f t="shared" si="9"/>
        <v>159201.23139815035</v>
      </c>
      <c r="AA53" s="188">
        <f t="shared" si="9"/>
        <v>170321.68235314006</v>
      </c>
      <c r="AB53" s="188">
        <f t="shared" si="9"/>
        <v>182201.73759179277</v>
      </c>
      <c r="AC53" s="188">
        <f t="shared" si="9"/>
        <v>194892.45791895385</v>
      </c>
      <c r="AD53" s="188">
        <f t="shared" si="9"/>
        <v>208448.29589351529</v>
      </c>
    </row>
    <row r="54" spans="1:30" s="188" customFormat="1" x14ac:dyDescent="0.2">
      <c r="C54" s="596"/>
      <c r="P54" s="383"/>
    </row>
    <row r="55" spans="1:30" s="188" customFormat="1" x14ac:dyDescent="0.2">
      <c r="C55" s="596"/>
      <c r="P55" s="383"/>
    </row>
    <row r="56" spans="1:30" s="188" customFormat="1" ht="15" x14ac:dyDescent="0.35">
      <c r="C56" s="647" t="s">
        <v>339</v>
      </c>
      <c r="E56" s="648" t="s">
        <v>361</v>
      </c>
      <c r="F56" s="617">
        <f>[3]!NscenTransInvest</f>
        <v>4</v>
      </c>
      <c r="P56" s="383"/>
    </row>
    <row r="57" spans="1:30" s="188" customFormat="1" ht="15" x14ac:dyDescent="0.35">
      <c r="C57" s="647"/>
      <c r="E57" s="648"/>
      <c r="F57" s="654"/>
      <c r="P57" s="383"/>
    </row>
    <row r="58" spans="1:30" s="188" customFormat="1" x14ac:dyDescent="0.2">
      <c r="C58" s="596"/>
      <c r="D58" s="550">
        <v>2005</v>
      </c>
      <c r="E58" s="550">
        <v>2006</v>
      </c>
      <c r="F58" s="550">
        <v>2007</v>
      </c>
      <c r="G58" s="550">
        <v>2008</v>
      </c>
      <c r="H58" s="550">
        <v>2009</v>
      </c>
      <c r="I58" s="550">
        <v>2010</v>
      </c>
      <c r="J58" s="550">
        <v>2011</v>
      </c>
      <c r="K58" s="550">
        <v>2012</v>
      </c>
      <c r="L58" s="550">
        <v>2013</v>
      </c>
      <c r="M58" s="355">
        <v>2014</v>
      </c>
      <c r="N58" s="550">
        <v>2015</v>
      </c>
      <c r="O58" s="550">
        <v>2016</v>
      </c>
      <c r="P58" s="278">
        <v>2017</v>
      </c>
      <c r="Q58" s="550">
        <v>2018</v>
      </c>
      <c r="R58" s="550">
        <v>2019</v>
      </c>
      <c r="S58" s="550">
        <v>2020</v>
      </c>
      <c r="T58" s="550">
        <v>2021</v>
      </c>
      <c r="U58" s="550">
        <v>2022</v>
      </c>
      <c r="V58" s="550">
        <v>2023</v>
      </c>
      <c r="W58" s="550">
        <v>2024</v>
      </c>
      <c r="X58" s="550">
        <v>2025</v>
      </c>
      <c r="Y58" s="550">
        <v>2026</v>
      </c>
      <c r="Z58" s="550">
        <v>2027</v>
      </c>
      <c r="AA58" s="550">
        <v>2028</v>
      </c>
      <c r="AB58" s="550">
        <v>2029</v>
      </c>
      <c r="AC58" s="550">
        <v>2030</v>
      </c>
      <c r="AD58" s="550">
        <v>2031</v>
      </c>
    </row>
    <row r="59" spans="1:30" s="188" customFormat="1" x14ac:dyDescent="0.2">
      <c r="C59" s="596"/>
      <c r="D59" s="550"/>
      <c r="E59" s="550"/>
      <c r="F59" s="550"/>
      <c r="G59" s="550"/>
      <c r="H59" s="550"/>
      <c r="I59" s="550"/>
      <c r="J59" s="550"/>
      <c r="K59" s="550"/>
      <c r="L59" s="550"/>
      <c r="M59" s="355"/>
      <c r="N59" s="550"/>
      <c r="O59" s="550"/>
      <c r="P59" s="278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50"/>
      <c r="AD59" s="550"/>
    </row>
    <row r="60" spans="1:30" s="188" customFormat="1" x14ac:dyDescent="0.2">
      <c r="C60" s="596" t="s">
        <v>343</v>
      </c>
      <c r="D60" s="188">
        <f>INDEX(TransFB1,[3]!NscenTransInvest,D$48)</f>
        <v>6354.72</v>
      </c>
      <c r="E60" s="188">
        <f t="shared" ref="E60:AD60" si="10">INDEX(TransFB1,$F$56,E$48)</f>
        <v>9348.6</v>
      </c>
      <c r="F60" s="188">
        <f t="shared" si="10"/>
        <v>10389.6</v>
      </c>
      <c r="G60" s="188">
        <f t="shared" si="10"/>
        <v>16236.9</v>
      </c>
      <c r="H60" s="188">
        <f t="shared" si="10"/>
        <v>22918.6</v>
      </c>
      <c r="I60" s="188">
        <f t="shared" si="10"/>
        <v>20244.400000000001</v>
      </c>
      <c r="J60" s="188">
        <f t="shared" si="10"/>
        <v>20529.2</v>
      </c>
      <c r="K60" s="188">
        <f t="shared" si="10"/>
        <v>24959.200000000001</v>
      </c>
      <c r="L60" s="188">
        <f t="shared" si="10"/>
        <v>21364.5</v>
      </c>
      <c r="M60" s="188">
        <f t="shared" si="10"/>
        <v>18437.3</v>
      </c>
      <c r="N60" s="188">
        <f t="shared" si="10"/>
        <v>19685.3</v>
      </c>
      <c r="O60" s="188">
        <f t="shared" si="10"/>
        <v>17757.099999999999</v>
      </c>
      <c r="P60" s="383">
        <f t="shared" si="10"/>
        <v>16484.900000000001</v>
      </c>
      <c r="Q60" s="188">
        <f t="shared" si="10"/>
        <v>19334.359748999996</v>
      </c>
      <c r="R60" s="188">
        <f t="shared" si="10"/>
        <v>22131.565099105173</v>
      </c>
      <c r="S60" s="188">
        <f t="shared" si="10"/>
        <v>24859.445558062944</v>
      </c>
      <c r="T60" s="188">
        <f t="shared" si="10"/>
        <v>27482.250633749165</v>
      </c>
      <c r="U60" s="188">
        <f t="shared" si="10"/>
        <v>30176.880551653434</v>
      </c>
      <c r="V60" s="188">
        <f t="shared" si="10"/>
        <v>33498.114542244366</v>
      </c>
      <c r="W60" s="188">
        <f t="shared" si="10"/>
        <v>37502.426142983313</v>
      </c>
      <c r="X60" s="188">
        <f t="shared" si="10"/>
        <v>41844.365540756713</v>
      </c>
      <c r="Y60" s="188">
        <f t="shared" si="10"/>
        <v>46621.998482352617</v>
      </c>
      <c r="Z60" s="188">
        <f t="shared" si="10"/>
        <v>51009.116524996367</v>
      </c>
      <c r="AA60" s="188">
        <f t="shared" si="10"/>
        <v>55259.368185540814</v>
      </c>
      <c r="AB60" s="188">
        <f t="shared" si="10"/>
        <v>59832.966474550994</v>
      </c>
      <c r="AC60" s="188">
        <f t="shared" si="10"/>
        <v>64753.269835767205</v>
      </c>
      <c r="AD60" s="188">
        <f t="shared" si="10"/>
        <v>70045.26936704632</v>
      </c>
    </row>
    <row r="61" spans="1:30" s="188" customFormat="1" x14ac:dyDescent="0.2">
      <c r="C61" s="596" t="s">
        <v>340</v>
      </c>
      <c r="D61" s="188">
        <f>INDEX(TransFB2,[3]!NscenTransInvest,D$48)</f>
        <v>0</v>
      </c>
      <c r="E61" s="188">
        <f>INDEX(TransFB2,[3]!NscenTransInvest,E$48)</f>
        <v>0</v>
      </c>
      <c r="F61" s="188">
        <f>INDEX(TransFB2,[3]!NscenTransInvest,F$48)</f>
        <v>0</v>
      </c>
      <c r="G61" s="188">
        <f>INDEX(TransFB2,[3]!NscenTransInvest,G$48)</f>
        <v>0</v>
      </c>
      <c r="H61" s="188">
        <f>INDEX(TransFB2,[3]!NscenTransInvest,H$48)</f>
        <v>0</v>
      </c>
      <c r="I61" s="188">
        <f>INDEX(TransFB2,[3]!NscenTransInvest,I$48)</f>
        <v>15547.984567626569</v>
      </c>
      <c r="J61" s="188">
        <f>INDEX(TransFB2,[3]!NscenTransInvest,J$48)</f>
        <v>17244.269683954626</v>
      </c>
      <c r="K61" s="188">
        <f>INDEX(TransFB2,[3]!NscenTransInvest,K$48)</f>
        <v>18990.683096197132</v>
      </c>
      <c r="L61" s="188">
        <f>INDEX(TransFB2,[3]!NscenTransInvest,L$48)</f>
        <v>20730.229667808788</v>
      </c>
      <c r="M61" s="188">
        <f>INDEX(TransFB2,[3]!NscenTransInvest,M$48)</f>
        <v>23083.110735105085</v>
      </c>
      <c r="N61" s="188">
        <f>INDEX(TransFB2,[3]!NscenTransInvest,N$48)</f>
        <v>26464.786457797978</v>
      </c>
      <c r="O61" s="188">
        <f>INDEX(TransFB2,[3]!NscenTransInvest,O$48)</f>
        <v>30877.789599635791</v>
      </c>
      <c r="P61" s="383">
        <f>INDEX(TransFB2,[3]!NscenTransInvest,P$48)</f>
        <v>36235.086095172599</v>
      </c>
      <c r="Q61" s="188">
        <f>INDEX(TransFB2,[3]!NscenTransInvest,Q$48)</f>
        <v>41434.820949829867</v>
      </c>
      <c r="R61" s="188">
        <f>INDEX(TransFB2,[3]!NscenTransInvest,R$48)</f>
        <v>46282.69500095996</v>
      </c>
      <c r="S61" s="188">
        <f>INDEX(TransFB2,[3]!NscenTransInvest,S$48)</f>
        <v>0</v>
      </c>
      <c r="T61" s="188">
        <f>INDEX(TransFB2,[3]!NscenTransInvest,T$48)</f>
        <v>0</v>
      </c>
      <c r="U61" s="188">
        <f>INDEX(TransFB2,[3]!NscenTransInvest,U$48)</f>
        <v>0</v>
      </c>
      <c r="V61" s="188">
        <f>INDEX(TransFB2,[3]!NscenTransInvest,V$48)</f>
        <v>0</v>
      </c>
      <c r="W61" s="188">
        <f>INDEX(TransFB2,[3]!NscenTransInvest,W$48)</f>
        <v>0</v>
      </c>
      <c r="X61" s="188">
        <f>INDEX(TransFB2,[3]!NscenTransInvest,X$48)</f>
        <v>0</v>
      </c>
      <c r="Y61" s="188">
        <f>INDEX(TransFB2,[3]!NscenTransInvest,Y$48)</f>
        <v>0</v>
      </c>
      <c r="Z61" s="188">
        <f>INDEX(TransFB2,[3]!NscenTransInvest,Z$48)</f>
        <v>0</v>
      </c>
      <c r="AA61" s="188">
        <f>INDEX(TransFB2,[3]!NscenTransInvest,AA$48)</f>
        <v>0</v>
      </c>
      <c r="AB61" s="188">
        <f>INDEX(TransFB2,[3]!NscenTransInvest,AB$48)</f>
        <v>0</v>
      </c>
      <c r="AC61" s="188">
        <f>INDEX(TransFB2,[3]!NscenTransInvest,AC$48)</f>
        <v>0</v>
      </c>
      <c r="AD61" s="188">
        <f>INDEX(TransFB2,[3]!NscenTransInvest,AD$48)</f>
        <v>0</v>
      </c>
    </row>
    <row r="62" spans="1:30" s="188" customFormat="1" x14ac:dyDescent="0.2">
      <c r="C62" s="596" t="s">
        <v>341</v>
      </c>
      <c r="D62" s="188">
        <f>INDEX(DohodKBneS,[3]!NscenTransInvest,D$48)</f>
        <v>27330.28</v>
      </c>
      <c r="E62" s="188">
        <f>INDEX(DohodKBneS,[3]!NscenTransInvest,E$48)</f>
        <v>29918.800000000003</v>
      </c>
      <c r="F62" s="188">
        <f>INDEX(DohodKBneS,[3]!NscenTransInvest,F$48)</f>
        <v>18246.699999999997</v>
      </c>
      <c r="G62" s="188">
        <f>INDEX(DohodKBneS,[3]!NscenTransInvest,G$48)</f>
        <v>22093.799999999996</v>
      </c>
      <c r="H62" s="188">
        <f>INDEX(DohodKBneS,[3]!NscenTransInvest,H$48)</f>
        <v>17888.300000000003</v>
      </c>
      <c r="I62" s="188">
        <f>INDEX(DohodKBneS,[3]!NscenTransInvest,I$48)</f>
        <v>24670.274999999998</v>
      </c>
      <c r="J62" s="188">
        <f>INDEX(DohodKBneS,[3]!NscenTransInvest,J$48)</f>
        <v>27309.765000000003</v>
      </c>
      <c r="K62" s="188">
        <f>INDEX(DohodKBneS,[3]!NscenTransInvest,K$48)</f>
        <v>23792.895</v>
      </c>
      <c r="L62" s="188">
        <f>INDEX(DohodKBneS,[3]!NscenTransInvest,L$48)</f>
        <v>32586.540000000005</v>
      </c>
      <c r="M62" s="188">
        <f>INDEX(DohodKBneS,[3]!NscenTransInvest,M$48)</f>
        <v>32586.645</v>
      </c>
      <c r="N62" s="188">
        <f>INDEX(DohodKBneS,[3]!NscenTransInvest,N$48)</f>
        <v>35177.519999999997</v>
      </c>
      <c r="O62" s="188">
        <f>INDEX(DohodKBneS,[3]!NscenTransInvest,O$48)</f>
        <v>39705.75</v>
      </c>
      <c r="P62" s="383">
        <f>INDEX(DohodKBneS,[3]!NscenTransInvest,P$48)</f>
        <v>44431.170000000006</v>
      </c>
      <c r="Q62" s="188">
        <f>INDEX(DohodKBneS,[3]!NscenTransInvest,Q$48)</f>
        <v>50298.972466050007</v>
      </c>
      <c r="R62" s="188">
        <f>INDEX(DohodKBneS,[3]!NscenTransInvest,R$48)</f>
        <v>55622.112722132071</v>
      </c>
      <c r="S62" s="188">
        <f>INDEX(DohodKBneS,[3]!NscenTransInvest,S$48)</f>
        <v>61017.457656178878</v>
      </c>
      <c r="T62" s="188">
        <f>INDEX(DohodKBneS,[3]!NscenTransInvest,T$48)</f>
        <v>65929.362997501288</v>
      </c>
      <c r="U62" s="188">
        <f>INDEX(DohodKBneS,[3]!NscenTransInvest,U$48)</f>
        <v>70808.13585931639</v>
      </c>
      <c r="V62" s="188">
        <f>INDEX(DohodKBneS,[3]!NscenTransInvest,V$48)</f>
        <v>76933.039611147251</v>
      </c>
      <c r="W62" s="188">
        <f>INDEX(DohodKBneS,[3]!NscenTransInvest,W$48)</f>
        <v>84357.077933622961</v>
      </c>
      <c r="X62" s="188">
        <f>INDEX(DohodKBneS,[3]!NscenTransInvest,X$48)</f>
        <v>92244.464720416712</v>
      </c>
      <c r="Y62" s="188">
        <f>INDEX(DohodKBneS,[3]!NscenTransInvest,Y$48)</f>
        <v>100784.45726423289</v>
      </c>
      <c r="Z62" s="188">
        <f>INDEX(DohodKBneS,[3]!NscenTransInvest,Z$48)</f>
        <v>108192.11487315399</v>
      </c>
      <c r="AA62" s="188">
        <f>INDEX(DohodKBneS,[3]!NscenTransInvest,AA$48)</f>
        <v>115062.31416759925</v>
      </c>
      <c r="AB62" s="188">
        <f>INDEX(DohodKBneS,[3]!NscenTransInvest,AB$48)</f>
        <v>122368.77111724179</v>
      </c>
      <c r="AC62" s="188">
        <f>INDEX(DohodKBneS,[3]!NscenTransInvest,AC$48)</f>
        <v>130139.18808318663</v>
      </c>
      <c r="AD62" s="188">
        <f>INDEX(DohodKBneS,[3]!NscenTransInvest,AD$48)</f>
        <v>138403.02652646898</v>
      </c>
    </row>
    <row r="63" spans="1:30" s="188" customFormat="1" x14ac:dyDescent="0.2">
      <c r="C63" s="596" t="s">
        <v>342</v>
      </c>
      <c r="D63" s="188">
        <f>INDEX(DohodKBnewEk,[3]!NscenTransInvest,D$48)</f>
        <v>0</v>
      </c>
      <c r="E63" s="188">
        <f>INDEX(DohodKBnewEk,[3]!NscenTransInvest,E$48)</f>
        <v>0</v>
      </c>
      <c r="F63" s="188">
        <f>INDEX(DohodKBnewEk,[3]!NscenTransInvest,F$48)</f>
        <v>0</v>
      </c>
      <c r="G63" s="188">
        <f>INDEX(DohodKBnewEk,[3]!NscenTransInvest,G$48)</f>
        <v>0</v>
      </c>
      <c r="H63" s="188">
        <f>INDEX(DohodKBnewEk,[3]!NscenTransInvest,H$48)</f>
        <v>0</v>
      </c>
      <c r="I63" s="188">
        <f>INDEX(DohodKBnewEk,[3]!NscenTransInvest,I$48)</f>
        <v>0</v>
      </c>
      <c r="J63" s="188">
        <f>INDEX(DohodKBnewEk,[3]!NscenTransInvest,J$48)</f>
        <v>0</v>
      </c>
      <c r="K63" s="188">
        <f>INDEX(DohodKBnewEk,[3]!NscenTransInvest,K$48)</f>
        <v>0</v>
      </c>
      <c r="L63" s="188">
        <f>INDEX(DohodKBnewEk,[3]!NscenTransInvest,L$48)</f>
        <v>0</v>
      </c>
      <c r="M63" s="188">
        <f>INDEX(DohodKBnewEk,[3]!NscenTransInvest,M$48)</f>
        <v>0</v>
      </c>
      <c r="N63" s="188">
        <f>INDEX(DohodKBnewEk,[3]!NscenTransInvest,N$48)</f>
        <v>0</v>
      </c>
      <c r="O63" s="188">
        <f>INDEX(DohodKBnewEk,[3]!NscenTransInvest,O$48)</f>
        <v>0</v>
      </c>
      <c r="P63" s="383">
        <f>INDEX(DohodKBnewEk,[3]!NscenTransInvest,P$48)</f>
        <v>0</v>
      </c>
      <c r="Q63" s="188">
        <f>INDEX(DohodKBnewEk,[3]!NscenTransInvest,Q$48)</f>
        <v>0</v>
      </c>
      <c r="R63" s="188">
        <f>INDEX(DohodKBnewEk,[3]!NscenTransInvest,R$48)</f>
        <v>0</v>
      </c>
      <c r="S63" s="188">
        <f>INDEX(DohodKBnewEk,[3]!NscenTransInvest,S$48)</f>
        <v>0</v>
      </c>
      <c r="T63" s="188">
        <f>INDEX(DohodKBnewEk,[3]!NscenTransInvest,T$48)</f>
        <v>0</v>
      </c>
      <c r="U63" s="188">
        <f>INDEX(DohodKBnewEk,[3]!NscenTransInvest,U$48)</f>
        <v>0</v>
      </c>
      <c r="V63" s="188">
        <f>INDEX(DohodKBnewEk,[3]!NscenTransInvest,V$48)</f>
        <v>0</v>
      </c>
      <c r="W63" s="188">
        <f>INDEX(DohodKBnewEk,[3]!NscenTransInvest,W$48)</f>
        <v>0</v>
      </c>
      <c r="X63" s="188">
        <f>INDEX(DohodKBnewEk,[3]!NscenTransInvest,X$48)</f>
        <v>0</v>
      </c>
      <c r="Y63" s="188">
        <f>INDEX(DohodKBnewEk,[3]!NscenTransInvest,Y$48)</f>
        <v>0</v>
      </c>
      <c r="Z63" s="188">
        <f>INDEX(DohodKBnewEk,[3]!NscenTransInvest,Z$48)</f>
        <v>0</v>
      </c>
      <c r="AA63" s="188">
        <f>INDEX(DohodKBnewEk,[3]!NscenTransInvest,AA$48)</f>
        <v>0</v>
      </c>
      <c r="AB63" s="188">
        <f>INDEX(DohodKBnewEk,[3]!NscenTransInvest,AB$48)</f>
        <v>0</v>
      </c>
      <c r="AC63" s="188">
        <f>INDEX(DohodKBnewEk,[3]!NscenTransInvest,AC$48)</f>
        <v>0</v>
      </c>
      <c r="AD63" s="188">
        <f>INDEX(DohodKBnewEk,[3]!NscenTransInvest,AD$48)</f>
        <v>0</v>
      </c>
    </row>
    <row r="64" spans="1:30" s="188" customFormat="1" x14ac:dyDescent="0.2">
      <c r="C64" s="596" t="s">
        <v>344</v>
      </c>
      <c r="D64" s="188">
        <f>D60+D61</f>
        <v>6354.72</v>
      </c>
      <c r="E64" s="188">
        <f t="shared" ref="E64:AD64" si="11">E60+E61</f>
        <v>9348.6</v>
      </c>
      <c r="F64" s="188">
        <f t="shared" si="11"/>
        <v>10389.6</v>
      </c>
      <c r="G64" s="188">
        <f t="shared" si="11"/>
        <v>16236.9</v>
      </c>
      <c r="H64" s="188">
        <f t="shared" si="11"/>
        <v>22918.6</v>
      </c>
      <c r="I64" s="188">
        <f t="shared" si="11"/>
        <v>35792.38456762657</v>
      </c>
      <c r="J64" s="188">
        <f t="shared" si="11"/>
        <v>37773.469683954623</v>
      </c>
      <c r="K64" s="188">
        <f t="shared" si="11"/>
        <v>43949.883096197133</v>
      </c>
      <c r="L64" s="188">
        <f t="shared" si="11"/>
        <v>42094.729667808788</v>
      </c>
      <c r="M64" s="188">
        <f t="shared" si="11"/>
        <v>41520.410735105084</v>
      </c>
      <c r="N64" s="188">
        <f t="shared" si="11"/>
        <v>46150.086457797981</v>
      </c>
      <c r="O64" s="188">
        <f t="shared" si="11"/>
        <v>48634.88959963579</v>
      </c>
      <c r="P64" s="383">
        <f t="shared" si="11"/>
        <v>52719.9860951726</v>
      </c>
      <c r="Q64" s="188">
        <f t="shared" si="11"/>
        <v>60769.180698829863</v>
      </c>
      <c r="R64" s="188">
        <f t="shared" si="11"/>
        <v>68414.260100065134</v>
      </c>
      <c r="S64" s="188">
        <f t="shared" si="11"/>
        <v>24859.445558062944</v>
      </c>
      <c r="T64" s="188">
        <f t="shared" si="11"/>
        <v>27482.250633749165</v>
      </c>
      <c r="U64" s="188">
        <f t="shared" si="11"/>
        <v>30176.880551653434</v>
      </c>
      <c r="V64" s="188">
        <f t="shared" si="11"/>
        <v>33498.114542244366</v>
      </c>
      <c r="W64" s="188">
        <f t="shared" si="11"/>
        <v>37502.426142983313</v>
      </c>
      <c r="X64" s="188">
        <f t="shared" si="11"/>
        <v>41844.365540756713</v>
      </c>
      <c r="Y64" s="188">
        <f t="shared" si="11"/>
        <v>46621.998482352617</v>
      </c>
      <c r="Z64" s="188">
        <f t="shared" si="11"/>
        <v>51009.116524996367</v>
      </c>
      <c r="AA64" s="188">
        <f t="shared" si="11"/>
        <v>55259.368185540814</v>
      </c>
      <c r="AB64" s="188">
        <f t="shared" si="11"/>
        <v>59832.966474550994</v>
      </c>
      <c r="AC64" s="188">
        <f t="shared" si="11"/>
        <v>64753.269835767205</v>
      </c>
      <c r="AD64" s="188">
        <f t="shared" si="11"/>
        <v>70045.26936704632</v>
      </c>
    </row>
    <row r="65" spans="3:30" s="188" customFormat="1" x14ac:dyDescent="0.2">
      <c r="C65" s="596" t="s">
        <v>345</v>
      </c>
      <c r="D65" s="188">
        <f>D62+D63</f>
        <v>27330.28</v>
      </c>
      <c r="E65" s="188">
        <f t="shared" ref="E65:AD65" si="12">E62+E63</f>
        <v>29918.800000000003</v>
      </c>
      <c r="F65" s="188">
        <f t="shared" si="12"/>
        <v>18246.699999999997</v>
      </c>
      <c r="G65" s="188">
        <f t="shared" si="12"/>
        <v>22093.799999999996</v>
      </c>
      <c r="H65" s="188">
        <f t="shared" si="12"/>
        <v>17888.300000000003</v>
      </c>
      <c r="I65" s="188">
        <f t="shared" si="12"/>
        <v>24670.274999999998</v>
      </c>
      <c r="J65" s="188">
        <f t="shared" si="12"/>
        <v>27309.765000000003</v>
      </c>
      <c r="K65" s="188">
        <f t="shared" si="12"/>
        <v>23792.895</v>
      </c>
      <c r="L65" s="188">
        <f t="shared" si="12"/>
        <v>32586.540000000005</v>
      </c>
      <c r="M65" s="188">
        <f t="shared" si="12"/>
        <v>32586.645</v>
      </c>
      <c r="N65" s="188">
        <f t="shared" si="12"/>
        <v>35177.519999999997</v>
      </c>
      <c r="O65" s="188">
        <f t="shared" si="12"/>
        <v>39705.75</v>
      </c>
      <c r="P65" s="383">
        <f t="shared" si="12"/>
        <v>44431.170000000006</v>
      </c>
      <c r="Q65" s="188">
        <f t="shared" si="12"/>
        <v>50298.972466050007</v>
      </c>
      <c r="R65" s="188">
        <f t="shared" si="12"/>
        <v>55622.112722132071</v>
      </c>
      <c r="S65" s="188">
        <f t="shared" si="12"/>
        <v>61017.457656178878</v>
      </c>
      <c r="T65" s="188">
        <f t="shared" si="12"/>
        <v>65929.362997501288</v>
      </c>
      <c r="U65" s="188">
        <f t="shared" si="12"/>
        <v>70808.13585931639</v>
      </c>
      <c r="V65" s="188">
        <f t="shared" si="12"/>
        <v>76933.039611147251</v>
      </c>
      <c r="W65" s="188">
        <f t="shared" si="12"/>
        <v>84357.077933622961</v>
      </c>
      <c r="X65" s="188">
        <f t="shared" si="12"/>
        <v>92244.464720416712</v>
      </c>
      <c r="Y65" s="188">
        <f t="shared" si="12"/>
        <v>100784.45726423289</v>
      </c>
      <c r="Z65" s="188">
        <f t="shared" si="12"/>
        <v>108192.11487315399</v>
      </c>
      <c r="AA65" s="188">
        <f t="shared" si="12"/>
        <v>115062.31416759925</v>
      </c>
      <c r="AB65" s="188">
        <f t="shared" si="12"/>
        <v>122368.77111724179</v>
      </c>
      <c r="AC65" s="188">
        <f t="shared" si="12"/>
        <v>130139.18808318663</v>
      </c>
      <c r="AD65" s="188">
        <f t="shared" si="12"/>
        <v>138403.02652646898</v>
      </c>
    </row>
    <row r="66" spans="3:30" s="188" customFormat="1" x14ac:dyDescent="0.2">
      <c r="C66" s="596"/>
      <c r="P66" s="383"/>
    </row>
    <row r="67" spans="3:30" s="188" customFormat="1" x14ac:dyDescent="0.2">
      <c r="C67" s="596" t="s">
        <v>321</v>
      </c>
      <c r="D67" s="188">
        <f>D64+D65</f>
        <v>33685</v>
      </c>
      <c r="E67" s="188">
        <f t="shared" ref="E67:AD67" si="13">E64+E65</f>
        <v>39267.4</v>
      </c>
      <c r="F67" s="188">
        <f t="shared" si="13"/>
        <v>28636.299999999996</v>
      </c>
      <c r="G67" s="188">
        <f t="shared" si="13"/>
        <v>38330.699999999997</v>
      </c>
      <c r="H67" s="188">
        <f t="shared" si="13"/>
        <v>40806.9</v>
      </c>
      <c r="I67" s="188">
        <f t="shared" si="13"/>
        <v>60462.659567626572</v>
      </c>
      <c r="J67" s="188">
        <f t="shared" si="13"/>
        <v>65083.234683954623</v>
      </c>
      <c r="K67" s="188">
        <f t="shared" si="13"/>
        <v>67742.778096197129</v>
      </c>
      <c r="L67" s="188">
        <f t="shared" si="13"/>
        <v>74681.269667808796</v>
      </c>
      <c r="M67" s="188">
        <f t="shared" si="13"/>
        <v>74107.055735105081</v>
      </c>
      <c r="N67" s="188">
        <f t="shared" si="13"/>
        <v>81327.606457797985</v>
      </c>
      <c r="O67" s="188">
        <f t="shared" si="13"/>
        <v>88340.63959963579</v>
      </c>
      <c r="P67" s="383">
        <f t="shared" si="13"/>
        <v>97151.156095172599</v>
      </c>
      <c r="Q67" s="188">
        <f t="shared" si="13"/>
        <v>111068.15316487987</v>
      </c>
      <c r="R67" s="188">
        <f t="shared" si="13"/>
        <v>124036.37282219721</v>
      </c>
      <c r="S67" s="188">
        <f t="shared" si="13"/>
        <v>85876.903214241815</v>
      </c>
      <c r="T67" s="188">
        <f t="shared" si="13"/>
        <v>93411.613631250453</v>
      </c>
      <c r="U67" s="188">
        <f t="shared" si="13"/>
        <v>100985.01641096982</v>
      </c>
      <c r="V67" s="188">
        <f t="shared" si="13"/>
        <v>110431.15415339162</v>
      </c>
      <c r="W67" s="188">
        <f t="shared" si="13"/>
        <v>121859.50407660627</v>
      </c>
      <c r="X67" s="188">
        <f t="shared" si="13"/>
        <v>134088.83026117343</v>
      </c>
      <c r="Y67" s="188">
        <f t="shared" si="13"/>
        <v>147406.4557465855</v>
      </c>
      <c r="Z67" s="188">
        <f t="shared" si="13"/>
        <v>159201.23139815035</v>
      </c>
      <c r="AA67" s="188">
        <f t="shared" si="13"/>
        <v>170321.68235314006</v>
      </c>
      <c r="AB67" s="188">
        <f t="shared" si="13"/>
        <v>182201.73759179277</v>
      </c>
      <c r="AC67" s="188">
        <f t="shared" si="13"/>
        <v>194892.45791895385</v>
      </c>
      <c r="AD67" s="188">
        <f t="shared" si="13"/>
        <v>208448.29589351529</v>
      </c>
    </row>
    <row r="68" spans="3:30" s="188" customFormat="1" x14ac:dyDescent="0.2">
      <c r="C68" s="596"/>
      <c r="P68" s="383"/>
    </row>
    <row r="69" spans="3:30" s="188" customFormat="1" x14ac:dyDescent="0.2">
      <c r="C69" s="596"/>
      <c r="P69" s="383"/>
    </row>
    <row r="70" spans="3:30" s="188" customFormat="1" x14ac:dyDescent="0.2">
      <c r="C70" s="596"/>
      <c r="P70" s="383"/>
    </row>
    <row r="71" spans="3:30" s="188" customFormat="1" x14ac:dyDescent="0.2">
      <c r="C71" s="596"/>
      <c r="P71" s="383"/>
    </row>
    <row r="72" spans="3:30" s="188" customFormat="1" x14ac:dyDescent="0.2">
      <c r="C72" s="596"/>
      <c r="P72" s="383"/>
    </row>
    <row r="73" spans="3:30" s="188" customFormat="1" ht="15" x14ac:dyDescent="0.35">
      <c r="C73" s="647" t="s">
        <v>363</v>
      </c>
      <c r="E73" s="648" t="s">
        <v>361</v>
      </c>
      <c r="F73" s="617">
        <f>[3]!NscenTransInvest</f>
        <v>4</v>
      </c>
      <c r="P73" s="383"/>
    </row>
    <row r="74" spans="3:30" s="188" customFormat="1" ht="15" x14ac:dyDescent="0.35">
      <c r="C74" s="647"/>
      <c r="E74" s="648"/>
      <c r="F74" s="654"/>
      <c r="P74" s="383"/>
    </row>
    <row r="75" spans="3:30" s="188" customFormat="1" x14ac:dyDescent="0.2">
      <c r="C75" s="596"/>
      <c r="D75" s="550">
        <v>2005</v>
      </c>
      <c r="E75" s="550">
        <v>2006</v>
      </c>
      <c r="F75" s="550">
        <v>2007</v>
      </c>
      <c r="G75" s="550">
        <v>2008</v>
      </c>
      <c r="H75" s="550">
        <v>2009</v>
      </c>
      <c r="I75" s="550">
        <v>2010</v>
      </c>
      <c r="J75" s="550">
        <v>2011</v>
      </c>
      <c r="K75" s="550">
        <v>2012</v>
      </c>
      <c r="L75" s="550">
        <v>2013</v>
      </c>
      <c r="M75" s="355">
        <v>2014</v>
      </c>
      <c r="N75" s="550">
        <v>2015</v>
      </c>
      <c r="O75" s="550">
        <v>2016</v>
      </c>
      <c r="P75" s="278">
        <v>2017</v>
      </c>
      <c r="Q75" s="550">
        <v>2018</v>
      </c>
      <c r="R75" s="550">
        <v>2019</v>
      </c>
      <c r="S75" s="550">
        <v>2020</v>
      </c>
      <c r="T75" s="550">
        <v>2021</v>
      </c>
      <c r="U75" s="550">
        <v>2022</v>
      </c>
      <c r="V75" s="550">
        <v>2023</v>
      </c>
      <c r="W75" s="550">
        <v>2024</v>
      </c>
      <c r="X75" s="550">
        <v>2025</v>
      </c>
      <c r="Y75" s="550">
        <v>2026</v>
      </c>
      <c r="Z75" s="550">
        <v>2027</v>
      </c>
      <c r="AA75" s="550">
        <v>2028</v>
      </c>
      <c r="AB75" s="550">
        <v>2029</v>
      </c>
      <c r="AC75" s="550">
        <v>2030</v>
      </c>
      <c r="AD75" s="550">
        <v>2031</v>
      </c>
    </row>
    <row r="76" spans="3:30" s="188" customFormat="1" x14ac:dyDescent="0.2">
      <c r="C76" s="596"/>
      <c r="D76" s="550"/>
      <c r="E76" s="550"/>
      <c r="F76" s="550"/>
      <c r="G76" s="550"/>
      <c r="H76" s="550"/>
      <c r="I76" s="550"/>
      <c r="J76" s="550"/>
      <c r="K76" s="550"/>
      <c r="L76" s="550"/>
      <c r="M76" s="355"/>
      <c r="N76" s="550"/>
      <c r="O76" s="550"/>
      <c r="P76" s="278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</row>
    <row r="77" spans="3:30" s="188" customFormat="1" x14ac:dyDescent="0.2">
      <c r="C77" s="596" t="s">
        <v>343</v>
      </c>
      <c r="D77" s="188">
        <f t="shared" ref="D77:AD77" si="14">D60/D$4</f>
        <v>6354.72</v>
      </c>
      <c r="E77" s="188">
        <f t="shared" si="14"/>
        <v>8623.7719662377203</v>
      </c>
      <c r="F77" s="188">
        <f t="shared" si="14"/>
        <v>8587.8671826528644</v>
      </c>
      <c r="G77" s="188">
        <f t="shared" si="14"/>
        <v>11679.702558071775</v>
      </c>
      <c r="H77" s="188">
        <f t="shared" si="14"/>
        <v>14977.791663858638</v>
      </c>
      <c r="I77" s="188">
        <f t="shared" si="14"/>
        <v>11900.823235010826</v>
      </c>
      <c r="J77" s="188">
        <f t="shared" si="14"/>
        <v>10881.115375653835</v>
      </c>
      <c r="K77" s="188">
        <f t="shared" si="14"/>
        <v>12012.57937086435</v>
      </c>
      <c r="L77" s="188">
        <f t="shared" si="14"/>
        <v>9419.6510665402802</v>
      </c>
      <c r="M77" s="188">
        <f t="shared" si="14"/>
        <v>7300.4424721542118</v>
      </c>
      <c r="N77" s="188">
        <f t="shared" si="14"/>
        <v>6798.6054709685595</v>
      </c>
      <c r="O77" s="188">
        <f t="shared" si="14"/>
        <v>5256.2018235241276</v>
      </c>
      <c r="P77" s="383">
        <f t="shared" si="14"/>
        <v>4158.1793294006602</v>
      </c>
      <c r="Q77" s="188">
        <f t="shared" si="14"/>
        <v>4264.916417035598</v>
      </c>
      <c r="R77" s="188">
        <f t="shared" si="14"/>
        <v>4370.5861337941897</v>
      </c>
      <c r="S77" s="188">
        <f t="shared" si="14"/>
        <v>4475.1991533851951</v>
      </c>
      <c r="T77" s="188">
        <f t="shared" si="14"/>
        <v>4578.7660427802884</v>
      </c>
      <c r="U77" s="188">
        <f t="shared" si="14"/>
        <v>4681.2972632814326</v>
      </c>
      <c r="V77" s="188">
        <f t="shared" si="14"/>
        <v>4782.8031715775624</v>
      </c>
      <c r="W77" s="188">
        <f t="shared" si="14"/>
        <v>4883.2940207907341</v>
      </c>
      <c r="X77" s="188">
        <f t="shared" si="14"/>
        <v>4982.7799615117729</v>
      </c>
      <c r="Y77" s="188">
        <f t="shared" si="14"/>
        <v>5081.2710428256005</v>
      </c>
      <c r="Z77" s="188">
        <f t="shared" si="14"/>
        <v>5178.7772133262888</v>
      </c>
      <c r="AA77" s="188">
        <f t="shared" si="14"/>
        <v>5275.3083221219749</v>
      </c>
      <c r="AB77" s="188">
        <f t="shared" si="14"/>
        <v>5370.8741198296993</v>
      </c>
      <c r="AC77" s="188">
        <f t="shared" si="14"/>
        <v>5465.4842595603486</v>
      </c>
      <c r="AD77" s="188">
        <f t="shared" si="14"/>
        <v>5559.1482978936892</v>
      </c>
    </row>
    <row r="78" spans="3:30" s="188" customFormat="1" x14ac:dyDescent="0.2">
      <c r="C78" s="596" t="s">
        <v>340</v>
      </c>
      <c r="D78" s="188">
        <f t="shared" ref="D78:AD78" si="15">D61/D$4</f>
        <v>0</v>
      </c>
      <c r="E78" s="188">
        <f t="shared" si="15"/>
        <v>0</v>
      </c>
      <c r="F78" s="188">
        <f t="shared" si="15"/>
        <v>0</v>
      </c>
      <c r="G78" s="188">
        <f t="shared" si="15"/>
        <v>0</v>
      </c>
      <c r="H78" s="188">
        <f t="shared" si="15"/>
        <v>0</v>
      </c>
      <c r="I78" s="188">
        <f t="shared" si="15"/>
        <v>9140</v>
      </c>
      <c r="J78" s="188">
        <f t="shared" si="15"/>
        <v>9140</v>
      </c>
      <c r="K78" s="188">
        <f t="shared" si="15"/>
        <v>9140</v>
      </c>
      <c r="L78" s="188">
        <f t="shared" si="15"/>
        <v>9140</v>
      </c>
      <c r="M78" s="188">
        <f t="shared" si="15"/>
        <v>9140</v>
      </c>
      <c r="N78" s="188">
        <f t="shared" si="15"/>
        <v>9140</v>
      </c>
      <c r="O78" s="188">
        <f t="shared" si="15"/>
        <v>9140</v>
      </c>
      <c r="P78" s="383">
        <f t="shared" si="15"/>
        <v>9140</v>
      </c>
      <c r="Q78" s="188">
        <f t="shared" si="15"/>
        <v>9140</v>
      </c>
      <c r="R78" s="188">
        <f t="shared" si="15"/>
        <v>9140</v>
      </c>
      <c r="S78" s="188">
        <f t="shared" si="15"/>
        <v>0</v>
      </c>
      <c r="T78" s="188">
        <f t="shared" si="15"/>
        <v>0</v>
      </c>
      <c r="U78" s="188">
        <f t="shared" si="15"/>
        <v>0</v>
      </c>
      <c r="V78" s="188">
        <f t="shared" si="15"/>
        <v>0</v>
      </c>
      <c r="W78" s="188">
        <f t="shared" si="15"/>
        <v>0</v>
      </c>
      <c r="X78" s="188">
        <f t="shared" si="15"/>
        <v>0</v>
      </c>
      <c r="Y78" s="188">
        <f t="shared" si="15"/>
        <v>0</v>
      </c>
      <c r="Z78" s="188">
        <f t="shared" si="15"/>
        <v>0</v>
      </c>
      <c r="AA78" s="188">
        <f t="shared" si="15"/>
        <v>0</v>
      </c>
      <c r="AB78" s="188">
        <f t="shared" si="15"/>
        <v>0</v>
      </c>
      <c r="AC78" s="188">
        <f t="shared" si="15"/>
        <v>0</v>
      </c>
      <c r="AD78" s="188">
        <f t="shared" si="15"/>
        <v>0</v>
      </c>
    </row>
    <row r="79" spans="3:30" s="188" customFormat="1" x14ac:dyDescent="0.2">
      <c r="C79" s="596" t="s">
        <v>341</v>
      </c>
      <c r="D79" s="188">
        <f t="shared" ref="D79:AD79" si="16">D62/D$4</f>
        <v>27330.28</v>
      </c>
      <c r="E79" s="188">
        <f t="shared" si="16"/>
        <v>27599.095982657629</v>
      </c>
      <c r="F79" s="188">
        <f t="shared" si="16"/>
        <v>15082.412809127589</v>
      </c>
      <c r="G79" s="188">
        <f t="shared" si="16"/>
        <v>15892.75122575899</v>
      </c>
      <c r="H79" s="188">
        <f t="shared" si="16"/>
        <v>11690.383820154919</v>
      </c>
      <c r="I79" s="188">
        <f t="shared" si="16"/>
        <v>14502.607236278016</v>
      </c>
      <c r="J79" s="188">
        <f t="shared" si="16"/>
        <v>14475.026004276495</v>
      </c>
      <c r="K79" s="188">
        <f t="shared" si="16"/>
        <v>11451.250026048172</v>
      </c>
      <c r="L79" s="188">
        <f t="shared" si="16"/>
        <v>14367.471097655342</v>
      </c>
      <c r="M79" s="188">
        <f t="shared" si="16"/>
        <v>12903.024151204987</v>
      </c>
      <c r="N79" s="188">
        <f t="shared" si="16"/>
        <v>12149.069606615389</v>
      </c>
      <c r="O79" s="188">
        <f t="shared" si="16"/>
        <v>11753.126104735184</v>
      </c>
      <c r="P79" s="383">
        <f t="shared" si="16"/>
        <v>11207.394201668603</v>
      </c>
      <c r="Q79" s="188">
        <f t="shared" si="16"/>
        <v>11095.320259651917</v>
      </c>
      <c r="R79" s="188">
        <f t="shared" si="16"/>
        <v>10984.367057055397</v>
      </c>
      <c r="S79" s="188">
        <f t="shared" si="16"/>
        <v>10984.367057055397</v>
      </c>
      <c r="T79" s="188">
        <f t="shared" si="16"/>
        <v>10984.367057055397</v>
      </c>
      <c r="U79" s="188">
        <f t="shared" si="16"/>
        <v>10984.367057055397</v>
      </c>
      <c r="V79" s="188">
        <f t="shared" si="16"/>
        <v>10984.367057055397</v>
      </c>
      <c r="W79" s="188">
        <f t="shared" si="16"/>
        <v>10984.367057055397</v>
      </c>
      <c r="X79" s="188">
        <f t="shared" si="16"/>
        <v>10984.367057055397</v>
      </c>
      <c r="Y79" s="188">
        <f t="shared" si="16"/>
        <v>10984.367057055397</v>
      </c>
      <c r="Z79" s="188">
        <f t="shared" si="16"/>
        <v>10984.367057055397</v>
      </c>
      <c r="AA79" s="188">
        <f t="shared" si="16"/>
        <v>10984.367057055397</v>
      </c>
      <c r="AB79" s="188">
        <f t="shared" si="16"/>
        <v>10984.367057055397</v>
      </c>
      <c r="AC79" s="188">
        <f t="shared" si="16"/>
        <v>10984.367057055397</v>
      </c>
      <c r="AD79" s="188">
        <f t="shared" si="16"/>
        <v>10984.367057055397</v>
      </c>
    </row>
    <row r="80" spans="3:30" s="188" customFormat="1" x14ac:dyDescent="0.2">
      <c r="C80" s="596" t="s">
        <v>342</v>
      </c>
      <c r="D80" s="188">
        <f t="shared" ref="D80:AD80" si="17">D63/D$4</f>
        <v>0</v>
      </c>
      <c r="E80" s="188">
        <f t="shared" si="17"/>
        <v>0</v>
      </c>
      <c r="F80" s="188">
        <f t="shared" si="17"/>
        <v>0</v>
      </c>
      <c r="G80" s="188">
        <f t="shared" si="17"/>
        <v>0</v>
      </c>
      <c r="H80" s="188">
        <f t="shared" si="17"/>
        <v>0</v>
      </c>
      <c r="I80" s="188">
        <f t="shared" si="17"/>
        <v>0</v>
      </c>
      <c r="J80" s="188">
        <f t="shared" si="17"/>
        <v>0</v>
      </c>
      <c r="K80" s="188">
        <f t="shared" si="17"/>
        <v>0</v>
      </c>
      <c r="L80" s="188">
        <f t="shared" si="17"/>
        <v>0</v>
      </c>
      <c r="M80" s="188">
        <f t="shared" si="17"/>
        <v>0</v>
      </c>
      <c r="N80" s="188">
        <f t="shared" si="17"/>
        <v>0</v>
      </c>
      <c r="O80" s="188">
        <f t="shared" si="17"/>
        <v>0</v>
      </c>
      <c r="P80" s="383">
        <f t="shared" si="17"/>
        <v>0</v>
      </c>
      <c r="Q80" s="188">
        <f t="shared" si="17"/>
        <v>0</v>
      </c>
      <c r="R80" s="188">
        <f t="shared" si="17"/>
        <v>0</v>
      </c>
      <c r="S80" s="188">
        <f t="shared" si="17"/>
        <v>0</v>
      </c>
      <c r="T80" s="188">
        <f t="shared" si="17"/>
        <v>0</v>
      </c>
      <c r="U80" s="188">
        <f t="shared" si="17"/>
        <v>0</v>
      </c>
      <c r="V80" s="188">
        <f t="shared" si="17"/>
        <v>0</v>
      </c>
      <c r="W80" s="188">
        <f t="shared" si="17"/>
        <v>0</v>
      </c>
      <c r="X80" s="188">
        <f t="shared" si="17"/>
        <v>0</v>
      </c>
      <c r="Y80" s="188">
        <f t="shared" si="17"/>
        <v>0</v>
      </c>
      <c r="Z80" s="188">
        <f t="shared" si="17"/>
        <v>0</v>
      </c>
      <c r="AA80" s="188">
        <f t="shared" si="17"/>
        <v>0</v>
      </c>
      <c r="AB80" s="188">
        <f t="shared" si="17"/>
        <v>0</v>
      </c>
      <c r="AC80" s="188">
        <f t="shared" si="17"/>
        <v>0</v>
      </c>
      <c r="AD80" s="188">
        <f t="shared" si="17"/>
        <v>0</v>
      </c>
    </row>
    <row r="81" spans="1:30" s="188" customFormat="1" x14ac:dyDescent="0.2">
      <c r="C81" s="596" t="s">
        <v>344</v>
      </c>
      <c r="D81" s="188">
        <f t="shared" ref="D81:AD81" si="18">D64/D$4</f>
        <v>6354.72</v>
      </c>
      <c r="E81" s="188">
        <f t="shared" si="18"/>
        <v>8623.7719662377203</v>
      </c>
      <c r="F81" s="188">
        <f t="shared" si="18"/>
        <v>8587.8671826528644</v>
      </c>
      <c r="G81" s="188">
        <f t="shared" si="18"/>
        <v>11679.702558071775</v>
      </c>
      <c r="H81" s="188">
        <f t="shared" si="18"/>
        <v>14977.791663858638</v>
      </c>
      <c r="I81" s="188">
        <f t="shared" si="18"/>
        <v>21040.823235010826</v>
      </c>
      <c r="J81" s="188">
        <f t="shared" si="18"/>
        <v>20021.115375653833</v>
      </c>
      <c r="K81" s="188">
        <f t="shared" si="18"/>
        <v>21152.57937086435</v>
      </c>
      <c r="L81" s="188">
        <f t="shared" si="18"/>
        <v>18559.651066540282</v>
      </c>
      <c r="M81" s="188">
        <f t="shared" si="18"/>
        <v>16440.442472154213</v>
      </c>
      <c r="N81" s="188">
        <f t="shared" si="18"/>
        <v>15938.60547096856</v>
      </c>
      <c r="O81" s="188">
        <f t="shared" si="18"/>
        <v>14396.201823524127</v>
      </c>
      <c r="P81" s="383">
        <f t="shared" si="18"/>
        <v>13298.17932940066</v>
      </c>
      <c r="Q81" s="188">
        <f t="shared" si="18"/>
        <v>13404.916417035598</v>
      </c>
      <c r="R81" s="188">
        <f t="shared" si="18"/>
        <v>13510.58613379419</v>
      </c>
      <c r="S81" s="188">
        <f t="shared" si="18"/>
        <v>4475.1991533851951</v>
      </c>
      <c r="T81" s="188">
        <f t="shared" si="18"/>
        <v>4578.7660427802884</v>
      </c>
      <c r="U81" s="188">
        <f t="shared" si="18"/>
        <v>4681.2972632814326</v>
      </c>
      <c r="V81" s="188">
        <f t="shared" si="18"/>
        <v>4782.8031715775624</v>
      </c>
      <c r="W81" s="188">
        <f t="shared" si="18"/>
        <v>4883.2940207907341</v>
      </c>
      <c r="X81" s="188">
        <f t="shared" si="18"/>
        <v>4982.7799615117729</v>
      </c>
      <c r="Y81" s="188">
        <f t="shared" si="18"/>
        <v>5081.2710428256005</v>
      </c>
      <c r="Z81" s="188">
        <f t="shared" si="18"/>
        <v>5178.7772133262888</v>
      </c>
      <c r="AA81" s="188">
        <f t="shared" si="18"/>
        <v>5275.3083221219749</v>
      </c>
      <c r="AB81" s="188">
        <f t="shared" si="18"/>
        <v>5370.8741198296993</v>
      </c>
      <c r="AC81" s="188">
        <f t="shared" si="18"/>
        <v>5465.4842595603486</v>
      </c>
      <c r="AD81" s="188">
        <f t="shared" si="18"/>
        <v>5559.1482978936892</v>
      </c>
    </row>
    <row r="82" spans="1:30" s="188" customFormat="1" x14ac:dyDescent="0.2">
      <c r="C82" s="596" t="s">
        <v>345</v>
      </c>
      <c r="D82" s="188">
        <f t="shared" ref="D82:AD82" si="19">D65/D$4</f>
        <v>27330.28</v>
      </c>
      <c r="E82" s="188">
        <f t="shared" si="19"/>
        <v>27599.095982657629</v>
      </c>
      <c r="F82" s="188">
        <f t="shared" si="19"/>
        <v>15082.412809127589</v>
      </c>
      <c r="G82" s="188">
        <f t="shared" si="19"/>
        <v>15892.75122575899</v>
      </c>
      <c r="H82" s="188">
        <f t="shared" si="19"/>
        <v>11690.383820154919</v>
      </c>
      <c r="I82" s="188">
        <f t="shared" si="19"/>
        <v>14502.607236278016</v>
      </c>
      <c r="J82" s="188">
        <f t="shared" si="19"/>
        <v>14475.026004276495</v>
      </c>
      <c r="K82" s="188">
        <f t="shared" si="19"/>
        <v>11451.250026048172</v>
      </c>
      <c r="L82" s="188">
        <f t="shared" si="19"/>
        <v>14367.471097655342</v>
      </c>
      <c r="M82" s="188">
        <f t="shared" si="19"/>
        <v>12903.024151204987</v>
      </c>
      <c r="N82" s="188">
        <f t="shared" si="19"/>
        <v>12149.069606615389</v>
      </c>
      <c r="O82" s="188">
        <f t="shared" si="19"/>
        <v>11753.126104735184</v>
      </c>
      <c r="P82" s="383">
        <f t="shared" si="19"/>
        <v>11207.394201668603</v>
      </c>
      <c r="Q82" s="188">
        <f t="shared" si="19"/>
        <v>11095.320259651917</v>
      </c>
      <c r="R82" s="188">
        <f t="shared" si="19"/>
        <v>10984.367057055397</v>
      </c>
      <c r="S82" s="188">
        <f t="shared" si="19"/>
        <v>10984.367057055397</v>
      </c>
      <c r="T82" s="188">
        <f t="shared" si="19"/>
        <v>10984.367057055397</v>
      </c>
      <c r="U82" s="188">
        <f t="shared" si="19"/>
        <v>10984.367057055397</v>
      </c>
      <c r="V82" s="188">
        <f t="shared" si="19"/>
        <v>10984.367057055397</v>
      </c>
      <c r="W82" s="188">
        <f t="shared" si="19"/>
        <v>10984.367057055397</v>
      </c>
      <c r="X82" s="188">
        <f t="shared" si="19"/>
        <v>10984.367057055397</v>
      </c>
      <c r="Y82" s="188">
        <f t="shared" si="19"/>
        <v>10984.367057055397</v>
      </c>
      <c r="Z82" s="188">
        <f t="shared" si="19"/>
        <v>10984.367057055397</v>
      </c>
      <c r="AA82" s="188">
        <f t="shared" si="19"/>
        <v>10984.367057055397</v>
      </c>
      <c r="AB82" s="188">
        <f t="shared" si="19"/>
        <v>10984.367057055397</v>
      </c>
      <c r="AC82" s="188">
        <f t="shared" si="19"/>
        <v>10984.367057055397</v>
      </c>
      <c r="AD82" s="188">
        <f t="shared" si="19"/>
        <v>10984.367057055397</v>
      </c>
    </row>
    <row r="83" spans="1:30" s="188" customFormat="1" x14ac:dyDescent="0.2">
      <c r="C83" s="596"/>
      <c r="D83" s="188">
        <f t="shared" ref="D83:AD83" si="20">D66/D$4</f>
        <v>0</v>
      </c>
      <c r="E83" s="188">
        <f t="shared" si="20"/>
        <v>0</v>
      </c>
      <c r="F83" s="188">
        <f t="shared" si="20"/>
        <v>0</v>
      </c>
      <c r="G83" s="188">
        <f t="shared" si="20"/>
        <v>0</v>
      </c>
      <c r="H83" s="188">
        <f t="shared" si="20"/>
        <v>0</v>
      </c>
      <c r="I83" s="188">
        <f t="shared" si="20"/>
        <v>0</v>
      </c>
      <c r="J83" s="188">
        <f t="shared" si="20"/>
        <v>0</v>
      </c>
      <c r="K83" s="188">
        <f t="shared" si="20"/>
        <v>0</v>
      </c>
      <c r="L83" s="188">
        <f t="shared" si="20"/>
        <v>0</v>
      </c>
      <c r="M83" s="188">
        <f t="shared" si="20"/>
        <v>0</v>
      </c>
      <c r="N83" s="188">
        <f t="shared" si="20"/>
        <v>0</v>
      </c>
      <c r="O83" s="188">
        <f t="shared" si="20"/>
        <v>0</v>
      </c>
      <c r="P83" s="383">
        <f t="shared" si="20"/>
        <v>0</v>
      </c>
      <c r="Q83" s="188">
        <f t="shared" si="20"/>
        <v>0</v>
      </c>
      <c r="R83" s="188">
        <f t="shared" si="20"/>
        <v>0</v>
      </c>
      <c r="S83" s="188">
        <f t="shared" si="20"/>
        <v>0</v>
      </c>
      <c r="T83" s="188">
        <f t="shared" si="20"/>
        <v>0</v>
      </c>
      <c r="U83" s="188">
        <f t="shared" si="20"/>
        <v>0</v>
      </c>
      <c r="V83" s="188">
        <f t="shared" si="20"/>
        <v>0</v>
      </c>
      <c r="W83" s="188">
        <f t="shared" si="20"/>
        <v>0</v>
      </c>
      <c r="X83" s="188">
        <f t="shared" si="20"/>
        <v>0</v>
      </c>
      <c r="Y83" s="188">
        <f t="shared" si="20"/>
        <v>0</v>
      </c>
      <c r="Z83" s="188">
        <f t="shared" si="20"/>
        <v>0</v>
      </c>
      <c r="AA83" s="188">
        <f t="shared" si="20"/>
        <v>0</v>
      </c>
      <c r="AB83" s="188">
        <f t="shared" si="20"/>
        <v>0</v>
      </c>
      <c r="AC83" s="188">
        <f t="shared" si="20"/>
        <v>0</v>
      </c>
      <c r="AD83" s="188">
        <f t="shared" si="20"/>
        <v>0</v>
      </c>
    </row>
    <row r="84" spans="1:30" s="188" customFormat="1" x14ac:dyDescent="0.2">
      <c r="C84" s="596" t="s">
        <v>362</v>
      </c>
      <c r="D84" s="188">
        <f t="shared" ref="D84:AD84" si="21">D67/D$4</f>
        <v>33685</v>
      </c>
      <c r="E84" s="188">
        <f t="shared" si="21"/>
        <v>36222.867948895349</v>
      </c>
      <c r="F84" s="188">
        <f t="shared" si="21"/>
        <v>23670.279991780451</v>
      </c>
      <c r="G84" s="188">
        <f t="shared" si="21"/>
        <v>27572.453783830766</v>
      </c>
      <c r="H84" s="188">
        <f t="shared" si="21"/>
        <v>26668.175484013555</v>
      </c>
      <c r="I84" s="188">
        <f t="shared" si="21"/>
        <v>35543.430471288841</v>
      </c>
      <c r="J84" s="188">
        <f t="shared" si="21"/>
        <v>34496.141379930326</v>
      </c>
      <c r="K84" s="188">
        <f t="shared" si="21"/>
        <v>32603.829396912519</v>
      </c>
      <c r="L84" s="188">
        <f t="shared" si="21"/>
        <v>32927.122164195622</v>
      </c>
      <c r="M84" s="188">
        <f t="shared" si="21"/>
        <v>29343.466623359196</v>
      </c>
      <c r="N84" s="188">
        <f t="shared" si="21"/>
        <v>28087.67507758395</v>
      </c>
      <c r="O84" s="188">
        <f t="shared" si="21"/>
        <v>26149.32792825931</v>
      </c>
      <c r="P84" s="383">
        <f t="shared" si="21"/>
        <v>24505.573531069262</v>
      </c>
      <c r="Q84" s="188">
        <f t="shared" si="21"/>
        <v>24500.236676687517</v>
      </c>
      <c r="R84" s="188">
        <f t="shared" si="21"/>
        <v>24494.953190849588</v>
      </c>
      <c r="S84" s="188">
        <f t="shared" si="21"/>
        <v>15459.566210440589</v>
      </c>
      <c r="T84" s="188">
        <f t="shared" si="21"/>
        <v>15563.133099835686</v>
      </c>
      <c r="U84" s="188">
        <f t="shared" si="21"/>
        <v>15665.664320336829</v>
      </c>
      <c r="V84" s="188">
        <f t="shared" si="21"/>
        <v>15767.17022863296</v>
      </c>
      <c r="W84" s="188">
        <f t="shared" si="21"/>
        <v>15867.661077846131</v>
      </c>
      <c r="X84" s="188">
        <f t="shared" si="21"/>
        <v>15967.14701856717</v>
      </c>
      <c r="Y84" s="188">
        <f t="shared" si="21"/>
        <v>16065.638099880998</v>
      </c>
      <c r="Z84" s="188">
        <f t="shared" si="21"/>
        <v>16163.144270381685</v>
      </c>
      <c r="AA84" s="188">
        <f t="shared" si="21"/>
        <v>16259.675379177372</v>
      </c>
      <c r="AB84" s="188">
        <f t="shared" si="21"/>
        <v>16355.241176885094</v>
      </c>
      <c r="AC84" s="188">
        <f t="shared" si="21"/>
        <v>16449.851316615746</v>
      </c>
      <c r="AD84" s="188">
        <f t="shared" si="21"/>
        <v>16543.515354949086</v>
      </c>
    </row>
    <row r="85" spans="1:30" s="188" customFormat="1" x14ac:dyDescent="0.2">
      <c r="C85" s="596"/>
      <c r="P85" s="383"/>
    </row>
    <row r="86" spans="1:30" s="188" customFormat="1" x14ac:dyDescent="0.2">
      <c r="C86" s="596"/>
      <c r="P86" s="383"/>
    </row>
    <row r="87" spans="1:30" s="188" customFormat="1" x14ac:dyDescent="0.2">
      <c r="C87" s="596"/>
      <c r="P87" s="383"/>
    </row>
    <row r="88" spans="1:30" s="188" customFormat="1" x14ac:dyDescent="0.2">
      <c r="C88" s="596"/>
      <c r="P88" s="383"/>
    </row>
    <row r="89" spans="1:30" s="188" customFormat="1" x14ac:dyDescent="0.2">
      <c r="C89" s="596"/>
      <c r="P89" s="383"/>
    </row>
    <row r="90" spans="1:30" s="188" customFormat="1" x14ac:dyDescent="0.2">
      <c r="C90" s="596"/>
      <c r="P90" s="383"/>
    </row>
    <row r="91" spans="1:30" s="188" customFormat="1" x14ac:dyDescent="0.2">
      <c r="C91" s="596"/>
      <c r="P91" s="383"/>
    </row>
    <row r="92" spans="1:30" s="188" customFormat="1" x14ac:dyDescent="0.2">
      <c r="C92" s="596"/>
      <c r="P92" s="383"/>
    </row>
    <row r="93" spans="1:30" s="655" customFormat="1" x14ac:dyDescent="0.2"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</row>
    <row r="94" spans="1:30" x14ac:dyDescent="0.2"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383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s="550" customFormat="1" ht="18" x14ac:dyDescent="0.25">
      <c r="A95" s="554" t="s">
        <v>255</v>
      </c>
      <c r="B95" s="548" t="s">
        <v>338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383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s="550" customFormat="1" x14ac:dyDescent="0.2">
      <c r="A96" s="316"/>
      <c r="B96" s="596" t="s">
        <v>334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383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s="562" customFormat="1" x14ac:dyDescent="0.2">
      <c r="A97" s="637"/>
      <c r="D97" s="616">
        <v>2005</v>
      </c>
      <c r="E97" s="616">
        <v>2006</v>
      </c>
      <c r="F97" s="616">
        <v>2007</v>
      </c>
      <c r="G97" s="616">
        <v>2008</v>
      </c>
      <c r="H97" s="616">
        <v>2009</v>
      </c>
      <c r="I97" s="616">
        <v>2010</v>
      </c>
      <c r="J97" s="616">
        <v>2011</v>
      </c>
      <c r="K97" s="616">
        <v>2012</v>
      </c>
      <c r="L97" s="616">
        <v>2013</v>
      </c>
      <c r="M97" s="616">
        <v>2014</v>
      </c>
      <c r="N97" s="616">
        <v>2015</v>
      </c>
      <c r="O97" s="616">
        <v>2016</v>
      </c>
      <c r="P97" s="621">
        <v>2017</v>
      </c>
      <c r="Q97" s="616">
        <v>2018</v>
      </c>
      <c r="R97" s="616">
        <v>2019</v>
      </c>
      <c r="S97" s="616">
        <v>2020</v>
      </c>
      <c r="T97" s="616">
        <v>2021</v>
      </c>
      <c r="U97" s="616">
        <v>2022</v>
      </c>
      <c r="V97" s="616">
        <v>2023</v>
      </c>
      <c r="W97" s="616">
        <v>2024</v>
      </c>
      <c r="X97" s="616">
        <v>2025</v>
      </c>
      <c r="Y97" s="616">
        <v>2026</v>
      </c>
      <c r="Z97" s="616">
        <v>2027</v>
      </c>
      <c r="AA97" s="616">
        <v>2028</v>
      </c>
      <c r="AB97" s="616">
        <v>2029</v>
      </c>
      <c r="AC97" s="616">
        <v>2030</v>
      </c>
      <c r="AD97" s="616">
        <v>2031</v>
      </c>
    </row>
    <row r="98" spans="1:30" s="188" customFormat="1" x14ac:dyDescent="0.2">
      <c r="A98" s="637"/>
      <c r="C98" s="550" t="s">
        <v>242</v>
      </c>
      <c r="D98" s="188">
        <f t="shared" ref="D98:AD98" si="22">D119+D211</f>
        <v>33685</v>
      </c>
      <c r="E98" s="188">
        <f t="shared" si="22"/>
        <v>39267.4</v>
      </c>
      <c r="F98" s="188">
        <f t="shared" si="22"/>
        <v>28636.299999999996</v>
      </c>
      <c r="G98" s="188">
        <f t="shared" si="22"/>
        <v>38330.699999999997</v>
      </c>
      <c r="H98" s="188">
        <f t="shared" si="22"/>
        <v>40806.9</v>
      </c>
      <c r="I98" s="188">
        <f t="shared" si="22"/>
        <v>43739.9</v>
      </c>
      <c r="J98" s="188">
        <f t="shared" si="22"/>
        <v>46538.5</v>
      </c>
      <c r="K98" s="188">
        <f t="shared" si="22"/>
        <v>47619.1</v>
      </c>
      <c r="L98" s="188">
        <f t="shared" si="22"/>
        <v>52399.3</v>
      </c>
      <c r="M98" s="188">
        <f t="shared" si="22"/>
        <v>49472.2</v>
      </c>
      <c r="N98" s="188">
        <f t="shared" si="22"/>
        <v>53187.7</v>
      </c>
      <c r="O98" s="188">
        <f t="shared" si="22"/>
        <v>55572.1</v>
      </c>
      <c r="P98" s="383">
        <f t="shared" si="22"/>
        <v>58800.3</v>
      </c>
      <c r="Q98" s="188">
        <f t="shared" si="22"/>
        <v>67480.081349500004</v>
      </c>
      <c r="R98" s="188">
        <f t="shared" si="22"/>
        <v>75641.442271724896</v>
      </c>
      <c r="S98" s="188">
        <f t="shared" si="22"/>
        <v>83266.279140134953</v>
      </c>
      <c r="T98" s="188">
        <f t="shared" si="22"/>
        <v>90275.291400750837</v>
      </c>
      <c r="U98" s="188">
        <f t="shared" si="22"/>
        <v>97279.407706494429</v>
      </c>
      <c r="V98" s="188">
        <f t="shared" si="22"/>
        <v>106040.47581721042</v>
      </c>
      <c r="W98" s="188">
        <f t="shared" si="22"/>
        <v>116647.4117852936</v>
      </c>
      <c r="X98" s="188">
        <f t="shared" si="22"/>
        <v>127956.68213162367</v>
      </c>
      <c r="Y98" s="188">
        <f t="shared" si="22"/>
        <v>140236.17036889779</v>
      </c>
      <c r="Z98" s="188">
        <f t="shared" si="22"/>
        <v>151001.45597760155</v>
      </c>
      <c r="AA98" s="188">
        <f t="shared" si="22"/>
        <v>161069.51192834717</v>
      </c>
      <c r="AB98" s="188">
        <f t="shared" si="22"/>
        <v>171799.40890567319</v>
      </c>
      <c r="AC98" s="188">
        <f t="shared" si="22"/>
        <v>183234.19980363816</v>
      </c>
      <c r="AD98" s="188">
        <f t="shared" si="22"/>
        <v>195419.71604277292</v>
      </c>
    </row>
    <row r="99" spans="1:30" s="550" customFormat="1" x14ac:dyDescent="0.2">
      <c r="A99" s="637"/>
      <c r="C99" s="550" t="s">
        <v>333</v>
      </c>
      <c r="D99" s="188">
        <f t="shared" ref="D99:AD99" si="23">D120+D212</f>
        <v>33685</v>
      </c>
      <c r="E99" s="188">
        <f t="shared" si="23"/>
        <v>39267.4</v>
      </c>
      <c r="F99" s="188">
        <f t="shared" si="23"/>
        <v>28636.299999999996</v>
      </c>
      <c r="G99" s="188">
        <f t="shared" si="23"/>
        <v>38330.699999999997</v>
      </c>
      <c r="H99" s="188">
        <f t="shared" si="23"/>
        <v>40806.9</v>
      </c>
      <c r="I99" s="188">
        <f t="shared" si="23"/>
        <v>43995.063860519032</v>
      </c>
      <c r="J99" s="188">
        <f t="shared" si="23"/>
        <v>46821.502237701658</v>
      </c>
      <c r="K99" s="188">
        <f t="shared" si="23"/>
        <v>48187.158288676175</v>
      </c>
      <c r="L99" s="188">
        <f t="shared" si="23"/>
        <v>54022.349358260173</v>
      </c>
      <c r="M99" s="188">
        <f t="shared" si="23"/>
        <v>53603.844833261275</v>
      </c>
      <c r="N99" s="188">
        <f t="shared" si="23"/>
        <v>60914.023547354154</v>
      </c>
      <c r="O99" s="188">
        <f t="shared" si="23"/>
        <v>66800.850894526026</v>
      </c>
      <c r="P99" s="383">
        <f t="shared" si="23"/>
        <v>74881.160209366353</v>
      </c>
      <c r="Q99" s="188">
        <f t="shared" si="23"/>
        <v>129999.58597296664</v>
      </c>
      <c r="R99" s="188">
        <f t="shared" si="23"/>
        <v>220124.0424712064</v>
      </c>
      <c r="S99" s="188">
        <f t="shared" si="23"/>
        <v>282485.91028284479</v>
      </c>
      <c r="T99" s="188">
        <f t="shared" si="23"/>
        <v>263975.52783474972</v>
      </c>
      <c r="U99" s="188">
        <f t="shared" si="23"/>
        <v>242931.24107877567</v>
      </c>
      <c r="V99" s="188">
        <f t="shared" si="23"/>
        <v>232923.38151371392</v>
      </c>
      <c r="W99" s="188">
        <f t="shared" si="23"/>
        <v>251353.70349540835</v>
      </c>
      <c r="X99" s="188">
        <f t="shared" si="23"/>
        <v>298286.15952785953</v>
      </c>
      <c r="Y99" s="188">
        <f t="shared" si="23"/>
        <v>390375.09133409394</v>
      </c>
      <c r="Z99" s="188">
        <f t="shared" si="23"/>
        <v>504907.73692159046</v>
      </c>
      <c r="AA99" s="188">
        <f t="shared" si="23"/>
        <v>623246.72169411881</v>
      </c>
      <c r="AB99" s="188">
        <f t="shared" si="23"/>
        <v>729969.0822820795</v>
      </c>
      <c r="AC99" s="188">
        <f t="shared" si="23"/>
        <v>776847.6474394463</v>
      </c>
      <c r="AD99" s="188">
        <f t="shared" si="23"/>
        <v>826727.61760345474</v>
      </c>
    </row>
    <row r="100" spans="1:30" s="550" customFormat="1" x14ac:dyDescent="0.2">
      <c r="A100" s="637"/>
      <c r="C100" s="550" t="s">
        <v>244</v>
      </c>
      <c r="D100" s="188">
        <f t="shared" ref="D100:AD100" si="24">D121+D213</f>
        <v>33685</v>
      </c>
      <c r="E100" s="188">
        <f t="shared" si="24"/>
        <v>39267.4</v>
      </c>
      <c r="F100" s="188">
        <f t="shared" si="24"/>
        <v>28636.299999999996</v>
      </c>
      <c r="G100" s="188">
        <f t="shared" si="24"/>
        <v>38330.699999999997</v>
      </c>
      <c r="H100" s="188">
        <f t="shared" si="24"/>
        <v>40806.9</v>
      </c>
      <c r="I100" s="188">
        <f t="shared" si="24"/>
        <v>43739.9</v>
      </c>
      <c r="J100" s="188">
        <f t="shared" si="24"/>
        <v>55160.634841977313</v>
      </c>
      <c r="K100" s="188">
        <f t="shared" si="24"/>
        <v>57114.441548098563</v>
      </c>
      <c r="L100" s="188">
        <f t="shared" si="24"/>
        <v>62764.414833904404</v>
      </c>
      <c r="M100" s="188">
        <f t="shared" si="24"/>
        <v>61013.755367552541</v>
      </c>
      <c r="N100" s="188">
        <f t="shared" si="24"/>
        <v>66420.093228898986</v>
      </c>
      <c r="O100" s="188">
        <f t="shared" si="24"/>
        <v>71010.994799817898</v>
      </c>
      <c r="P100" s="383">
        <f t="shared" si="24"/>
        <v>76917.843047586299</v>
      </c>
      <c r="Q100" s="188">
        <f t="shared" si="24"/>
        <v>88197.49182441493</v>
      </c>
      <c r="R100" s="188">
        <f t="shared" si="24"/>
        <v>98782.78977220488</v>
      </c>
      <c r="S100" s="188">
        <f t="shared" si="24"/>
        <v>108652.33734816148</v>
      </c>
      <c r="T100" s="188">
        <f t="shared" si="24"/>
        <v>117704.9272945235</v>
      </c>
      <c r="U100" s="188">
        <f t="shared" si="24"/>
        <v>126738.83665640627</v>
      </c>
      <c r="V100" s="188">
        <f t="shared" si="24"/>
        <v>138048.14537128966</v>
      </c>
      <c r="W100" s="188">
        <f t="shared" si="24"/>
        <v>151743.8214513415</v>
      </c>
      <c r="X100" s="188">
        <f t="shared" si="24"/>
        <v>166334.60610144702</v>
      </c>
      <c r="Y100" s="188">
        <f t="shared" si="24"/>
        <v>182167.12253984739</v>
      </c>
      <c r="Z100" s="188">
        <f t="shared" si="24"/>
        <v>196014.33313311596</v>
      </c>
      <c r="AA100" s="188">
        <f t="shared" si="24"/>
        <v>208940.70678323673</v>
      </c>
      <c r="AB100" s="188">
        <f t="shared" si="24"/>
        <v>222710.42463384819</v>
      </c>
      <c r="AC100" s="188">
        <f t="shared" si="24"/>
        <v>237378.06503055227</v>
      </c>
      <c r="AD100" s="188">
        <f t="shared" si="24"/>
        <v>253001.71671159612</v>
      </c>
    </row>
    <row r="101" spans="1:30" s="550" customFormat="1" x14ac:dyDescent="0.2">
      <c r="A101" s="316"/>
      <c r="C101" s="550" t="s">
        <v>332</v>
      </c>
      <c r="D101" s="188">
        <f t="shared" ref="D101:AD101" si="25">D122+D214</f>
        <v>33685</v>
      </c>
      <c r="E101" s="188">
        <f t="shared" si="25"/>
        <v>39267.4</v>
      </c>
      <c r="F101" s="188">
        <f t="shared" si="25"/>
        <v>28636.299999999996</v>
      </c>
      <c r="G101" s="188">
        <f t="shared" si="25"/>
        <v>48495.703107716159</v>
      </c>
      <c r="H101" s="188">
        <f t="shared" si="25"/>
        <v>51995.518920663177</v>
      </c>
      <c r="I101" s="188">
        <f t="shared" si="25"/>
        <v>56178.287654101259</v>
      </c>
      <c r="J101" s="188">
        <f t="shared" si="25"/>
        <v>60333.915747163701</v>
      </c>
      <c r="K101" s="188">
        <f t="shared" si="25"/>
        <v>62811.6464769577</v>
      </c>
      <c r="L101" s="188">
        <f t="shared" si="25"/>
        <v>68983.483734247042</v>
      </c>
      <c r="M101" s="188">
        <f t="shared" si="25"/>
        <v>67938.688588084071</v>
      </c>
      <c r="N101" s="188">
        <f t="shared" si="25"/>
        <v>74359.529166238382</v>
      </c>
      <c r="O101" s="188">
        <f t="shared" si="25"/>
        <v>80274.331679708645</v>
      </c>
      <c r="P101" s="383">
        <f t="shared" si="25"/>
        <v>87788.368876138091</v>
      </c>
      <c r="Q101" s="188">
        <f t="shared" si="25"/>
        <v>97200.778159170019</v>
      </c>
      <c r="R101" s="188">
        <f t="shared" si="25"/>
        <v>105194.39894187788</v>
      </c>
      <c r="S101" s="188">
        <f t="shared" si="25"/>
        <v>111878.97749093613</v>
      </c>
      <c r="T101" s="188">
        <f t="shared" si="25"/>
        <v>117275.74769581252</v>
      </c>
      <c r="U101" s="188">
        <f t="shared" si="25"/>
        <v>122275.37668329997</v>
      </c>
      <c r="V101" s="188">
        <f t="shared" si="25"/>
        <v>129060.20486716178</v>
      </c>
      <c r="W101" s="188">
        <f t="shared" si="25"/>
        <v>137570.98574239801</v>
      </c>
      <c r="X101" s="188">
        <f t="shared" si="25"/>
        <v>146345.21181622852</v>
      </c>
      <c r="Y101" s="188">
        <f t="shared" si="25"/>
        <v>155659.63404794308</v>
      </c>
      <c r="Z101" s="188">
        <f t="shared" si="25"/>
        <v>162793.68272457295</v>
      </c>
      <c r="AA101" s="188">
        <f t="shared" si="25"/>
        <v>168792.52446189427</v>
      </c>
      <c r="AB101" s="188">
        <f t="shared" si="25"/>
        <v>175142.0651479573</v>
      </c>
      <c r="AC101" s="188">
        <f t="shared" si="25"/>
        <v>181866.09108517226</v>
      </c>
      <c r="AD101" s="188">
        <f t="shared" si="25"/>
        <v>188990.02792284515</v>
      </c>
    </row>
    <row r="102" spans="1:30" s="550" customFormat="1" x14ac:dyDescent="0.2">
      <c r="A102" s="316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383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s="550" customFormat="1" x14ac:dyDescent="0.2">
      <c r="A103" s="316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383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s="550" customFormat="1" x14ac:dyDescent="0.2">
      <c r="A104" s="316"/>
      <c r="B104" s="596" t="s">
        <v>335</v>
      </c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383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s="562" customFormat="1" x14ac:dyDescent="0.2">
      <c r="A105" s="649"/>
      <c r="D105" s="616">
        <v>2005</v>
      </c>
      <c r="E105" s="616">
        <v>2006</v>
      </c>
      <c r="F105" s="616">
        <v>2007</v>
      </c>
      <c r="G105" s="616">
        <v>2008</v>
      </c>
      <c r="H105" s="616">
        <v>2009</v>
      </c>
      <c r="I105" s="616">
        <v>2010</v>
      </c>
      <c r="J105" s="616">
        <v>2011</v>
      </c>
      <c r="K105" s="616">
        <v>2012</v>
      </c>
      <c r="L105" s="616">
        <v>2013</v>
      </c>
      <c r="M105" s="616">
        <v>2014</v>
      </c>
      <c r="N105" s="616">
        <v>2015</v>
      </c>
      <c r="O105" s="616">
        <v>2016</v>
      </c>
      <c r="P105" s="621">
        <v>2017</v>
      </c>
      <c r="Q105" s="616">
        <v>2018</v>
      </c>
      <c r="R105" s="616">
        <v>2019</v>
      </c>
      <c r="S105" s="616">
        <v>2020</v>
      </c>
      <c r="T105" s="616">
        <v>2021</v>
      </c>
      <c r="U105" s="616">
        <v>2022</v>
      </c>
      <c r="V105" s="616">
        <v>2023</v>
      </c>
      <c r="W105" s="616">
        <v>2024</v>
      </c>
      <c r="X105" s="616">
        <v>2025</v>
      </c>
      <c r="Y105" s="616">
        <v>2026</v>
      </c>
      <c r="Z105" s="616">
        <v>2027</v>
      </c>
      <c r="AA105" s="616">
        <v>2028</v>
      </c>
      <c r="AB105" s="616">
        <v>2029</v>
      </c>
      <c r="AC105" s="616">
        <v>2030</v>
      </c>
      <c r="AD105" s="616">
        <v>2031</v>
      </c>
    </row>
    <row r="106" spans="1:30" s="550" customFormat="1" x14ac:dyDescent="0.2">
      <c r="A106" s="316"/>
      <c r="C106" s="550" t="s">
        <v>242</v>
      </c>
      <c r="D106" s="188">
        <f>D98/D$4</f>
        <v>33685</v>
      </c>
      <c r="E106" s="188">
        <f t="shared" ref="E106:AD109" si="26">E98/E$4</f>
        <v>36222.867948895349</v>
      </c>
      <c r="F106" s="188">
        <f t="shared" si="26"/>
        <v>23670.279991780451</v>
      </c>
      <c r="G106" s="188">
        <f t="shared" si="26"/>
        <v>27572.453783830766</v>
      </c>
      <c r="H106" s="188">
        <f t="shared" si="26"/>
        <v>26668.175484013555</v>
      </c>
      <c r="I106" s="188">
        <f t="shared" si="26"/>
        <v>25712.830126704175</v>
      </c>
      <c r="J106" s="188">
        <f t="shared" si="26"/>
        <v>24666.854427345734</v>
      </c>
      <c r="K106" s="188">
        <f t="shared" si="26"/>
        <v>22918.531776624513</v>
      </c>
      <c r="L106" s="188">
        <f t="shared" si="26"/>
        <v>23102.956873831081</v>
      </c>
      <c r="M106" s="188">
        <f t="shared" si="26"/>
        <v>19589.036901873245</v>
      </c>
      <c r="N106" s="188">
        <f t="shared" si="26"/>
        <v>18369.147953459407</v>
      </c>
      <c r="O106" s="188">
        <f t="shared" si="26"/>
        <v>16449.655256605256</v>
      </c>
      <c r="P106" s="383">
        <f t="shared" si="26"/>
        <v>14831.888092894567</v>
      </c>
      <c r="Q106" s="188">
        <f t="shared" si="26"/>
        <v>14885.256636712036</v>
      </c>
      <c r="R106" s="188">
        <f t="shared" si="26"/>
        <v>14937.824652372248</v>
      </c>
      <c r="S106" s="188">
        <f t="shared" si="26"/>
        <v>14989.601479370362</v>
      </c>
      <c r="T106" s="188">
        <f t="shared" si="26"/>
        <v>15040.59635713553</v>
      </c>
      <c r="U106" s="188">
        <f t="shared" si="26"/>
        <v>15090.818426064898</v>
      </c>
      <c r="V106" s="188">
        <f t="shared" si="26"/>
        <v>15140.276728547107</v>
      </c>
      <c r="W106" s="188">
        <f t="shared" si="26"/>
        <v>15188.980209975432</v>
      </c>
      <c r="X106" s="188">
        <f t="shared" si="26"/>
        <v>15236.937719750547</v>
      </c>
      <c r="Y106" s="188">
        <f t="shared" si="26"/>
        <v>15284.158012273181</v>
      </c>
      <c r="Z106" s="188">
        <f t="shared" si="26"/>
        <v>15330.649747926629</v>
      </c>
      <c r="AA106" s="188">
        <f t="shared" si="26"/>
        <v>15376.421494049313</v>
      </c>
      <c r="AB106" s="188">
        <f t="shared" si="26"/>
        <v>15421.481725897402</v>
      </c>
      <c r="AC106" s="188">
        <f t="shared" si="26"/>
        <v>15465.838827597712</v>
      </c>
      <c r="AD106" s="188">
        <f t="shared" si="26"/>
        <v>15509.501093090867</v>
      </c>
    </row>
    <row r="107" spans="1:30" s="550" customFormat="1" x14ac:dyDescent="0.2">
      <c r="A107" s="316"/>
      <c r="C107" s="550" t="s">
        <v>333</v>
      </c>
      <c r="D107" s="188">
        <f t="shared" ref="D107:S109" si="27">D99/D$4</f>
        <v>33685</v>
      </c>
      <c r="E107" s="188">
        <f t="shared" si="27"/>
        <v>36222.867948895349</v>
      </c>
      <c r="F107" s="188">
        <f t="shared" si="27"/>
        <v>23670.279991780451</v>
      </c>
      <c r="G107" s="188">
        <f t="shared" si="27"/>
        <v>27572.453783830766</v>
      </c>
      <c r="H107" s="188">
        <f t="shared" si="27"/>
        <v>26668.175484013555</v>
      </c>
      <c r="I107" s="188">
        <f t="shared" si="27"/>
        <v>25862.830126704172</v>
      </c>
      <c r="J107" s="188">
        <f t="shared" si="27"/>
        <v>24816.85442734573</v>
      </c>
      <c r="K107" s="188">
        <f t="shared" si="27"/>
        <v>23191.931776624511</v>
      </c>
      <c r="L107" s="188">
        <f t="shared" si="27"/>
        <v>23818.562603830986</v>
      </c>
      <c r="M107" s="188">
        <f t="shared" si="27"/>
        <v>21225.005043661749</v>
      </c>
      <c r="N107" s="188">
        <f t="shared" si="27"/>
        <v>21037.54648127027</v>
      </c>
      <c r="O107" s="188">
        <f t="shared" si="27"/>
        <v>19773.428898005364</v>
      </c>
      <c r="P107" s="383">
        <f t="shared" si="27"/>
        <v>18888.151735474668</v>
      </c>
      <c r="Q107" s="188">
        <f t="shared" si="27"/>
        <v>28676.2724818241</v>
      </c>
      <c r="R107" s="188">
        <f t="shared" si="27"/>
        <v>43470.540082963977</v>
      </c>
      <c r="S107" s="188">
        <f t="shared" si="27"/>
        <v>50853.13361427754</v>
      </c>
      <c r="T107" s="188">
        <f t="shared" si="26"/>
        <v>43980.465758886967</v>
      </c>
      <c r="U107" s="188">
        <f t="shared" si="26"/>
        <v>37685.583573856966</v>
      </c>
      <c r="V107" s="188">
        <f t="shared" si="26"/>
        <v>33256.399742542708</v>
      </c>
      <c r="W107" s="188">
        <f t="shared" si="26"/>
        <v>32729.456827752114</v>
      </c>
      <c r="X107" s="188">
        <f t="shared" si="26"/>
        <v>35519.58021789245</v>
      </c>
      <c r="Y107" s="188">
        <f t="shared" si="26"/>
        <v>42546.474025285825</v>
      </c>
      <c r="Z107" s="188">
        <f t="shared" si="26"/>
        <v>51261.516782403502</v>
      </c>
      <c r="AA107" s="188">
        <f t="shared" si="26"/>
        <v>59497.940813382578</v>
      </c>
      <c r="AB107" s="188">
        <f t="shared" si="26"/>
        <v>65525.282855099795</v>
      </c>
      <c r="AC107" s="188">
        <f t="shared" si="26"/>
        <v>65569.639956800107</v>
      </c>
      <c r="AD107" s="188">
        <f t="shared" si="26"/>
        <v>65613.302222293263</v>
      </c>
    </row>
    <row r="108" spans="1:30" s="550" customFormat="1" x14ac:dyDescent="0.2">
      <c r="A108" s="316"/>
      <c r="C108" s="550" t="s">
        <v>244</v>
      </c>
      <c r="D108" s="188">
        <f t="shared" si="27"/>
        <v>33685</v>
      </c>
      <c r="E108" s="188">
        <f t="shared" si="26"/>
        <v>36222.867948895349</v>
      </c>
      <c r="F108" s="188">
        <f t="shared" si="26"/>
        <v>23670.279991780451</v>
      </c>
      <c r="G108" s="188">
        <f t="shared" si="26"/>
        <v>27572.453783830766</v>
      </c>
      <c r="H108" s="188">
        <f t="shared" si="26"/>
        <v>26668.175484013555</v>
      </c>
      <c r="I108" s="188">
        <f t="shared" si="26"/>
        <v>25712.830126704175</v>
      </c>
      <c r="J108" s="188">
        <f t="shared" si="26"/>
        <v>29236.854427345734</v>
      </c>
      <c r="K108" s="188">
        <f t="shared" si="26"/>
        <v>27488.531776624513</v>
      </c>
      <c r="L108" s="188">
        <f t="shared" si="26"/>
        <v>27672.956873831085</v>
      </c>
      <c r="M108" s="188">
        <f t="shared" si="26"/>
        <v>24159.036901873245</v>
      </c>
      <c r="N108" s="188">
        <f t="shared" si="26"/>
        <v>22939.147953459407</v>
      </c>
      <c r="O108" s="188">
        <f t="shared" si="26"/>
        <v>21019.655256605256</v>
      </c>
      <c r="P108" s="383">
        <f t="shared" si="26"/>
        <v>19401.888092894565</v>
      </c>
      <c r="Q108" s="188">
        <f t="shared" si="26"/>
        <v>19455.256636712034</v>
      </c>
      <c r="R108" s="188">
        <f t="shared" si="26"/>
        <v>19507.824652372248</v>
      </c>
      <c r="S108" s="188">
        <f t="shared" si="26"/>
        <v>19559.601479370362</v>
      </c>
      <c r="T108" s="188">
        <f t="shared" si="26"/>
        <v>19610.596357135528</v>
      </c>
      <c r="U108" s="188">
        <f t="shared" si="26"/>
        <v>19660.818426064896</v>
      </c>
      <c r="V108" s="188">
        <f t="shared" si="26"/>
        <v>19710.276728547109</v>
      </c>
      <c r="W108" s="188">
        <f t="shared" si="26"/>
        <v>19758.980209975434</v>
      </c>
      <c r="X108" s="188">
        <f t="shared" si="26"/>
        <v>19806.937719750546</v>
      </c>
      <c r="Y108" s="188">
        <f t="shared" si="26"/>
        <v>19854.158012273183</v>
      </c>
      <c r="Z108" s="188">
        <f t="shared" si="26"/>
        <v>19900.649747926629</v>
      </c>
      <c r="AA108" s="188">
        <f t="shared" si="26"/>
        <v>19946.421494049315</v>
      </c>
      <c r="AB108" s="188">
        <f t="shared" si="26"/>
        <v>19991.4817258974</v>
      </c>
      <c r="AC108" s="188">
        <f t="shared" si="26"/>
        <v>20035.838827597712</v>
      </c>
      <c r="AD108" s="188">
        <f t="shared" si="26"/>
        <v>20079.501093090868</v>
      </c>
    </row>
    <row r="109" spans="1:30" s="550" customFormat="1" x14ac:dyDescent="0.2">
      <c r="A109" s="316"/>
      <c r="C109" s="550" t="s">
        <v>332</v>
      </c>
      <c r="D109" s="188">
        <f t="shared" si="27"/>
        <v>33685</v>
      </c>
      <c r="E109" s="188">
        <f t="shared" si="26"/>
        <v>36222.867948895349</v>
      </c>
      <c r="F109" s="188">
        <f t="shared" si="26"/>
        <v>23670.279991780451</v>
      </c>
      <c r="G109" s="188">
        <f t="shared" si="26"/>
        <v>34884.453783830766</v>
      </c>
      <c r="H109" s="188">
        <f t="shared" si="26"/>
        <v>33980.175484013555</v>
      </c>
      <c r="I109" s="188">
        <f t="shared" si="26"/>
        <v>33024.830126704175</v>
      </c>
      <c r="J109" s="188">
        <f t="shared" si="26"/>
        <v>31978.854427345734</v>
      </c>
      <c r="K109" s="188">
        <f t="shared" si="26"/>
        <v>30230.53177662451</v>
      </c>
      <c r="L109" s="188">
        <f t="shared" si="26"/>
        <v>30414.956873831085</v>
      </c>
      <c r="M109" s="188">
        <f t="shared" si="26"/>
        <v>26901.036901873249</v>
      </c>
      <c r="N109" s="188">
        <f t="shared" si="26"/>
        <v>25681.147953459407</v>
      </c>
      <c r="O109" s="188">
        <f t="shared" si="26"/>
        <v>23761.65525660526</v>
      </c>
      <c r="P109" s="383">
        <f t="shared" si="26"/>
        <v>22143.888092894569</v>
      </c>
      <c r="Q109" s="188">
        <f t="shared" si="26"/>
        <v>21441.268286172279</v>
      </c>
      <c r="R109" s="188">
        <f t="shared" si="26"/>
        <v>20774.002168819719</v>
      </c>
      <c r="S109" s="188">
        <f t="shared" si="26"/>
        <v>20140.461466834575</v>
      </c>
      <c r="T109" s="188">
        <f t="shared" si="26"/>
        <v>19539.091552124446</v>
      </c>
      <c r="U109" s="188">
        <f t="shared" si="26"/>
        <v>18968.408124705104</v>
      </c>
      <c r="V109" s="188">
        <f t="shared" si="26"/>
        <v>18426.994044237166</v>
      </c>
      <c r="W109" s="188">
        <f t="shared" si="26"/>
        <v>17913.496304180655</v>
      </c>
      <c r="X109" s="188">
        <f t="shared" si="26"/>
        <v>17426.62314214915</v>
      </c>
      <c r="Y109" s="188">
        <f t="shared" si="26"/>
        <v>16965.141280334294</v>
      </c>
      <c r="Z109" s="188">
        <f t="shared" si="26"/>
        <v>16527.873290147087</v>
      </c>
      <c r="AA109" s="188">
        <f t="shared" si="26"/>
        <v>16113.695075485839</v>
      </c>
      <c r="AB109" s="188">
        <f t="shared" si="26"/>
        <v>15721.53346929219</v>
      </c>
      <c r="AC109" s="188">
        <f t="shared" si="26"/>
        <v>15350.363938297027</v>
      </c>
      <c r="AD109" s="188">
        <f t="shared" si="26"/>
        <v>14999.208391087215</v>
      </c>
    </row>
    <row r="110" spans="1:30" s="550" customFormat="1" x14ac:dyDescent="0.2"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383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s="550" customFormat="1" x14ac:dyDescent="0.2"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383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s="550" customFormat="1" x14ac:dyDescent="0.2"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383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2:31" s="655" customFormat="1" x14ac:dyDescent="0.2"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</row>
    <row r="114" spans="2:31" s="550" customFormat="1" x14ac:dyDescent="0.2"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383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2:31" s="550" customFormat="1" x14ac:dyDescent="0.2"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383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2:31" s="550" customFormat="1" x14ac:dyDescent="0.2"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383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2:31" s="550" customFormat="1" x14ac:dyDescent="0.2">
      <c r="B117" s="198" t="s">
        <v>347</v>
      </c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383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2:31" s="562" customFormat="1" ht="16.5" thickBot="1" x14ac:dyDescent="0.3">
      <c r="C118" s="644" t="s">
        <v>357</v>
      </c>
      <c r="D118" s="616">
        <v>2005</v>
      </c>
      <c r="E118" s="616">
        <v>2006</v>
      </c>
      <c r="F118" s="616">
        <v>2007</v>
      </c>
      <c r="G118" s="616">
        <v>2008</v>
      </c>
      <c r="H118" s="616">
        <v>2009</v>
      </c>
      <c r="I118" s="616">
        <v>2010</v>
      </c>
      <c r="J118" s="616">
        <v>2011</v>
      </c>
      <c r="K118" s="616">
        <v>2012</v>
      </c>
      <c r="L118" s="616">
        <v>2013</v>
      </c>
      <c r="M118" s="616">
        <v>2014</v>
      </c>
      <c r="N118" s="616">
        <v>2015</v>
      </c>
      <c r="O118" s="616">
        <v>2016</v>
      </c>
      <c r="P118" s="621">
        <v>2017</v>
      </c>
      <c r="Q118" s="616">
        <v>2018</v>
      </c>
      <c r="R118" s="616">
        <v>2019</v>
      </c>
      <c r="S118" s="616">
        <v>2020</v>
      </c>
      <c r="T118" s="616">
        <v>2021</v>
      </c>
      <c r="U118" s="616">
        <v>2022</v>
      </c>
      <c r="V118" s="616">
        <v>2023</v>
      </c>
      <c r="W118" s="616">
        <v>2024</v>
      </c>
      <c r="X118" s="616">
        <v>2025</v>
      </c>
      <c r="Y118" s="616">
        <v>2026</v>
      </c>
      <c r="Z118" s="616">
        <v>2027</v>
      </c>
      <c r="AA118" s="616">
        <v>2028</v>
      </c>
      <c r="AB118" s="616">
        <v>2029</v>
      </c>
      <c r="AC118" s="616">
        <v>2030</v>
      </c>
      <c r="AD118" s="616">
        <v>2031</v>
      </c>
    </row>
    <row r="119" spans="2:31" s="550" customFormat="1" ht="15.75" x14ac:dyDescent="0.25">
      <c r="C119" s="550" t="s">
        <v>242</v>
      </c>
      <c r="D119" s="325">
        <f>D$39</f>
        <v>6354.72</v>
      </c>
      <c r="E119" s="560">
        <f t="shared" ref="E119:P122" si="28">E$39</f>
        <v>9348.6</v>
      </c>
      <c r="F119" s="560">
        <f t="shared" si="28"/>
        <v>10389.6</v>
      </c>
      <c r="G119" s="560">
        <f t="shared" si="28"/>
        <v>16236.9</v>
      </c>
      <c r="H119" s="560">
        <f t="shared" si="28"/>
        <v>22918.6</v>
      </c>
      <c r="I119" s="560">
        <f t="shared" si="28"/>
        <v>20244.400000000001</v>
      </c>
      <c r="J119" s="560">
        <f t="shared" si="28"/>
        <v>20529.2</v>
      </c>
      <c r="K119" s="560">
        <f t="shared" si="28"/>
        <v>24959.200000000001</v>
      </c>
      <c r="L119" s="560">
        <f t="shared" si="28"/>
        <v>21364.5</v>
      </c>
      <c r="M119" s="560">
        <f t="shared" si="28"/>
        <v>18437.3</v>
      </c>
      <c r="N119" s="560">
        <f t="shared" si="28"/>
        <v>19685.3</v>
      </c>
      <c r="O119" s="560">
        <f t="shared" si="28"/>
        <v>17757.099999999999</v>
      </c>
      <c r="P119" s="604">
        <f t="shared" si="28"/>
        <v>16484.900000000001</v>
      </c>
      <c r="Q119" s="188">
        <f>Q39</f>
        <v>19334.359748999996</v>
      </c>
      <c r="R119" s="188">
        <f t="shared" ref="R119:AD119" si="29">R39</f>
        <v>22131.565099105173</v>
      </c>
      <c r="S119" s="188">
        <f t="shared" si="29"/>
        <v>24859.445558062944</v>
      </c>
      <c r="T119" s="188">
        <f t="shared" si="29"/>
        <v>27482.250633749165</v>
      </c>
      <c r="U119" s="188">
        <f t="shared" si="29"/>
        <v>30176.880551653434</v>
      </c>
      <c r="V119" s="188">
        <f t="shared" si="29"/>
        <v>33498.114542244366</v>
      </c>
      <c r="W119" s="188">
        <f t="shared" si="29"/>
        <v>37502.426142983313</v>
      </c>
      <c r="X119" s="188">
        <f t="shared" si="29"/>
        <v>41844.365540756713</v>
      </c>
      <c r="Y119" s="188">
        <f t="shared" si="29"/>
        <v>46621.998482352617</v>
      </c>
      <c r="Z119" s="188">
        <f t="shared" si="29"/>
        <v>51009.116524996367</v>
      </c>
      <c r="AA119" s="188">
        <f t="shared" si="29"/>
        <v>55259.368185540807</v>
      </c>
      <c r="AB119" s="188">
        <f t="shared" si="29"/>
        <v>59832.966474550994</v>
      </c>
      <c r="AC119" s="188">
        <f t="shared" si="29"/>
        <v>64753.269835767205</v>
      </c>
      <c r="AD119" s="188">
        <f t="shared" si="29"/>
        <v>70045.26936704632</v>
      </c>
      <c r="AE119" s="632"/>
    </row>
    <row r="120" spans="2:31" s="550" customFormat="1" x14ac:dyDescent="0.2">
      <c r="C120" s="550" t="s">
        <v>333</v>
      </c>
      <c r="D120" s="326">
        <f t="shared" ref="D120:P123" si="30">D$39</f>
        <v>6354.72</v>
      </c>
      <c r="E120" s="460">
        <f t="shared" si="28"/>
        <v>9348.6</v>
      </c>
      <c r="F120" s="460">
        <f t="shared" si="28"/>
        <v>10389.6</v>
      </c>
      <c r="G120" s="460">
        <f t="shared" si="28"/>
        <v>16236.9</v>
      </c>
      <c r="H120" s="460">
        <f t="shared" si="28"/>
        <v>22918.6</v>
      </c>
      <c r="I120" s="460">
        <f t="shared" si="28"/>
        <v>20244.400000000001</v>
      </c>
      <c r="J120" s="460">
        <f t="shared" si="28"/>
        <v>20529.2</v>
      </c>
      <c r="K120" s="460">
        <f t="shared" si="28"/>
        <v>24959.200000000001</v>
      </c>
      <c r="L120" s="460">
        <f t="shared" si="28"/>
        <v>21364.5</v>
      </c>
      <c r="M120" s="460">
        <f t="shared" si="28"/>
        <v>18437.3</v>
      </c>
      <c r="N120" s="460">
        <f t="shared" si="28"/>
        <v>19685.3</v>
      </c>
      <c r="O120" s="460">
        <f t="shared" si="28"/>
        <v>17757.099999999999</v>
      </c>
      <c r="P120" s="624">
        <f t="shared" si="28"/>
        <v>16484.900000000001</v>
      </c>
      <c r="Q120" s="620">
        <f t="shared" ref="Q120:AD120" si="31">Q128*Q$4</f>
        <v>19334.359748999996</v>
      </c>
      <c r="R120" s="620">
        <f t="shared" si="31"/>
        <v>22131.565099105173</v>
      </c>
      <c r="S120" s="620">
        <f t="shared" si="31"/>
        <v>24859.445558062944</v>
      </c>
      <c r="T120" s="620">
        <f t="shared" si="31"/>
        <v>27482.250633749165</v>
      </c>
      <c r="U120" s="620">
        <f t="shared" si="31"/>
        <v>30176.880551653434</v>
      </c>
      <c r="V120" s="620">
        <f t="shared" si="31"/>
        <v>33498.114542244366</v>
      </c>
      <c r="W120" s="620">
        <f t="shared" si="31"/>
        <v>37502.426142983313</v>
      </c>
      <c r="X120" s="620">
        <f t="shared" si="31"/>
        <v>41844.365540756713</v>
      </c>
      <c r="Y120" s="620">
        <f t="shared" si="31"/>
        <v>46621.998482352617</v>
      </c>
      <c r="Z120" s="620">
        <f t="shared" si="31"/>
        <v>51009.116524996367</v>
      </c>
      <c r="AA120" s="620">
        <f t="shared" si="31"/>
        <v>55259.368185540814</v>
      </c>
      <c r="AB120" s="620">
        <f t="shared" si="31"/>
        <v>59832.966474550994</v>
      </c>
      <c r="AC120" s="620">
        <f t="shared" si="31"/>
        <v>64753.269835767205</v>
      </c>
      <c r="AD120" s="641">
        <f t="shared" si="31"/>
        <v>70045.26936704632</v>
      </c>
    </row>
    <row r="121" spans="2:31" s="550" customFormat="1" x14ac:dyDescent="0.2">
      <c r="C121" s="550" t="s">
        <v>244</v>
      </c>
      <c r="D121" s="326">
        <f t="shared" si="30"/>
        <v>6354.72</v>
      </c>
      <c r="E121" s="460">
        <f t="shared" si="28"/>
        <v>9348.6</v>
      </c>
      <c r="F121" s="460">
        <f t="shared" si="28"/>
        <v>10389.6</v>
      </c>
      <c r="G121" s="460">
        <f t="shared" si="28"/>
        <v>16236.9</v>
      </c>
      <c r="H121" s="460">
        <f t="shared" si="28"/>
        <v>22918.6</v>
      </c>
      <c r="I121" s="460">
        <f t="shared" si="28"/>
        <v>20244.400000000001</v>
      </c>
      <c r="J121" s="460">
        <f t="shared" si="28"/>
        <v>20529.2</v>
      </c>
      <c r="K121" s="460">
        <f t="shared" si="28"/>
        <v>24959.200000000001</v>
      </c>
      <c r="L121" s="460">
        <f t="shared" si="28"/>
        <v>21364.5</v>
      </c>
      <c r="M121" s="460">
        <f t="shared" si="28"/>
        <v>18437.3</v>
      </c>
      <c r="N121" s="460">
        <f t="shared" si="28"/>
        <v>19685.3</v>
      </c>
      <c r="O121" s="460">
        <f t="shared" si="28"/>
        <v>17757.099999999999</v>
      </c>
      <c r="P121" s="624">
        <f t="shared" si="28"/>
        <v>16484.900000000001</v>
      </c>
      <c r="Q121" s="620">
        <f t="shared" ref="Q121:AD121" si="32">Q129*Q$4</f>
        <v>19334.359748999996</v>
      </c>
      <c r="R121" s="620">
        <f t="shared" si="32"/>
        <v>22131.565099105173</v>
      </c>
      <c r="S121" s="620">
        <f t="shared" si="32"/>
        <v>24859.445558062944</v>
      </c>
      <c r="T121" s="620">
        <f t="shared" si="32"/>
        <v>27482.250633749165</v>
      </c>
      <c r="U121" s="620">
        <f t="shared" si="32"/>
        <v>30176.880551653434</v>
      </c>
      <c r="V121" s="620">
        <f t="shared" si="32"/>
        <v>33498.114542244366</v>
      </c>
      <c r="W121" s="620">
        <f t="shared" si="32"/>
        <v>37502.426142983313</v>
      </c>
      <c r="X121" s="620">
        <f t="shared" si="32"/>
        <v>41844.365540756713</v>
      </c>
      <c r="Y121" s="620">
        <f t="shared" si="32"/>
        <v>46621.998482352617</v>
      </c>
      <c r="Z121" s="620">
        <f t="shared" si="32"/>
        <v>51009.116524996367</v>
      </c>
      <c r="AA121" s="620">
        <f t="shared" si="32"/>
        <v>55259.368185540814</v>
      </c>
      <c r="AB121" s="620">
        <f t="shared" si="32"/>
        <v>59832.966474550994</v>
      </c>
      <c r="AC121" s="620">
        <f t="shared" si="32"/>
        <v>64753.269835767205</v>
      </c>
      <c r="AD121" s="641">
        <f t="shared" si="32"/>
        <v>70045.26936704632</v>
      </c>
    </row>
    <row r="122" spans="2:31" s="550" customFormat="1" ht="13.5" thickBot="1" x14ac:dyDescent="0.25">
      <c r="C122" s="550" t="s">
        <v>332</v>
      </c>
      <c r="D122" s="328">
        <f t="shared" si="30"/>
        <v>6354.72</v>
      </c>
      <c r="E122" s="561">
        <f t="shared" si="28"/>
        <v>9348.6</v>
      </c>
      <c r="F122" s="561">
        <f t="shared" si="28"/>
        <v>10389.6</v>
      </c>
      <c r="G122" s="561">
        <f t="shared" si="28"/>
        <v>16236.9</v>
      </c>
      <c r="H122" s="561">
        <f t="shared" si="28"/>
        <v>22918.6</v>
      </c>
      <c r="I122" s="561">
        <f t="shared" si="28"/>
        <v>20244.400000000001</v>
      </c>
      <c r="J122" s="561">
        <f t="shared" si="28"/>
        <v>20529.2</v>
      </c>
      <c r="K122" s="561">
        <f t="shared" si="28"/>
        <v>24959.200000000001</v>
      </c>
      <c r="L122" s="561">
        <f t="shared" si="28"/>
        <v>21364.5</v>
      </c>
      <c r="M122" s="561">
        <f t="shared" si="28"/>
        <v>18437.3</v>
      </c>
      <c r="N122" s="561">
        <f t="shared" si="28"/>
        <v>19685.3</v>
      </c>
      <c r="O122" s="561">
        <f t="shared" si="28"/>
        <v>17757.099999999999</v>
      </c>
      <c r="P122" s="625">
        <f t="shared" si="28"/>
        <v>16484.900000000001</v>
      </c>
      <c r="Q122" s="642">
        <f t="shared" ref="Q122:AD123" si="33">Q130*Q$4</f>
        <v>19334.359748999996</v>
      </c>
      <c r="R122" s="642">
        <f t="shared" si="33"/>
        <v>22131.565099105173</v>
      </c>
      <c r="S122" s="642">
        <f t="shared" si="33"/>
        <v>24859.445558062944</v>
      </c>
      <c r="T122" s="642">
        <f t="shared" si="33"/>
        <v>27482.250633749165</v>
      </c>
      <c r="U122" s="642">
        <f t="shared" si="33"/>
        <v>30176.880551653434</v>
      </c>
      <c r="V122" s="642">
        <f t="shared" si="33"/>
        <v>33498.114542244366</v>
      </c>
      <c r="W122" s="642">
        <f t="shared" si="33"/>
        <v>37502.426142983313</v>
      </c>
      <c r="X122" s="642">
        <f t="shared" si="33"/>
        <v>41844.365540756713</v>
      </c>
      <c r="Y122" s="642">
        <f t="shared" si="33"/>
        <v>46621.998482352617</v>
      </c>
      <c r="Z122" s="642">
        <f t="shared" si="33"/>
        <v>51009.116524996367</v>
      </c>
      <c r="AA122" s="642">
        <f t="shared" si="33"/>
        <v>55259.368185540814</v>
      </c>
      <c r="AB122" s="642">
        <f t="shared" si="33"/>
        <v>59832.966474550994</v>
      </c>
      <c r="AC122" s="642">
        <f t="shared" si="33"/>
        <v>64753.269835767205</v>
      </c>
      <c r="AD122" s="643">
        <f t="shared" si="33"/>
        <v>70045.26936704632</v>
      </c>
    </row>
    <row r="123" spans="2:31" s="550" customFormat="1" ht="13.5" thickBot="1" x14ac:dyDescent="0.25">
      <c r="C123" s="355" t="s">
        <v>378</v>
      </c>
      <c r="D123" s="328">
        <f t="shared" si="30"/>
        <v>6354.72</v>
      </c>
      <c r="E123" s="328">
        <f t="shared" si="30"/>
        <v>9348.6</v>
      </c>
      <c r="F123" s="328">
        <f t="shared" si="30"/>
        <v>10389.6</v>
      </c>
      <c r="G123" s="328">
        <f t="shared" si="30"/>
        <v>16236.9</v>
      </c>
      <c r="H123" s="328">
        <f t="shared" si="30"/>
        <v>22918.6</v>
      </c>
      <c r="I123" s="328">
        <f t="shared" si="30"/>
        <v>20244.400000000001</v>
      </c>
      <c r="J123" s="328">
        <f t="shared" si="30"/>
        <v>20529.2</v>
      </c>
      <c r="K123" s="328">
        <f t="shared" si="30"/>
        <v>24959.200000000001</v>
      </c>
      <c r="L123" s="328">
        <f t="shared" si="30"/>
        <v>21364.5</v>
      </c>
      <c r="M123" s="328">
        <f t="shared" si="30"/>
        <v>18437.3</v>
      </c>
      <c r="N123" s="328">
        <f t="shared" si="30"/>
        <v>19685.3</v>
      </c>
      <c r="O123" s="328">
        <f t="shared" si="30"/>
        <v>17757.099999999999</v>
      </c>
      <c r="P123" s="328">
        <f t="shared" si="30"/>
        <v>16484.900000000001</v>
      </c>
      <c r="Q123" s="642">
        <f t="shared" si="33"/>
        <v>19334.359748999996</v>
      </c>
      <c r="R123" s="642">
        <f t="shared" si="33"/>
        <v>22131.565099105173</v>
      </c>
      <c r="S123" s="642">
        <f t="shared" si="33"/>
        <v>24859.445558062944</v>
      </c>
      <c r="T123" s="642">
        <f t="shared" si="33"/>
        <v>27482.250633749165</v>
      </c>
      <c r="U123" s="642">
        <f t="shared" si="33"/>
        <v>30176.880551653434</v>
      </c>
      <c r="V123" s="642">
        <f t="shared" si="33"/>
        <v>33498.114542244366</v>
      </c>
      <c r="W123" s="642">
        <f t="shared" si="33"/>
        <v>37502.426142983313</v>
      </c>
      <c r="X123" s="642">
        <f t="shared" si="33"/>
        <v>41844.365540756713</v>
      </c>
      <c r="Y123" s="642">
        <f t="shared" si="33"/>
        <v>46621.998482352617</v>
      </c>
      <c r="Z123" s="642">
        <f t="shared" si="33"/>
        <v>51009.116524996367</v>
      </c>
      <c r="AA123" s="642">
        <f t="shared" si="33"/>
        <v>55259.368185540814</v>
      </c>
      <c r="AB123" s="642">
        <f t="shared" si="33"/>
        <v>59832.966474550994</v>
      </c>
      <c r="AC123" s="642">
        <f t="shared" si="33"/>
        <v>64753.269835767205</v>
      </c>
      <c r="AD123" s="642">
        <f t="shared" si="33"/>
        <v>70045.26936704632</v>
      </c>
    </row>
    <row r="124" spans="2:31" s="550" customFormat="1" x14ac:dyDescent="0.2"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383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2:31" s="550" customFormat="1" x14ac:dyDescent="0.2">
      <c r="B125" s="198" t="s">
        <v>346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383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2:31" s="562" customFormat="1" x14ac:dyDescent="0.2">
      <c r="D126" s="616">
        <v>2005</v>
      </c>
      <c r="E126" s="616">
        <v>2006</v>
      </c>
      <c r="F126" s="616">
        <v>2007</v>
      </c>
      <c r="G126" s="622">
        <v>2008</v>
      </c>
      <c r="H126" s="616">
        <v>2009</v>
      </c>
      <c r="I126" s="617">
        <v>2010</v>
      </c>
      <c r="J126" s="616">
        <v>2011</v>
      </c>
      <c r="K126" s="616">
        <v>2012</v>
      </c>
      <c r="L126" s="616">
        <v>2013</v>
      </c>
      <c r="M126" s="616">
        <v>2014</v>
      </c>
      <c r="N126" s="616">
        <v>2015</v>
      </c>
      <c r="O126" s="616">
        <v>2016</v>
      </c>
      <c r="P126" s="621">
        <v>2017</v>
      </c>
      <c r="Q126" s="616">
        <v>2018</v>
      </c>
      <c r="R126" s="616">
        <v>2019</v>
      </c>
      <c r="S126" s="616">
        <v>2020</v>
      </c>
      <c r="T126" s="616">
        <v>2021</v>
      </c>
      <c r="U126" s="616">
        <v>2022</v>
      </c>
      <c r="V126" s="616">
        <v>2023</v>
      </c>
      <c r="W126" s="616">
        <v>2024</v>
      </c>
      <c r="X126" s="616">
        <v>2025</v>
      </c>
      <c r="Y126" s="616">
        <v>2026</v>
      </c>
      <c r="Z126" s="616">
        <v>2027</v>
      </c>
      <c r="AA126" s="616">
        <v>2028</v>
      </c>
      <c r="AB126" s="616">
        <v>2029</v>
      </c>
      <c r="AC126" s="616">
        <v>2030</v>
      </c>
      <c r="AD126" s="616">
        <v>2031</v>
      </c>
    </row>
    <row r="127" spans="2:31" s="550" customFormat="1" ht="15.75" x14ac:dyDescent="0.25">
      <c r="C127" s="550" t="s">
        <v>242</v>
      </c>
      <c r="D127" s="188">
        <f>D119/D$4</f>
        <v>6354.72</v>
      </c>
      <c r="E127" s="188">
        <f t="shared" ref="E127:P127" si="34">E119/E$4</f>
        <v>8623.7719662377203</v>
      </c>
      <c r="F127" s="188">
        <f t="shared" si="34"/>
        <v>8587.8671826528644</v>
      </c>
      <c r="G127" s="188">
        <f t="shared" si="34"/>
        <v>11679.702558071775</v>
      </c>
      <c r="H127" s="188">
        <f t="shared" si="34"/>
        <v>14977.791663858638</v>
      </c>
      <c r="I127" s="188">
        <f t="shared" si="34"/>
        <v>11900.823235010826</v>
      </c>
      <c r="J127" s="188">
        <f t="shared" si="34"/>
        <v>10881.115375653835</v>
      </c>
      <c r="K127" s="188">
        <f t="shared" si="34"/>
        <v>12012.57937086435</v>
      </c>
      <c r="L127" s="188">
        <f t="shared" si="34"/>
        <v>9419.6510665402802</v>
      </c>
      <c r="M127" s="188">
        <f t="shared" si="34"/>
        <v>7300.4424721542118</v>
      </c>
      <c r="N127" s="188">
        <f t="shared" si="34"/>
        <v>6798.6054709685595</v>
      </c>
      <c r="O127" s="188">
        <f t="shared" si="34"/>
        <v>5256.2018235241276</v>
      </c>
      <c r="P127" s="383">
        <f t="shared" si="34"/>
        <v>4158.1793294006602</v>
      </c>
      <c r="Q127" s="188">
        <f>Q119/Q$4</f>
        <v>4264.916417035598</v>
      </c>
      <c r="R127" s="188">
        <f t="shared" ref="R127:AD127" si="35">R119/R$4</f>
        <v>4370.5861337941897</v>
      </c>
      <c r="S127" s="188">
        <f t="shared" si="35"/>
        <v>4475.1991533851951</v>
      </c>
      <c r="T127" s="188">
        <f t="shared" si="35"/>
        <v>4578.7660427802884</v>
      </c>
      <c r="U127" s="188">
        <f t="shared" si="35"/>
        <v>4681.2972632814326</v>
      </c>
      <c r="V127" s="188">
        <f t="shared" si="35"/>
        <v>4782.8031715775624</v>
      </c>
      <c r="W127" s="188">
        <f t="shared" si="35"/>
        <v>4883.2940207907341</v>
      </c>
      <c r="X127" s="188">
        <f t="shared" si="35"/>
        <v>4982.7799615117729</v>
      </c>
      <c r="Y127" s="188">
        <f t="shared" si="35"/>
        <v>5081.2710428256005</v>
      </c>
      <c r="Z127" s="188">
        <f t="shared" si="35"/>
        <v>5178.7772133262888</v>
      </c>
      <c r="AA127" s="188">
        <f t="shared" si="35"/>
        <v>5275.3083221219749</v>
      </c>
      <c r="AB127" s="188">
        <f t="shared" si="35"/>
        <v>5370.8741198296993</v>
      </c>
      <c r="AC127" s="188">
        <f t="shared" si="35"/>
        <v>5465.4842595603486</v>
      </c>
      <c r="AD127" s="188">
        <f t="shared" si="35"/>
        <v>5559.1482978936892</v>
      </c>
      <c r="AE127" s="632"/>
    </row>
    <row r="128" spans="2:31" s="550" customFormat="1" x14ac:dyDescent="0.2">
      <c r="C128" s="550" t="s">
        <v>333</v>
      </c>
      <c r="D128" s="188">
        <f t="shared" ref="D128:P131" si="36">D120/D$4</f>
        <v>6354.72</v>
      </c>
      <c r="E128" s="188">
        <f t="shared" si="36"/>
        <v>8623.7719662377203</v>
      </c>
      <c r="F128" s="188">
        <f t="shared" si="36"/>
        <v>8587.8671826528644</v>
      </c>
      <c r="G128" s="188">
        <f t="shared" si="36"/>
        <v>11679.702558071775</v>
      </c>
      <c r="H128" s="188">
        <f t="shared" si="36"/>
        <v>14977.791663858638</v>
      </c>
      <c r="I128" s="188">
        <f t="shared" si="36"/>
        <v>11900.823235010826</v>
      </c>
      <c r="J128" s="188">
        <f t="shared" si="36"/>
        <v>10881.115375653835</v>
      </c>
      <c r="K128" s="188">
        <f t="shared" si="36"/>
        <v>12012.57937086435</v>
      </c>
      <c r="L128" s="188">
        <f t="shared" si="36"/>
        <v>9419.6510665402802</v>
      </c>
      <c r="M128" s="188">
        <f t="shared" si="36"/>
        <v>7300.4424721542118</v>
      </c>
      <c r="N128" s="188">
        <f t="shared" si="36"/>
        <v>6798.6054709685595</v>
      </c>
      <c r="O128" s="188">
        <f t="shared" si="36"/>
        <v>5256.2018235241276</v>
      </c>
      <c r="P128" s="383">
        <f t="shared" si="36"/>
        <v>4158.1793294006602</v>
      </c>
      <c r="Q128" s="633">
        <f>Q127</f>
        <v>4264.916417035598</v>
      </c>
      <c r="R128" s="633">
        <f t="shared" ref="R128:AD128" si="37">R127</f>
        <v>4370.5861337941897</v>
      </c>
      <c r="S128" s="633">
        <f t="shared" si="37"/>
        <v>4475.1991533851951</v>
      </c>
      <c r="T128" s="633">
        <f t="shared" si="37"/>
        <v>4578.7660427802884</v>
      </c>
      <c r="U128" s="633">
        <f t="shared" si="37"/>
        <v>4681.2972632814326</v>
      </c>
      <c r="V128" s="633">
        <f t="shared" si="37"/>
        <v>4782.8031715775624</v>
      </c>
      <c r="W128" s="633">
        <f t="shared" si="37"/>
        <v>4883.2940207907341</v>
      </c>
      <c r="X128" s="633">
        <f t="shared" si="37"/>
        <v>4982.7799615117729</v>
      </c>
      <c r="Y128" s="633">
        <f t="shared" si="37"/>
        <v>5081.2710428256005</v>
      </c>
      <c r="Z128" s="633">
        <f t="shared" si="37"/>
        <v>5178.7772133262888</v>
      </c>
      <c r="AA128" s="633">
        <f t="shared" si="37"/>
        <v>5275.3083221219749</v>
      </c>
      <c r="AB128" s="633">
        <f t="shared" si="37"/>
        <v>5370.8741198296993</v>
      </c>
      <c r="AC128" s="633">
        <f t="shared" si="37"/>
        <v>5465.4842595603486</v>
      </c>
      <c r="AD128" s="633">
        <f t="shared" si="37"/>
        <v>5559.1482978936892</v>
      </c>
      <c r="AE128" s="240"/>
    </row>
    <row r="129" spans="2:30" s="550" customFormat="1" x14ac:dyDescent="0.2">
      <c r="C129" s="550" t="s">
        <v>244</v>
      </c>
      <c r="D129" s="188">
        <f t="shared" si="36"/>
        <v>6354.72</v>
      </c>
      <c r="E129" s="188">
        <f t="shared" si="36"/>
        <v>8623.7719662377203</v>
      </c>
      <c r="F129" s="188">
        <f t="shared" si="36"/>
        <v>8587.8671826528644</v>
      </c>
      <c r="G129" s="188">
        <f t="shared" si="36"/>
        <v>11679.702558071775</v>
      </c>
      <c r="H129" s="188">
        <f t="shared" si="36"/>
        <v>14977.791663858638</v>
      </c>
      <c r="I129" s="188">
        <f t="shared" si="36"/>
        <v>11900.823235010826</v>
      </c>
      <c r="J129" s="188">
        <f t="shared" si="36"/>
        <v>10881.115375653835</v>
      </c>
      <c r="K129" s="188">
        <f t="shared" si="36"/>
        <v>12012.57937086435</v>
      </c>
      <c r="L129" s="188">
        <f t="shared" si="36"/>
        <v>9419.6510665402802</v>
      </c>
      <c r="M129" s="188">
        <f t="shared" si="36"/>
        <v>7300.4424721542118</v>
      </c>
      <c r="N129" s="188">
        <f t="shared" si="36"/>
        <v>6798.6054709685595</v>
      </c>
      <c r="O129" s="188">
        <f t="shared" si="36"/>
        <v>5256.2018235241276</v>
      </c>
      <c r="P129" s="383">
        <f t="shared" si="36"/>
        <v>4158.1793294006602</v>
      </c>
      <c r="Q129" s="188">
        <f>Q127</f>
        <v>4264.916417035598</v>
      </c>
      <c r="R129" s="188">
        <f t="shared" ref="R129:AD129" si="38">R127</f>
        <v>4370.5861337941897</v>
      </c>
      <c r="S129" s="188">
        <f t="shared" si="38"/>
        <v>4475.1991533851951</v>
      </c>
      <c r="T129" s="188">
        <f t="shared" si="38"/>
        <v>4578.7660427802884</v>
      </c>
      <c r="U129" s="188">
        <f t="shared" si="38"/>
        <v>4681.2972632814326</v>
      </c>
      <c r="V129" s="188">
        <f t="shared" si="38"/>
        <v>4782.8031715775624</v>
      </c>
      <c r="W129" s="188">
        <f t="shared" si="38"/>
        <v>4883.2940207907341</v>
      </c>
      <c r="X129" s="188">
        <f t="shared" si="38"/>
        <v>4982.7799615117729</v>
      </c>
      <c r="Y129" s="188">
        <f t="shared" si="38"/>
        <v>5081.2710428256005</v>
      </c>
      <c r="Z129" s="188">
        <f t="shared" si="38"/>
        <v>5178.7772133262888</v>
      </c>
      <c r="AA129" s="188">
        <f t="shared" si="38"/>
        <v>5275.3083221219749</v>
      </c>
      <c r="AB129" s="188">
        <f t="shared" si="38"/>
        <v>5370.8741198296993</v>
      </c>
      <c r="AC129" s="188">
        <f t="shared" si="38"/>
        <v>5465.4842595603486</v>
      </c>
      <c r="AD129" s="188">
        <f t="shared" si="38"/>
        <v>5559.1482978936892</v>
      </c>
    </row>
    <row r="130" spans="2:30" s="550" customFormat="1" x14ac:dyDescent="0.2">
      <c r="C130" s="550" t="s">
        <v>332</v>
      </c>
      <c r="D130" s="188">
        <f t="shared" si="36"/>
        <v>6354.72</v>
      </c>
      <c r="E130" s="188">
        <f t="shared" si="36"/>
        <v>8623.7719662377203</v>
      </c>
      <c r="F130" s="188">
        <f t="shared" si="36"/>
        <v>8587.8671826528644</v>
      </c>
      <c r="G130" s="188">
        <f t="shared" si="36"/>
        <v>11679.702558071775</v>
      </c>
      <c r="H130" s="188">
        <f t="shared" si="36"/>
        <v>14977.791663858638</v>
      </c>
      <c r="I130" s="188">
        <f t="shared" si="36"/>
        <v>11900.823235010826</v>
      </c>
      <c r="J130" s="188">
        <f t="shared" si="36"/>
        <v>10881.115375653835</v>
      </c>
      <c r="K130" s="188">
        <f t="shared" si="36"/>
        <v>12012.57937086435</v>
      </c>
      <c r="L130" s="188">
        <f t="shared" si="36"/>
        <v>9419.6510665402802</v>
      </c>
      <c r="M130" s="188">
        <f t="shared" si="36"/>
        <v>7300.4424721542118</v>
      </c>
      <c r="N130" s="188">
        <f t="shared" si="36"/>
        <v>6798.6054709685595</v>
      </c>
      <c r="O130" s="188">
        <f t="shared" si="36"/>
        <v>5256.2018235241276</v>
      </c>
      <c r="P130" s="383">
        <f t="shared" si="36"/>
        <v>4158.1793294006602</v>
      </c>
      <c r="Q130" s="188">
        <f>Q127</f>
        <v>4264.916417035598</v>
      </c>
      <c r="R130" s="188">
        <f t="shared" ref="R130:AD130" si="39">R127</f>
        <v>4370.5861337941897</v>
      </c>
      <c r="S130" s="188">
        <f t="shared" si="39"/>
        <v>4475.1991533851951</v>
      </c>
      <c r="T130" s="188">
        <f t="shared" si="39"/>
        <v>4578.7660427802884</v>
      </c>
      <c r="U130" s="188">
        <f t="shared" si="39"/>
        <v>4681.2972632814326</v>
      </c>
      <c r="V130" s="188">
        <f t="shared" si="39"/>
        <v>4782.8031715775624</v>
      </c>
      <c r="W130" s="188">
        <f t="shared" si="39"/>
        <v>4883.2940207907341</v>
      </c>
      <c r="X130" s="188">
        <f t="shared" si="39"/>
        <v>4982.7799615117729</v>
      </c>
      <c r="Y130" s="188">
        <f t="shared" si="39"/>
        <v>5081.2710428256005</v>
      </c>
      <c r="Z130" s="188">
        <f t="shared" si="39"/>
        <v>5178.7772133262888</v>
      </c>
      <c r="AA130" s="188">
        <f t="shared" si="39"/>
        <v>5275.3083221219749</v>
      </c>
      <c r="AB130" s="188">
        <f t="shared" si="39"/>
        <v>5370.8741198296993</v>
      </c>
      <c r="AC130" s="188">
        <f t="shared" si="39"/>
        <v>5465.4842595603486</v>
      </c>
      <c r="AD130" s="188">
        <f t="shared" si="39"/>
        <v>5559.1482978936892</v>
      </c>
    </row>
    <row r="131" spans="2:30" s="550" customFormat="1" x14ac:dyDescent="0.2">
      <c r="C131" s="550" t="s">
        <v>378</v>
      </c>
      <c r="D131" s="188">
        <f t="shared" si="36"/>
        <v>6354.72</v>
      </c>
      <c r="E131" s="188">
        <f t="shared" si="36"/>
        <v>8623.7719662377203</v>
      </c>
      <c r="F131" s="188">
        <f t="shared" si="36"/>
        <v>8587.8671826528644</v>
      </c>
      <c r="G131" s="188">
        <f t="shared" si="36"/>
        <v>11679.702558071775</v>
      </c>
      <c r="H131" s="188">
        <f t="shared" si="36"/>
        <v>14977.791663858638</v>
      </c>
      <c r="I131" s="188">
        <f t="shared" si="36"/>
        <v>11900.823235010826</v>
      </c>
      <c r="J131" s="188">
        <f t="shared" si="36"/>
        <v>10881.115375653835</v>
      </c>
      <c r="K131" s="188">
        <f t="shared" si="36"/>
        <v>12012.57937086435</v>
      </c>
      <c r="L131" s="188">
        <f t="shared" si="36"/>
        <v>9419.6510665402802</v>
      </c>
      <c r="M131" s="188">
        <f t="shared" si="36"/>
        <v>7300.4424721542118</v>
      </c>
      <c r="N131" s="188">
        <f t="shared" si="36"/>
        <v>6798.6054709685595</v>
      </c>
      <c r="O131" s="188">
        <f t="shared" si="36"/>
        <v>5256.2018235241276</v>
      </c>
      <c r="P131" s="188">
        <f t="shared" si="36"/>
        <v>4158.1793294006602</v>
      </c>
      <c r="Q131" s="188">
        <f t="shared" ref="Q131:AD131" si="40">Q128</f>
        <v>4264.916417035598</v>
      </c>
      <c r="R131" s="188">
        <f t="shared" si="40"/>
        <v>4370.5861337941897</v>
      </c>
      <c r="S131" s="188">
        <f t="shared" si="40"/>
        <v>4475.1991533851951</v>
      </c>
      <c r="T131" s="188">
        <f t="shared" si="40"/>
        <v>4578.7660427802884</v>
      </c>
      <c r="U131" s="188">
        <f t="shared" si="40"/>
        <v>4681.2972632814326</v>
      </c>
      <c r="V131" s="188">
        <f t="shared" si="40"/>
        <v>4782.8031715775624</v>
      </c>
      <c r="W131" s="188">
        <f t="shared" si="40"/>
        <v>4883.2940207907341</v>
      </c>
      <c r="X131" s="188">
        <f t="shared" si="40"/>
        <v>4982.7799615117729</v>
      </c>
      <c r="Y131" s="188">
        <f t="shared" si="40"/>
        <v>5081.2710428256005</v>
      </c>
      <c r="Z131" s="188">
        <f t="shared" si="40"/>
        <v>5178.7772133262888</v>
      </c>
      <c r="AA131" s="188">
        <f t="shared" si="40"/>
        <v>5275.3083221219749</v>
      </c>
      <c r="AB131" s="188">
        <f t="shared" si="40"/>
        <v>5370.8741198296993</v>
      </c>
      <c r="AC131" s="188">
        <f t="shared" si="40"/>
        <v>5465.4842595603486</v>
      </c>
      <c r="AD131" s="188">
        <f t="shared" si="40"/>
        <v>5559.1482978936892</v>
      </c>
    </row>
    <row r="132" spans="2:30" s="550" customFormat="1" x14ac:dyDescent="0.2"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2:30" s="550" customFormat="1" ht="15.75" x14ac:dyDescent="0.25">
      <c r="C133" s="644" t="s">
        <v>358</v>
      </c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383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2:30" s="550" customFormat="1" x14ac:dyDescent="0.2">
      <c r="B134" s="198" t="s">
        <v>348</v>
      </c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383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2:30" s="550" customFormat="1" ht="13.5" thickBot="1" x14ac:dyDescent="0.25">
      <c r="B135" s="562"/>
      <c r="C135" s="562"/>
      <c r="D135" s="616">
        <v>2005</v>
      </c>
      <c r="E135" s="616">
        <v>2006</v>
      </c>
      <c r="F135" s="616">
        <v>2007</v>
      </c>
      <c r="G135" s="616">
        <v>2008</v>
      </c>
      <c r="H135" s="616">
        <v>2009</v>
      </c>
      <c r="I135" s="616">
        <v>2010</v>
      </c>
      <c r="J135" s="616">
        <v>2011</v>
      </c>
      <c r="K135" s="616">
        <v>2012</v>
      </c>
      <c r="L135" s="616">
        <v>2013</v>
      </c>
      <c r="M135" s="616">
        <v>2014</v>
      </c>
      <c r="N135" s="616">
        <v>2015</v>
      </c>
      <c r="O135" s="616">
        <v>2016</v>
      </c>
      <c r="P135" s="621">
        <v>2017</v>
      </c>
      <c r="Q135" s="616">
        <v>2018</v>
      </c>
      <c r="R135" s="616">
        <v>2019</v>
      </c>
      <c r="S135" s="616">
        <v>2020</v>
      </c>
      <c r="T135" s="616">
        <v>2021</v>
      </c>
      <c r="U135" s="616">
        <v>2022</v>
      </c>
      <c r="V135" s="616">
        <v>2023</v>
      </c>
      <c r="W135" s="616">
        <v>2024</v>
      </c>
      <c r="X135" s="616">
        <v>2025</v>
      </c>
      <c r="Y135" s="616">
        <v>2026</v>
      </c>
      <c r="Z135" s="616">
        <v>2027</v>
      </c>
      <c r="AA135" s="616">
        <v>2028</v>
      </c>
      <c r="AB135" s="616">
        <v>2029</v>
      </c>
      <c r="AC135" s="616">
        <v>2030</v>
      </c>
      <c r="AD135" s="616">
        <v>2031</v>
      </c>
    </row>
    <row r="136" spans="2:30" s="550" customFormat="1" x14ac:dyDescent="0.2">
      <c r="C136" s="550" t="s">
        <v>242</v>
      </c>
      <c r="D136" s="325">
        <f>D149*D$4</f>
        <v>0</v>
      </c>
      <c r="E136" s="560">
        <f t="shared" ref="E136:AD136" si="41">E149*E$4</f>
        <v>0</v>
      </c>
      <c r="F136" s="560">
        <f t="shared" si="41"/>
        <v>0</v>
      </c>
      <c r="G136" s="560">
        <f t="shared" si="41"/>
        <v>0</v>
      </c>
      <c r="H136" s="560">
        <f t="shared" si="41"/>
        <v>0</v>
      </c>
      <c r="I136" s="560">
        <f t="shared" si="41"/>
        <v>0</v>
      </c>
      <c r="J136" s="560">
        <f t="shared" si="41"/>
        <v>0</v>
      </c>
      <c r="K136" s="560">
        <f t="shared" si="41"/>
        <v>0</v>
      </c>
      <c r="L136" s="560">
        <f t="shared" si="41"/>
        <v>0</v>
      </c>
      <c r="M136" s="560">
        <f t="shared" si="41"/>
        <v>0</v>
      </c>
      <c r="N136" s="560">
        <f t="shared" si="41"/>
        <v>0</v>
      </c>
      <c r="O136" s="560">
        <f t="shared" si="41"/>
        <v>0</v>
      </c>
      <c r="P136" s="604">
        <f t="shared" si="41"/>
        <v>0</v>
      </c>
      <c r="Q136" s="560">
        <f t="shared" si="41"/>
        <v>0</v>
      </c>
      <c r="R136" s="560">
        <f t="shared" si="41"/>
        <v>0</v>
      </c>
      <c r="S136" s="560">
        <f t="shared" si="41"/>
        <v>0</v>
      </c>
      <c r="T136" s="560">
        <f t="shared" si="41"/>
        <v>0</v>
      </c>
      <c r="U136" s="560">
        <f t="shared" si="41"/>
        <v>0</v>
      </c>
      <c r="V136" s="560">
        <f t="shared" si="41"/>
        <v>0</v>
      </c>
      <c r="W136" s="560">
        <f t="shared" si="41"/>
        <v>0</v>
      </c>
      <c r="X136" s="560">
        <f t="shared" si="41"/>
        <v>0</v>
      </c>
      <c r="Y136" s="560">
        <f t="shared" si="41"/>
        <v>0</v>
      </c>
      <c r="Z136" s="560">
        <f t="shared" si="41"/>
        <v>0</v>
      </c>
      <c r="AA136" s="560">
        <f t="shared" si="41"/>
        <v>0</v>
      </c>
      <c r="AB136" s="560">
        <f t="shared" si="41"/>
        <v>0</v>
      </c>
      <c r="AC136" s="560">
        <f t="shared" si="41"/>
        <v>0</v>
      </c>
      <c r="AD136" s="577">
        <f t="shared" si="41"/>
        <v>0</v>
      </c>
    </row>
    <row r="137" spans="2:30" s="550" customFormat="1" x14ac:dyDescent="0.2">
      <c r="C137" s="550" t="s">
        <v>333</v>
      </c>
      <c r="D137" s="326">
        <f t="shared" ref="D137:AD137" si="42">D150*D$4</f>
        <v>0</v>
      </c>
      <c r="E137" s="460">
        <f t="shared" si="42"/>
        <v>0</v>
      </c>
      <c r="F137" s="460">
        <f t="shared" si="42"/>
        <v>0</v>
      </c>
      <c r="G137" s="460">
        <f t="shared" si="42"/>
        <v>0</v>
      </c>
      <c r="H137" s="460">
        <f t="shared" si="42"/>
        <v>0</v>
      </c>
      <c r="I137" s="460">
        <f t="shared" si="42"/>
        <v>0</v>
      </c>
      <c r="J137" s="460">
        <f t="shared" si="42"/>
        <v>0</v>
      </c>
      <c r="K137" s="460">
        <f t="shared" si="42"/>
        <v>0</v>
      </c>
      <c r="L137" s="460">
        <f t="shared" si="42"/>
        <v>0</v>
      </c>
      <c r="M137" s="460">
        <f t="shared" si="42"/>
        <v>0</v>
      </c>
      <c r="N137" s="460">
        <f t="shared" si="42"/>
        <v>0</v>
      </c>
      <c r="O137" s="460">
        <f t="shared" si="42"/>
        <v>0</v>
      </c>
      <c r="P137" s="624">
        <f t="shared" si="42"/>
        <v>0</v>
      </c>
      <c r="Q137" s="460">
        <f t="shared" si="42"/>
        <v>0</v>
      </c>
      <c r="R137" s="460">
        <f t="shared" si="42"/>
        <v>0</v>
      </c>
      <c r="S137" s="460">
        <f t="shared" si="42"/>
        <v>0</v>
      </c>
      <c r="T137" s="460">
        <f t="shared" si="42"/>
        <v>0</v>
      </c>
      <c r="U137" s="460">
        <f t="shared" si="42"/>
        <v>0</v>
      </c>
      <c r="V137" s="460">
        <f t="shared" si="42"/>
        <v>0</v>
      </c>
      <c r="W137" s="460">
        <f t="shared" si="42"/>
        <v>0</v>
      </c>
      <c r="X137" s="460">
        <f t="shared" si="42"/>
        <v>0</v>
      </c>
      <c r="Y137" s="460">
        <f t="shared" si="42"/>
        <v>0</v>
      </c>
      <c r="Z137" s="460">
        <f t="shared" si="42"/>
        <v>0</v>
      </c>
      <c r="AA137" s="460">
        <f t="shared" si="42"/>
        <v>0</v>
      </c>
      <c r="AB137" s="460">
        <f t="shared" si="42"/>
        <v>0</v>
      </c>
      <c r="AC137" s="460">
        <f t="shared" si="42"/>
        <v>0</v>
      </c>
      <c r="AD137" s="645">
        <f t="shared" si="42"/>
        <v>0</v>
      </c>
    </row>
    <row r="138" spans="2:30" s="550" customFormat="1" x14ac:dyDescent="0.2">
      <c r="C138" s="550" t="s">
        <v>244</v>
      </c>
      <c r="D138" s="326">
        <f t="shared" ref="D138:AD138" si="43">D151*D$4</f>
        <v>0</v>
      </c>
      <c r="E138" s="460">
        <f t="shared" si="43"/>
        <v>0</v>
      </c>
      <c r="F138" s="460">
        <f t="shared" si="43"/>
        <v>0</v>
      </c>
      <c r="G138" s="460">
        <f t="shared" si="43"/>
        <v>0</v>
      </c>
      <c r="H138" s="460">
        <f t="shared" si="43"/>
        <v>0</v>
      </c>
      <c r="I138" s="460">
        <f t="shared" si="43"/>
        <v>51826.615225421898</v>
      </c>
      <c r="J138" s="460">
        <f t="shared" si="43"/>
        <v>57480.89894651543</v>
      </c>
      <c r="K138" s="460">
        <f t="shared" si="43"/>
        <v>63302.276987323778</v>
      </c>
      <c r="L138" s="460">
        <f t="shared" si="43"/>
        <v>0</v>
      </c>
      <c r="M138" s="460">
        <f t="shared" si="43"/>
        <v>0</v>
      </c>
      <c r="N138" s="460">
        <f t="shared" si="43"/>
        <v>0</v>
      </c>
      <c r="O138" s="460">
        <f t="shared" si="43"/>
        <v>0</v>
      </c>
      <c r="P138" s="624">
        <f t="shared" si="43"/>
        <v>0</v>
      </c>
      <c r="Q138" s="460">
        <f t="shared" si="43"/>
        <v>0</v>
      </c>
      <c r="R138" s="460">
        <f t="shared" si="43"/>
        <v>0</v>
      </c>
      <c r="S138" s="460">
        <f t="shared" si="43"/>
        <v>0</v>
      </c>
      <c r="T138" s="460">
        <f t="shared" si="43"/>
        <v>0</v>
      </c>
      <c r="U138" s="460">
        <f t="shared" si="43"/>
        <v>0</v>
      </c>
      <c r="V138" s="460">
        <f t="shared" si="43"/>
        <v>0</v>
      </c>
      <c r="W138" s="460">
        <f t="shared" si="43"/>
        <v>0</v>
      </c>
      <c r="X138" s="460">
        <f t="shared" si="43"/>
        <v>0</v>
      </c>
      <c r="Y138" s="460">
        <f t="shared" si="43"/>
        <v>0</v>
      </c>
      <c r="Z138" s="460">
        <f t="shared" si="43"/>
        <v>0</v>
      </c>
      <c r="AA138" s="460">
        <f t="shared" si="43"/>
        <v>0</v>
      </c>
      <c r="AB138" s="460">
        <f t="shared" si="43"/>
        <v>0</v>
      </c>
      <c r="AC138" s="460">
        <f t="shared" si="43"/>
        <v>0</v>
      </c>
      <c r="AD138" s="645">
        <f t="shared" si="43"/>
        <v>0</v>
      </c>
    </row>
    <row r="139" spans="2:30" s="550" customFormat="1" ht="13.5" thickBot="1" x14ac:dyDescent="0.25">
      <c r="C139" s="550" t="s">
        <v>332</v>
      </c>
      <c r="D139" s="328">
        <f t="shared" ref="D139:AD140" si="44">D152*D$4</f>
        <v>0</v>
      </c>
      <c r="E139" s="561">
        <f t="shared" si="44"/>
        <v>0</v>
      </c>
      <c r="F139" s="561">
        <f t="shared" si="44"/>
        <v>0</v>
      </c>
      <c r="G139" s="561">
        <f t="shared" si="44"/>
        <v>0</v>
      </c>
      <c r="H139" s="561">
        <f t="shared" si="44"/>
        <v>0</v>
      </c>
      <c r="I139" s="561">
        <f t="shared" si="44"/>
        <v>15547.984567626569</v>
      </c>
      <c r="J139" s="561">
        <f t="shared" si="44"/>
        <v>17244.269683954626</v>
      </c>
      <c r="K139" s="561">
        <f t="shared" si="44"/>
        <v>18990.683096197132</v>
      </c>
      <c r="L139" s="561">
        <f t="shared" si="44"/>
        <v>20730.229667808788</v>
      </c>
      <c r="M139" s="561">
        <f t="shared" si="44"/>
        <v>23083.110735105085</v>
      </c>
      <c r="N139" s="561">
        <f t="shared" si="44"/>
        <v>26464.786457797978</v>
      </c>
      <c r="O139" s="561">
        <f t="shared" si="44"/>
        <v>30877.789599635791</v>
      </c>
      <c r="P139" s="625">
        <f t="shared" si="44"/>
        <v>36235.086095172599</v>
      </c>
      <c r="Q139" s="561">
        <f t="shared" si="44"/>
        <v>41434.820949829867</v>
      </c>
      <c r="R139" s="561">
        <f t="shared" si="44"/>
        <v>46282.69500095996</v>
      </c>
      <c r="S139" s="561">
        <f t="shared" si="44"/>
        <v>0</v>
      </c>
      <c r="T139" s="561">
        <f t="shared" si="44"/>
        <v>0</v>
      </c>
      <c r="U139" s="561">
        <f t="shared" si="44"/>
        <v>0</v>
      </c>
      <c r="V139" s="561">
        <f t="shared" si="44"/>
        <v>0</v>
      </c>
      <c r="W139" s="561">
        <f t="shared" si="44"/>
        <v>0</v>
      </c>
      <c r="X139" s="561">
        <f t="shared" si="44"/>
        <v>0</v>
      </c>
      <c r="Y139" s="561">
        <f t="shared" si="44"/>
        <v>0</v>
      </c>
      <c r="Z139" s="561">
        <f t="shared" si="44"/>
        <v>0</v>
      </c>
      <c r="AA139" s="561">
        <f t="shared" si="44"/>
        <v>0</v>
      </c>
      <c r="AB139" s="561">
        <f t="shared" si="44"/>
        <v>0</v>
      </c>
      <c r="AC139" s="561">
        <f t="shared" si="44"/>
        <v>0</v>
      </c>
      <c r="AD139" s="646">
        <f t="shared" si="44"/>
        <v>0</v>
      </c>
    </row>
    <row r="140" spans="2:30" s="550" customFormat="1" ht="13.5" thickBot="1" x14ac:dyDescent="0.25">
      <c r="C140" s="355" t="s">
        <v>378</v>
      </c>
      <c r="D140" s="328">
        <f t="shared" si="44"/>
        <v>0</v>
      </c>
      <c r="E140" s="328">
        <f t="shared" si="44"/>
        <v>0</v>
      </c>
      <c r="F140" s="328">
        <f t="shared" si="44"/>
        <v>0</v>
      </c>
      <c r="G140" s="328">
        <f t="shared" si="44"/>
        <v>0</v>
      </c>
      <c r="H140" s="328">
        <f t="shared" si="44"/>
        <v>0</v>
      </c>
      <c r="I140" s="328">
        <f t="shared" si="44"/>
        <v>31470.209464014388</v>
      </c>
      <c r="J140" s="328">
        <f t="shared" si="44"/>
        <v>37544.963535087205</v>
      </c>
      <c r="K140" s="328">
        <f t="shared" si="44"/>
        <v>43632.860505485754</v>
      </c>
      <c r="L140" s="328">
        <f t="shared" si="44"/>
        <v>49897.708171968632</v>
      </c>
      <c r="M140" s="328">
        <f t="shared" si="44"/>
        <v>25255.044567948669</v>
      </c>
      <c r="N140" s="328">
        <f t="shared" si="44"/>
        <v>0</v>
      </c>
      <c r="O140" s="328">
        <f t="shared" si="44"/>
        <v>0</v>
      </c>
      <c r="P140" s="328">
        <f t="shared" si="44"/>
        <v>0</v>
      </c>
      <c r="Q140" s="328">
        <f t="shared" si="44"/>
        <v>0</v>
      </c>
      <c r="R140" s="328">
        <f t="shared" si="44"/>
        <v>0</v>
      </c>
      <c r="S140" s="328">
        <f t="shared" si="44"/>
        <v>0</v>
      </c>
      <c r="T140" s="328">
        <f t="shared" si="44"/>
        <v>0</v>
      </c>
      <c r="U140" s="328">
        <f t="shared" si="44"/>
        <v>0</v>
      </c>
      <c r="V140" s="328">
        <f t="shared" si="44"/>
        <v>0</v>
      </c>
      <c r="W140" s="328">
        <f t="shared" si="44"/>
        <v>0</v>
      </c>
      <c r="X140" s="328">
        <f t="shared" si="44"/>
        <v>0</v>
      </c>
      <c r="Y140" s="328">
        <f t="shared" si="44"/>
        <v>0</v>
      </c>
      <c r="Z140" s="328">
        <f t="shared" si="44"/>
        <v>0</v>
      </c>
      <c r="AA140" s="328">
        <f t="shared" si="44"/>
        <v>0</v>
      </c>
      <c r="AB140" s="328">
        <f t="shared" si="44"/>
        <v>0</v>
      </c>
      <c r="AC140" s="328">
        <f t="shared" si="44"/>
        <v>0</v>
      </c>
      <c r="AD140" s="328">
        <f t="shared" si="44"/>
        <v>0</v>
      </c>
    </row>
    <row r="141" spans="2:30" s="550" customFormat="1" x14ac:dyDescent="0.2"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0"/>
      <c r="P141" s="624"/>
      <c r="Q141" s="460"/>
      <c r="R141" s="460"/>
      <c r="S141" s="460"/>
      <c r="T141" s="460"/>
      <c r="U141" s="460"/>
      <c r="V141" s="460"/>
      <c r="W141" s="460"/>
      <c r="X141" s="460"/>
      <c r="Y141" s="460"/>
      <c r="Z141" s="460"/>
      <c r="AA141" s="460"/>
      <c r="AB141" s="460"/>
      <c r="AC141" s="460"/>
      <c r="AD141" s="460"/>
    </row>
    <row r="142" spans="2:30" s="550" customFormat="1" x14ac:dyDescent="0.2"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0"/>
      <c r="P142" s="624"/>
      <c r="Q142" s="460"/>
      <c r="R142" s="460"/>
      <c r="S142" s="460"/>
      <c r="T142" s="460"/>
      <c r="U142" s="460"/>
      <c r="V142" s="460"/>
      <c r="W142" s="460"/>
      <c r="X142" s="460"/>
      <c r="Y142" s="460"/>
      <c r="Z142" s="460"/>
      <c r="AA142" s="460"/>
      <c r="AB142" s="460"/>
      <c r="AC142" s="460"/>
      <c r="AD142" s="460"/>
    </row>
    <row r="143" spans="2:30" s="550" customFormat="1" x14ac:dyDescent="0.2">
      <c r="D143" s="188"/>
      <c r="E143" s="188"/>
      <c r="F143" s="636">
        <f>H144-G144+1</f>
        <v>3</v>
      </c>
      <c r="G143" s="188"/>
      <c r="H143" s="188"/>
      <c r="I143" s="636">
        <f>K144-J144+1</f>
        <v>10</v>
      </c>
      <c r="J143" s="188"/>
      <c r="K143" s="188"/>
      <c r="L143" s="188"/>
      <c r="M143" s="188"/>
      <c r="N143" s="188"/>
      <c r="O143" s="188"/>
      <c r="P143" s="383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2:30" s="550" customFormat="1" ht="15.75" thickBot="1" x14ac:dyDescent="0.4">
      <c r="B144" s="191" t="s">
        <v>350</v>
      </c>
      <c r="D144" s="595">
        <v>91400</v>
      </c>
      <c r="E144" s="188"/>
      <c r="F144" s="634" t="s">
        <v>351</v>
      </c>
      <c r="G144" s="635">
        <f>[3]!StartScen3</f>
        <v>2010</v>
      </c>
      <c r="H144" s="635">
        <f>[3]!StopScen3</f>
        <v>2012</v>
      </c>
      <c r="I144" s="634" t="s">
        <v>352</v>
      </c>
      <c r="J144" s="635">
        <f>[3]!StartScen4</f>
        <v>2010</v>
      </c>
      <c r="K144" s="635">
        <f>[3]!StopScen4</f>
        <v>2019</v>
      </c>
      <c r="L144" s="188"/>
      <c r="M144" s="188"/>
      <c r="N144" s="188"/>
      <c r="O144" s="188"/>
      <c r="P144" s="383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2" s="550" customFormat="1" ht="15.75" thickBot="1" x14ac:dyDescent="0.4">
      <c r="B145" s="191" t="s">
        <v>364</v>
      </c>
      <c r="D145" s="595"/>
      <c r="E145" s="188"/>
      <c r="F145" s="634"/>
      <c r="G145" s="635"/>
      <c r="H145" s="635"/>
      <c r="I145" s="650">
        <v>18500</v>
      </c>
      <c r="J145" s="651">
        <v>19900</v>
      </c>
      <c r="K145" s="651">
        <v>21000</v>
      </c>
      <c r="L145" s="652">
        <v>22000</v>
      </c>
      <c r="M145" s="653">
        <v>10000</v>
      </c>
      <c r="N145" s="188"/>
      <c r="O145" s="188"/>
      <c r="P145" s="383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2" s="550" customFormat="1" ht="15" x14ac:dyDescent="0.35">
      <c r="B146" s="191"/>
      <c r="D146" s="595"/>
      <c r="E146" s="188"/>
      <c r="F146" s="634"/>
      <c r="G146" s="635"/>
      <c r="H146" s="635"/>
      <c r="I146" s="634"/>
      <c r="J146" s="635"/>
      <c r="K146" s="635"/>
      <c r="L146" s="188"/>
      <c r="M146" s="188"/>
      <c r="N146" s="188"/>
      <c r="O146" s="188"/>
      <c r="P146" s="383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2" s="550" customFormat="1" x14ac:dyDescent="0.2">
      <c r="B147" s="198" t="s">
        <v>349</v>
      </c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383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2" s="550" customFormat="1" x14ac:dyDescent="0.2">
      <c r="B148" s="562"/>
      <c r="C148" s="562"/>
      <c r="D148" s="616">
        <v>2005</v>
      </c>
      <c r="E148" s="616">
        <v>2006</v>
      </c>
      <c r="F148" s="616">
        <v>2007</v>
      </c>
      <c r="G148" s="622">
        <v>2008</v>
      </c>
      <c r="H148" s="616">
        <v>2009</v>
      </c>
      <c r="I148" s="617">
        <v>2010</v>
      </c>
      <c r="J148" s="616">
        <v>2011</v>
      </c>
      <c r="K148" s="616">
        <v>2012</v>
      </c>
      <c r="L148" s="616">
        <v>2013</v>
      </c>
      <c r="M148" s="616">
        <v>2014</v>
      </c>
      <c r="N148" s="616">
        <v>2015</v>
      </c>
      <c r="O148" s="616">
        <v>2016</v>
      </c>
      <c r="P148" s="621">
        <v>2017</v>
      </c>
      <c r="Q148" s="616">
        <v>2018</v>
      </c>
      <c r="R148" s="616">
        <v>2019</v>
      </c>
      <c r="S148" s="616">
        <v>2020</v>
      </c>
      <c r="T148" s="616">
        <v>2021</v>
      </c>
      <c r="U148" s="616">
        <v>2022</v>
      </c>
      <c r="V148" s="616">
        <v>2023</v>
      </c>
      <c r="W148" s="616">
        <v>2024</v>
      </c>
      <c r="X148" s="616">
        <v>2025</v>
      </c>
      <c r="Y148" s="616">
        <v>2026</v>
      </c>
      <c r="Z148" s="616">
        <v>2027</v>
      </c>
      <c r="AA148" s="616">
        <v>2028</v>
      </c>
      <c r="AB148" s="616">
        <v>2029</v>
      </c>
      <c r="AC148" s="616">
        <v>2030</v>
      </c>
      <c r="AD148" s="616">
        <v>2031</v>
      </c>
    </row>
    <row r="149" spans="1:32" s="550" customFormat="1" x14ac:dyDescent="0.2">
      <c r="C149" s="550" t="s">
        <v>242</v>
      </c>
      <c r="D149" s="188">
        <v>0</v>
      </c>
      <c r="E149" s="188">
        <v>0</v>
      </c>
      <c r="F149" s="188">
        <v>0</v>
      </c>
      <c r="G149" s="188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188">
        <v>0</v>
      </c>
      <c r="O149" s="188">
        <v>0</v>
      </c>
      <c r="P149" s="383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</row>
    <row r="150" spans="1:32" s="550" customFormat="1" x14ac:dyDescent="0.2">
      <c r="C150" s="550" t="s">
        <v>333</v>
      </c>
      <c r="D150" s="188">
        <v>0</v>
      </c>
      <c r="E150" s="188">
        <v>0</v>
      </c>
      <c r="F150" s="188">
        <v>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0</v>
      </c>
      <c r="N150" s="188">
        <v>0</v>
      </c>
      <c r="O150" s="188">
        <v>0</v>
      </c>
      <c r="P150" s="383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</row>
    <row r="151" spans="1:32" s="550" customFormat="1" x14ac:dyDescent="0.2">
      <c r="C151" s="550" t="s">
        <v>244</v>
      </c>
      <c r="D151" s="188">
        <f>IF(AND(D148&gt;=$G$144,D148&lt;=$H$144),$D$144/$F$143,0)</f>
        <v>0</v>
      </c>
      <c r="E151" s="188">
        <f t="shared" ref="E151:AD151" si="45">IF(AND(E148&gt;=$G$144,E148&lt;=$H$144),$D$144/$F$143,0)</f>
        <v>0</v>
      </c>
      <c r="F151" s="188">
        <f t="shared" si="45"/>
        <v>0</v>
      </c>
      <c r="G151" s="188">
        <f t="shared" si="45"/>
        <v>0</v>
      </c>
      <c r="H151" s="188">
        <f t="shared" si="45"/>
        <v>0</v>
      </c>
      <c r="I151" s="188">
        <f t="shared" si="45"/>
        <v>30466.666666666668</v>
      </c>
      <c r="J151" s="188">
        <f t="shared" si="45"/>
        <v>30466.666666666668</v>
      </c>
      <c r="K151" s="188">
        <f t="shared" si="45"/>
        <v>30466.666666666668</v>
      </c>
      <c r="L151" s="188">
        <f t="shared" si="45"/>
        <v>0</v>
      </c>
      <c r="M151" s="188">
        <f t="shared" si="45"/>
        <v>0</v>
      </c>
      <c r="N151" s="188">
        <f t="shared" si="45"/>
        <v>0</v>
      </c>
      <c r="O151" s="188">
        <f t="shared" si="45"/>
        <v>0</v>
      </c>
      <c r="P151" s="383">
        <f t="shared" si="45"/>
        <v>0</v>
      </c>
      <c r="Q151" s="188">
        <f t="shared" si="45"/>
        <v>0</v>
      </c>
      <c r="R151" s="188">
        <f t="shared" si="45"/>
        <v>0</v>
      </c>
      <c r="S151" s="188">
        <f t="shared" si="45"/>
        <v>0</v>
      </c>
      <c r="T151" s="188">
        <f t="shared" si="45"/>
        <v>0</v>
      </c>
      <c r="U151" s="188">
        <f t="shared" si="45"/>
        <v>0</v>
      </c>
      <c r="V151" s="188">
        <f t="shared" si="45"/>
        <v>0</v>
      </c>
      <c r="W151" s="188">
        <f t="shared" si="45"/>
        <v>0</v>
      </c>
      <c r="X151" s="188">
        <f t="shared" si="45"/>
        <v>0</v>
      </c>
      <c r="Y151" s="188">
        <f t="shared" si="45"/>
        <v>0</v>
      </c>
      <c r="Z151" s="188">
        <f t="shared" si="45"/>
        <v>0</v>
      </c>
      <c r="AA151" s="188">
        <f t="shared" si="45"/>
        <v>0</v>
      </c>
      <c r="AB151" s="188">
        <f t="shared" si="45"/>
        <v>0</v>
      </c>
      <c r="AC151" s="188">
        <f t="shared" si="45"/>
        <v>0</v>
      </c>
      <c r="AD151" s="188">
        <f t="shared" si="45"/>
        <v>0</v>
      </c>
    </row>
    <row r="152" spans="1:32" s="550" customFormat="1" x14ac:dyDescent="0.2">
      <c r="C152" s="550" t="s">
        <v>332</v>
      </c>
      <c r="D152" s="188">
        <f>IF(AND(D148&gt;=$J$144,D148&lt;=$K$144),$D$144/$I$143,0)</f>
        <v>0</v>
      </c>
      <c r="E152" s="188">
        <f t="shared" ref="E152:AD152" si="46">IF(AND(E148&gt;=$J$144,E148&lt;=$K$144),$D$144/$I$143,0)</f>
        <v>0</v>
      </c>
      <c r="F152" s="188">
        <f t="shared" si="46"/>
        <v>0</v>
      </c>
      <c r="G152" s="188">
        <f t="shared" si="46"/>
        <v>0</v>
      </c>
      <c r="H152" s="188">
        <f t="shared" si="46"/>
        <v>0</v>
      </c>
      <c r="I152" s="188">
        <f t="shared" si="46"/>
        <v>9140</v>
      </c>
      <c r="J152" s="188">
        <f t="shared" si="46"/>
        <v>9140</v>
      </c>
      <c r="K152" s="188">
        <f t="shared" si="46"/>
        <v>9140</v>
      </c>
      <c r="L152" s="188">
        <f t="shared" si="46"/>
        <v>9140</v>
      </c>
      <c r="M152" s="188">
        <f t="shared" si="46"/>
        <v>9140</v>
      </c>
      <c r="N152" s="188">
        <f t="shared" si="46"/>
        <v>9140</v>
      </c>
      <c r="O152" s="188">
        <f t="shared" si="46"/>
        <v>9140</v>
      </c>
      <c r="P152" s="383">
        <f t="shared" si="46"/>
        <v>9140</v>
      </c>
      <c r="Q152" s="188">
        <f t="shared" si="46"/>
        <v>9140</v>
      </c>
      <c r="R152" s="188">
        <f t="shared" si="46"/>
        <v>9140</v>
      </c>
      <c r="S152" s="188">
        <f t="shared" si="46"/>
        <v>0</v>
      </c>
      <c r="T152" s="188">
        <f t="shared" si="46"/>
        <v>0</v>
      </c>
      <c r="U152" s="188">
        <f t="shared" si="46"/>
        <v>0</v>
      </c>
      <c r="V152" s="188">
        <f t="shared" si="46"/>
        <v>0</v>
      </c>
      <c r="W152" s="188">
        <f t="shared" si="46"/>
        <v>0</v>
      </c>
      <c r="X152" s="188">
        <f t="shared" si="46"/>
        <v>0</v>
      </c>
      <c r="Y152" s="188">
        <f t="shared" si="46"/>
        <v>0</v>
      </c>
      <c r="Z152" s="188">
        <f t="shared" si="46"/>
        <v>0</v>
      </c>
      <c r="AA152" s="188">
        <f t="shared" si="46"/>
        <v>0</v>
      </c>
      <c r="AB152" s="188">
        <f t="shared" si="46"/>
        <v>0</v>
      </c>
      <c r="AC152" s="188">
        <f t="shared" si="46"/>
        <v>0</v>
      </c>
      <c r="AD152" s="188">
        <f t="shared" si="46"/>
        <v>0</v>
      </c>
    </row>
    <row r="153" spans="1:32" s="550" customFormat="1" x14ac:dyDescent="0.2">
      <c r="C153" s="550" t="s">
        <v>378</v>
      </c>
      <c r="D153" s="188">
        <v>0</v>
      </c>
      <c r="E153" s="188">
        <v>0</v>
      </c>
      <c r="F153" s="188">
        <v>0</v>
      </c>
      <c r="G153" s="188">
        <v>0</v>
      </c>
      <c r="H153" s="188">
        <v>0</v>
      </c>
      <c r="I153" s="188">
        <f>I145</f>
        <v>18500</v>
      </c>
      <c r="J153" s="188">
        <f t="shared" ref="J153:M153" si="47">J145</f>
        <v>19900</v>
      </c>
      <c r="K153" s="188">
        <f t="shared" si="47"/>
        <v>21000</v>
      </c>
      <c r="L153" s="188">
        <f t="shared" si="47"/>
        <v>22000</v>
      </c>
      <c r="M153" s="188">
        <f t="shared" si="47"/>
        <v>10000</v>
      </c>
      <c r="N153" s="188">
        <v>0</v>
      </c>
      <c r="O153" s="188">
        <v>0</v>
      </c>
      <c r="P153" s="383">
        <v>0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</row>
    <row r="154" spans="1:32" s="550" customFormat="1" ht="15.75" x14ac:dyDescent="0.25">
      <c r="C154" s="6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383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2" s="550" customFormat="1" x14ac:dyDescent="0.2">
      <c r="B155" s="596" t="s">
        <v>353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383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2" s="550" customFormat="1" x14ac:dyDescent="0.2"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383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2" s="550" customFormat="1" ht="69.75" thickBot="1" x14ac:dyDescent="0.35">
      <c r="A157" s="660" t="s">
        <v>379</v>
      </c>
      <c r="B157" s="661">
        <f>ГрСцЭкс!Q3</f>
        <v>5</v>
      </c>
      <c r="C157" s="562"/>
      <c r="D157" s="616">
        <v>2005</v>
      </c>
      <c r="E157" s="616">
        <v>2006</v>
      </c>
      <c r="F157" s="616">
        <v>2007</v>
      </c>
      <c r="G157" s="622">
        <v>2008</v>
      </c>
      <c r="H157" s="616">
        <v>2009</v>
      </c>
      <c r="I157" s="617">
        <v>2010</v>
      </c>
      <c r="J157" s="616">
        <v>2011</v>
      </c>
      <c r="K157" s="616">
        <v>2012</v>
      </c>
      <c r="L157" s="616">
        <v>2013</v>
      </c>
      <c r="M157" s="616">
        <v>2014</v>
      </c>
      <c r="N157" s="616">
        <v>2015</v>
      </c>
      <c r="O157" s="616">
        <v>2016</v>
      </c>
      <c r="P157" s="621">
        <v>2017</v>
      </c>
      <c r="Q157" s="616">
        <v>2018</v>
      </c>
      <c r="R157" s="616">
        <v>2019</v>
      </c>
      <c r="S157" s="616">
        <v>2020</v>
      </c>
      <c r="T157" s="616">
        <v>2021</v>
      </c>
      <c r="U157" s="616">
        <v>2022</v>
      </c>
      <c r="V157" s="616">
        <v>2023</v>
      </c>
      <c r="W157" s="616">
        <v>2024</v>
      </c>
      <c r="X157" s="616">
        <v>2025</v>
      </c>
      <c r="Y157" s="616">
        <v>2026</v>
      </c>
      <c r="Z157" s="616">
        <v>2027</v>
      </c>
      <c r="AA157" s="616">
        <v>2028</v>
      </c>
      <c r="AB157" s="616">
        <v>2029</v>
      </c>
      <c r="AC157" s="616">
        <v>2030</v>
      </c>
      <c r="AD157" s="616">
        <v>2031</v>
      </c>
    </row>
    <row r="158" spans="1:32" s="550" customFormat="1" x14ac:dyDescent="0.2">
      <c r="C158" s="550" t="s">
        <v>242</v>
      </c>
      <c r="D158" s="188">
        <f>(D$40-D$39)/D$4</f>
        <v>27330.28</v>
      </c>
      <c r="E158" s="188">
        <f t="shared" ref="E158:P159" si="48">(E$40-E$39)/E$4</f>
        <v>27599.095982657629</v>
      </c>
      <c r="F158" s="188">
        <f t="shared" si="48"/>
        <v>15082.412809127589</v>
      </c>
      <c r="G158" s="188">
        <f t="shared" si="48"/>
        <v>15892.75122575899</v>
      </c>
      <c r="H158" s="188">
        <f t="shared" si="48"/>
        <v>11690.383820154919</v>
      </c>
      <c r="I158" s="188">
        <f t="shared" si="48"/>
        <v>13812.006891693349</v>
      </c>
      <c r="J158" s="188">
        <f t="shared" si="48"/>
        <v>13785.739051691897</v>
      </c>
      <c r="K158" s="188">
        <f t="shared" si="48"/>
        <v>10905.952405760163</v>
      </c>
      <c r="L158" s="188">
        <f t="shared" si="48"/>
        <v>13683.305807290801</v>
      </c>
      <c r="M158" s="188">
        <f t="shared" si="48"/>
        <v>12288.594429719034</v>
      </c>
      <c r="N158" s="188">
        <f t="shared" si="48"/>
        <v>11570.542482490846</v>
      </c>
      <c r="O158" s="188">
        <f t="shared" si="48"/>
        <v>11193.453433081128</v>
      </c>
      <c r="P158" s="383">
        <f t="shared" si="48"/>
        <v>10673.708763493907</v>
      </c>
      <c r="Q158" s="188">
        <f>P158*(1+0.01*$AE$158)</f>
        <v>10566.971675858968</v>
      </c>
      <c r="R158" s="188">
        <f t="shared" ref="R158:AD158" si="49">Q158*(1+0.01*$AE$158)</f>
        <v>10461.301959100378</v>
      </c>
      <c r="S158" s="188">
        <f t="shared" si="49"/>
        <v>10356.688939509373</v>
      </c>
      <c r="T158" s="188">
        <f t="shared" si="49"/>
        <v>10253.12205011428</v>
      </c>
      <c r="U158" s="188">
        <f t="shared" si="49"/>
        <v>10150.590829613137</v>
      </c>
      <c r="V158" s="188">
        <f t="shared" si="49"/>
        <v>10049.084921317006</v>
      </c>
      <c r="W158" s="188">
        <f t="shared" si="49"/>
        <v>9948.5940721038351</v>
      </c>
      <c r="X158" s="188">
        <f t="shared" si="49"/>
        <v>9849.1081313827963</v>
      </c>
      <c r="Y158" s="188">
        <f t="shared" si="49"/>
        <v>9750.6170500689677</v>
      </c>
      <c r="Z158" s="188">
        <f t="shared" si="49"/>
        <v>9653.1108795682776</v>
      </c>
      <c r="AA158" s="188">
        <f t="shared" si="49"/>
        <v>9556.5797707725942</v>
      </c>
      <c r="AB158" s="188">
        <f t="shared" si="49"/>
        <v>9461.013973064868</v>
      </c>
      <c r="AC158" s="188">
        <f t="shared" si="49"/>
        <v>9366.4038333342196</v>
      </c>
      <c r="AD158" s="188">
        <f t="shared" si="49"/>
        <v>9272.7397950008781</v>
      </c>
      <c r="AE158" s="638">
        <f>[3]!TempRostaNeSySobstvrDohodov</f>
        <v>-1</v>
      </c>
      <c r="AF158" s="550" t="s">
        <v>354</v>
      </c>
    </row>
    <row r="159" spans="1:32" s="550" customFormat="1" x14ac:dyDescent="0.2">
      <c r="C159" s="550" t="s">
        <v>333</v>
      </c>
      <c r="D159" s="188">
        <f t="shared" ref="D159:H162" si="50">(D$40-D$39)/D$4</f>
        <v>27330.28</v>
      </c>
      <c r="E159" s="188">
        <f t="shared" si="48"/>
        <v>27599.095982657629</v>
      </c>
      <c r="F159" s="188">
        <f t="shared" si="48"/>
        <v>15082.412809127589</v>
      </c>
      <c r="G159" s="188">
        <f t="shared" si="48"/>
        <v>15892.75122575899</v>
      </c>
      <c r="H159" s="188">
        <f t="shared" si="48"/>
        <v>11690.383820154919</v>
      </c>
      <c r="I159" s="188">
        <f>(I$40-I$39)/I$4*(1+0.01*$AE$159*$B$157)</f>
        <v>15193.207580862685</v>
      </c>
      <c r="J159" s="188">
        <f t="shared" ref="J159:M159" si="51">(J$40-J$39)/J$4*(1+0.01*$AE$159*$B$157)</f>
        <v>15164.312956861088</v>
      </c>
      <c r="K159" s="188">
        <f t="shared" si="51"/>
        <v>11996.547646336181</v>
      </c>
      <c r="L159" s="188">
        <f t="shared" si="51"/>
        <v>15051.636388019882</v>
      </c>
      <c r="M159" s="188">
        <f t="shared" si="51"/>
        <v>13517.45387269094</v>
      </c>
      <c r="N159" s="188">
        <f>M159*(1+0.01*($AE$158+$AE$159))</f>
        <v>13652.628411417849</v>
      </c>
      <c r="O159" s="188">
        <f t="shared" ref="O159:AD159" si="52">N159*(1+0.01*($AE$158+$AE$159))</f>
        <v>13789.154695532028</v>
      </c>
      <c r="P159" s="188">
        <f t="shared" si="52"/>
        <v>13927.046242487349</v>
      </c>
      <c r="Q159" s="188">
        <f t="shared" si="52"/>
        <v>14066.316704912224</v>
      </c>
      <c r="R159" s="188">
        <f t="shared" si="52"/>
        <v>14206.979871961346</v>
      </c>
      <c r="S159" s="188">
        <f t="shared" si="52"/>
        <v>14349.049670680961</v>
      </c>
      <c r="T159" s="188">
        <f t="shared" si="52"/>
        <v>14492.540167387771</v>
      </c>
      <c r="U159" s="188">
        <f t="shared" si="52"/>
        <v>14637.465569061649</v>
      </c>
      <c r="V159" s="188">
        <f t="shared" si="52"/>
        <v>14783.840224752266</v>
      </c>
      <c r="W159" s="188">
        <f t="shared" si="52"/>
        <v>14931.678626999788</v>
      </c>
      <c r="X159" s="188">
        <f t="shared" si="52"/>
        <v>15080.995413269786</v>
      </c>
      <c r="Y159" s="188">
        <f t="shared" si="52"/>
        <v>15231.805367402483</v>
      </c>
      <c r="Z159" s="188">
        <f t="shared" si="52"/>
        <v>15384.123421076509</v>
      </c>
      <c r="AA159" s="188">
        <f t="shared" si="52"/>
        <v>15537.964655287275</v>
      </c>
      <c r="AB159" s="188">
        <f t="shared" si="52"/>
        <v>15693.344301840147</v>
      </c>
      <c r="AC159" s="188">
        <f t="shared" si="52"/>
        <v>15850.277744858548</v>
      </c>
      <c r="AD159" s="188">
        <f t="shared" si="52"/>
        <v>16008.780522307134</v>
      </c>
      <c r="AE159" s="639">
        <f>[3]!Delta1</f>
        <v>2</v>
      </c>
      <c r="AF159" s="550" t="s">
        <v>373</v>
      </c>
    </row>
    <row r="160" spans="1:32" s="550" customFormat="1" x14ac:dyDescent="0.2">
      <c r="C160" s="550" t="s">
        <v>244</v>
      </c>
      <c r="D160" s="188">
        <f>IF(AND(D157&gt;=$G$144,D157&lt;=$H$144),D158*(1+0.01*$B$157*$AE$160),IF(D157&gt;$H$144,D158*(1+0.01*$AE$160),D158))</f>
        <v>27330.28</v>
      </c>
      <c r="E160" s="188">
        <f>IF(AND(E157&gt;=$G$144,E157&lt;=$H$144),E158*(1+0.01*$B$157*$AE$160),IF(E157&gt;$H$144,D160*(1+0.01*($AE$160+$AE$158)),E158))</f>
        <v>27599.095982657629</v>
      </c>
      <c r="F160" s="188">
        <f t="shared" ref="F160:AD160" si="53">IF(AND(F157&gt;=$G$144,F157&lt;=$H$144),F158*(1+0.01*$B$157*$AE$160),IF(F157&gt;$H$144,E160*(1+0.01*($AE$160+$AE$158)),F158))</f>
        <v>15082.412809127589</v>
      </c>
      <c r="G160" s="188">
        <f t="shared" si="53"/>
        <v>15892.75122575899</v>
      </c>
      <c r="H160" s="188">
        <f t="shared" si="53"/>
        <v>11690.383820154919</v>
      </c>
      <c r="I160" s="188">
        <f t="shared" si="53"/>
        <v>14502.607236278016</v>
      </c>
      <c r="J160" s="188">
        <f t="shared" si="53"/>
        <v>14475.026004276493</v>
      </c>
      <c r="K160" s="188">
        <f t="shared" si="53"/>
        <v>11451.250026048172</v>
      </c>
      <c r="L160" s="188">
        <f t="shared" si="53"/>
        <v>11451.250026048172</v>
      </c>
      <c r="M160" s="188">
        <f t="shared" si="53"/>
        <v>11451.250026048172</v>
      </c>
      <c r="N160" s="188">
        <f t="shared" si="53"/>
        <v>11451.250026048172</v>
      </c>
      <c r="O160" s="188">
        <f t="shared" si="53"/>
        <v>11451.250026048172</v>
      </c>
      <c r="P160" s="188">
        <f t="shared" si="53"/>
        <v>11451.250026048172</v>
      </c>
      <c r="Q160" s="188">
        <f t="shared" si="53"/>
        <v>11451.250026048172</v>
      </c>
      <c r="R160" s="188">
        <f t="shared" si="53"/>
        <v>11451.250026048172</v>
      </c>
      <c r="S160" s="188">
        <f t="shared" si="53"/>
        <v>11451.250026048172</v>
      </c>
      <c r="T160" s="188">
        <f t="shared" si="53"/>
        <v>11451.250026048172</v>
      </c>
      <c r="U160" s="188">
        <f t="shared" si="53"/>
        <v>11451.250026048172</v>
      </c>
      <c r="V160" s="188">
        <f t="shared" si="53"/>
        <v>11451.250026048172</v>
      </c>
      <c r="W160" s="188">
        <f t="shared" si="53"/>
        <v>11451.250026048172</v>
      </c>
      <c r="X160" s="188">
        <f t="shared" si="53"/>
        <v>11451.250026048172</v>
      </c>
      <c r="Y160" s="188">
        <f t="shared" si="53"/>
        <v>11451.250026048172</v>
      </c>
      <c r="Z160" s="188">
        <f t="shared" si="53"/>
        <v>11451.250026048172</v>
      </c>
      <c r="AA160" s="188">
        <f t="shared" si="53"/>
        <v>11451.250026048172</v>
      </c>
      <c r="AB160" s="188">
        <f t="shared" si="53"/>
        <v>11451.250026048172</v>
      </c>
      <c r="AC160" s="188">
        <f t="shared" si="53"/>
        <v>11451.250026048172</v>
      </c>
      <c r="AD160" s="188">
        <f t="shared" si="53"/>
        <v>11451.250026048172</v>
      </c>
      <c r="AE160" s="639">
        <f>[3]!Delta2</f>
        <v>1</v>
      </c>
      <c r="AF160" s="550" t="s">
        <v>373</v>
      </c>
    </row>
    <row r="161" spans="2:32" s="550" customFormat="1" ht="13.5" thickBot="1" x14ac:dyDescent="0.25">
      <c r="C161" s="550" t="s">
        <v>332</v>
      </c>
      <c r="D161" s="188">
        <f>IF(AND(D157&gt;=$J$144,D157&lt;=$K$144),D158*(1+0.01*$B$157*$AE$161),IF(D157&gt;$J$144,D158*(1+0.01*$AE$161),D158))</f>
        <v>27330.28</v>
      </c>
      <c r="E161" s="188">
        <f>IF(AND(E157&gt;=$J$144,E157&lt;=$K$144),E158*(1+0.01*$B$157*$AE$161),IF(E157&gt;$J$144,D161*(1+0.01*($AE$161+$AE$158)),E158))</f>
        <v>27599.095982657629</v>
      </c>
      <c r="F161" s="188">
        <f t="shared" ref="F161:AD161" si="54">IF(AND(F157&gt;=$J$144,F157&lt;=$K$144),F158*(1+0.01*$B$157*$AE$161),IF(F157&gt;$J$144,E161*(1+0.01*($AE$161+$AE$158)),F158))</f>
        <v>15082.412809127589</v>
      </c>
      <c r="G161" s="188">
        <f t="shared" si="54"/>
        <v>15892.75122575899</v>
      </c>
      <c r="H161" s="188">
        <f t="shared" si="54"/>
        <v>11690.383820154919</v>
      </c>
      <c r="I161" s="188">
        <f t="shared" si="54"/>
        <v>14502.607236278016</v>
      </c>
      <c r="J161" s="188">
        <f t="shared" si="54"/>
        <v>14475.026004276493</v>
      </c>
      <c r="K161" s="188">
        <f t="shared" si="54"/>
        <v>11451.250026048172</v>
      </c>
      <c r="L161" s="188">
        <f t="shared" si="54"/>
        <v>14367.471097655342</v>
      </c>
      <c r="M161" s="188">
        <f t="shared" si="54"/>
        <v>12903.024151204987</v>
      </c>
      <c r="N161" s="188">
        <f t="shared" si="54"/>
        <v>12149.069606615389</v>
      </c>
      <c r="O161" s="188">
        <f t="shared" si="54"/>
        <v>11753.126104735184</v>
      </c>
      <c r="P161" s="188">
        <f t="shared" si="54"/>
        <v>11207.394201668603</v>
      </c>
      <c r="Q161" s="188">
        <f t="shared" si="54"/>
        <v>11095.320259651917</v>
      </c>
      <c r="R161" s="188">
        <f t="shared" si="54"/>
        <v>10984.367057055397</v>
      </c>
      <c r="S161" s="188">
        <f t="shared" si="54"/>
        <v>10984.367057055397</v>
      </c>
      <c r="T161" s="188">
        <f t="shared" si="54"/>
        <v>10984.367057055397</v>
      </c>
      <c r="U161" s="188">
        <f t="shared" si="54"/>
        <v>10984.367057055397</v>
      </c>
      <c r="V161" s="188">
        <f t="shared" si="54"/>
        <v>10984.367057055397</v>
      </c>
      <c r="W161" s="188">
        <f t="shared" si="54"/>
        <v>10984.367057055397</v>
      </c>
      <c r="X161" s="188">
        <f t="shared" si="54"/>
        <v>10984.367057055397</v>
      </c>
      <c r="Y161" s="188">
        <f t="shared" si="54"/>
        <v>10984.367057055397</v>
      </c>
      <c r="Z161" s="188">
        <f t="shared" si="54"/>
        <v>10984.367057055397</v>
      </c>
      <c r="AA161" s="188">
        <f t="shared" si="54"/>
        <v>10984.367057055397</v>
      </c>
      <c r="AB161" s="188">
        <f t="shared" si="54"/>
        <v>10984.367057055397</v>
      </c>
      <c r="AC161" s="188">
        <f t="shared" si="54"/>
        <v>10984.367057055397</v>
      </c>
      <c r="AD161" s="188">
        <f t="shared" si="54"/>
        <v>10984.367057055397</v>
      </c>
      <c r="AE161" s="640">
        <f>[3]!Delta3</f>
        <v>1</v>
      </c>
      <c r="AF161" s="550" t="s">
        <v>373</v>
      </c>
    </row>
    <row r="162" spans="2:32" s="550" customFormat="1" ht="13.5" thickBot="1" x14ac:dyDescent="0.25">
      <c r="C162" s="550" t="s">
        <v>378</v>
      </c>
      <c r="D162" s="188">
        <f t="shared" si="50"/>
        <v>27330.28</v>
      </c>
      <c r="E162" s="188">
        <f t="shared" si="50"/>
        <v>27599.095982657629</v>
      </c>
      <c r="F162" s="188">
        <f t="shared" si="50"/>
        <v>15082.412809127589</v>
      </c>
      <c r="G162" s="188">
        <f t="shared" si="50"/>
        <v>15892.75122575899</v>
      </c>
      <c r="H162" s="188">
        <f t="shared" si="50"/>
        <v>11690.383820154919</v>
      </c>
      <c r="I162" s="188">
        <f>(I$40-I$39)/I$4*(1+0.01*$AE$162*$B$157)</f>
        <v>14847.907408570349</v>
      </c>
      <c r="J162" s="188">
        <f t="shared" ref="J162:M162" si="55">(J$40-J$39)/J$4*(1+0.01*$AE$162*$B$157)</f>
        <v>14819.669480568788</v>
      </c>
      <c r="K162" s="188">
        <f t="shared" si="55"/>
        <v>11723.898836192175</v>
      </c>
      <c r="L162" s="188">
        <f t="shared" si="55"/>
        <v>14709.55374283761</v>
      </c>
      <c r="M162" s="188">
        <f t="shared" si="55"/>
        <v>13210.239011947962</v>
      </c>
      <c r="N162" s="188">
        <f>M162*(1+0.01*($AE$158+$AE$162))</f>
        <v>13276.290207007702</v>
      </c>
      <c r="O162" s="188">
        <f t="shared" ref="O162:AD162" si="56">N162*(1+0.01*($AE$158+$AE$162))</f>
        <v>13342.671658042738</v>
      </c>
      <c r="P162" s="188">
        <f t="shared" si="56"/>
        <v>13409.38501633295</v>
      </c>
      <c r="Q162" s="188">
        <f t="shared" si="56"/>
        <v>13476.431941414614</v>
      </c>
      <c r="R162" s="188">
        <f t="shared" si="56"/>
        <v>13543.814101121685</v>
      </c>
      <c r="S162" s="188">
        <f t="shared" si="56"/>
        <v>13611.533171627292</v>
      </c>
      <c r="T162" s="188">
        <f t="shared" si="56"/>
        <v>13679.590837485428</v>
      </c>
      <c r="U162" s="188">
        <f t="shared" si="56"/>
        <v>13747.988791672853</v>
      </c>
      <c r="V162" s="188">
        <f t="shared" si="56"/>
        <v>13816.728735631215</v>
      </c>
      <c r="W162" s="188">
        <f t="shared" si="56"/>
        <v>13885.812379309369</v>
      </c>
      <c r="X162" s="188">
        <f t="shared" si="56"/>
        <v>13955.241441205915</v>
      </c>
      <c r="Y162" s="188">
        <f t="shared" si="56"/>
        <v>14025.017648411944</v>
      </c>
      <c r="Z162" s="188">
        <f t="shared" si="56"/>
        <v>14095.142736654003</v>
      </c>
      <c r="AA162" s="188">
        <f t="shared" si="56"/>
        <v>14165.618450337271</v>
      </c>
      <c r="AB162" s="188">
        <f t="shared" si="56"/>
        <v>14236.446542588956</v>
      </c>
      <c r="AC162" s="188">
        <f t="shared" si="56"/>
        <v>14307.628775301899</v>
      </c>
      <c r="AD162" s="188">
        <f t="shared" si="56"/>
        <v>14379.166919178406</v>
      </c>
      <c r="AE162" s="640">
        <f>'[3]ГИПЕР-Пульт'!$G$17</f>
        <v>1.5</v>
      </c>
      <c r="AF162" s="550" t="s">
        <v>373</v>
      </c>
    </row>
    <row r="163" spans="2:32" s="550" customFormat="1" ht="15.75" x14ac:dyDescent="0.25">
      <c r="C163" s="644" t="s">
        <v>359</v>
      </c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383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2:32" s="550" customFormat="1" x14ac:dyDescent="0.2">
      <c r="B164" s="596" t="s">
        <v>355</v>
      </c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383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2:32" s="550" customFormat="1" x14ac:dyDescent="0.2"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383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2:32" s="550" customFormat="1" ht="13.5" thickBot="1" x14ac:dyDescent="0.25">
      <c r="C166" s="562"/>
      <c r="D166" s="616">
        <v>2005</v>
      </c>
      <c r="E166" s="616">
        <v>2006</v>
      </c>
      <c r="F166" s="616">
        <v>2007</v>
      </c>
      <c r="G166" s="622">
        <v>2008</v>
      </c>
      <c r="H166" s="616">
        <v>2009</v>
      </c>
      <c r="I166" s="617">
        <v>2010</v>
      </c>
      <c r="J166" s="616">
        <v>2011</v>
      </c>
      <c r="K166" s="616">
        <v>2012</v>
      </c>
      <c r="L166" s="616">
        <v>2013</v>
      </c>
      <c r="M166" s="616">
        <v>2014</v>
      </c>
      <c r="N166" s="616">
        <v>2015</v>
      </c>
      <c r="O166" s="616">
        <v>2016</v>
      </c>
      <c r="P166" s="621">
        <v>2017</v>
      </c>
      <c r="Q166" s="616">
        <v>2018</v>
      </c>
      <c r="R166" s="616">
        <v>2019</v>
      </c>
      <c r="S166" s="616">
        <v>2020</v>
      </c>
      <c r="T166" s="616">
        <v>2021</v>
      </c>
      <c r="U166" s="616">
        <v>2022</v>
      </c>
      <c r="V166" s="616">
        <v>2023</v>
      </c>
      <c r="W166" s="616">
        <v>2024</v>
      </c>
      <c r="X166" s="616">
        <v>2025</v>
      </c>
      <c r="Y166" s="616">
        <v>2026</v>
      </c>
      <c r="Z166" s="616">
        <v>2027</v>
      </c>
      <c r="AA166" s="616">
        <v>2028</v>
      </c>
      <c r="AB166" s="616">
        <v>2029</v>
      </c>
      <c r="AC166" s="616">
        <v>2030</v>
      </c>
      <c r="AD166" s="616">
        <v>2031</v>
      </c>
    </row>
    <row r="167" spans="2:32" s="550" customFormat="1" ht="13.5" thickBot="1" x14ac:dyDescent="0.25">
      <c r="C167" s="550" t="s">
        <v>242</v>
      </c>
      <c r="D167" s="325">
        <f>D158*D$4</f>
        <v>27330.28</v>
      </c>
      <c r="E167" s="325">
        <f t="shared" ref="E167:AD167" si="57">E158*E$4</f>
        <v>29918.800000000003</v>
      </c>
      <c r="F167" s="325">
        <f t="shared" si="57"/>
        <v>18246.699999999997</v>
      </c>
      <c r="G167" s="325">
        <f t="shared" si="57"/>
        <v>22093.799999999996</v>
      </c>
      <c r="H167" s="325">
        <f t="shared" si="57"/>
        <v>17888.300000000003</v>
      </c>
      <c r="I167" s="325">
        <f t="shared" si="57"/>
        <v>23495.5</v>
      </c>
      <c r="J167" s="325">
        <f t="shared" si="57"/>
        <v>26009.3</v>
      </c>
      <c r="K167" s="325">
        <f t="shared" si="57"/>
        <v>22659.899999999998</v>
      </c>
      <c r="L167" s="325">
        <f t="shared" si="57"/>
        <v>31034.800000000003</v>
      </c>
      <c r="M167" s="325">
        <f t="shared" si="57"/>
        <v>31034.899999999998</v>
      </c>
      <c r="N167" s="325">
        <f t="shared" si="57"/>
        <v>33502.399999999994</v>
      </c>
      <c r="O167" s="325">
        <f t="shared" si="57"/>
        <v>37815</v>
      </c>
      <c r="P167" s="605">
        <f t="shared" si="57"/>
        <v>42315.4</v>
      </c>
      <c r="Q167" s="325">
        <f t="shared" si="57"/>
        <v>47903.783301000003</v>
      </c>
      <c r="R167" s="325">
        <f t="shared" si="57"/>
        <v>52973.440687744827</v>
      </c>
      <c r="S167" s="325">
        <f t="shared" si="57"/>
        <v>57530.745790111512</v>
      </c>
      <c r="T167" s="325">
        <f t="shared" si="57"/>
        <v>61540.351117953338</v>
      </c>
      <c r="U167" s="325">
        <f t="shared" si="57"/>
        <v>65433.393729675066</v>
      </c>
      <c r="V167" s="325">
        <f t="shared" si="57"/>
        <v>70382.448464419052</v>
      </c>
      <c r="W167" s="325">
        <f t="shared" si="57"/>
        <v>76402.611193823133</v>
      </c>
      <c r="X167" s="325">
        <f t="shared" si="57"/>
        <v>82710.792787041122</v>
      </c>
      <c r="Y167" s="325">
        <f t="shared" si="57"/>
        <v>89464.476403432724</v>
      </c>
      <c r="Z167" s="325">
        <f t="shared" si="57"/>
        <v>95079.714264894181</v>
      </c>
      <c r="AA167" s="325">
        <f t="shared" si="57"/>
        <v>100106.10335950778</v>
      </c>
      <c r="AB167" s="325">
        <f t="shared" si="57"/>
        <v>105398.21251360814</v>
      </c>
      <c r="AC167" s="325">
        <f t="shared" si="57"/>
        <v>110970.08901814003</v>
      </c>
      <c r="AD167" s="325">
        <f t="shared" si="57"/>
        <v>116836.52277408402</v>
      </c>
    </row>
    <row r="168" spans="2:32" s="550" customFormat="1" ht="13.5" thickBot="1" x14ac:dyDescent="0.25">
      <c r="C168" s="550" t="s">
        <v>333</v>
      </c>
      <c r="D168" s="325">
        <f t="shared" ref="D168:AD168" si="58">D159*D$4</f>
        <v>27330.28</v>
      </c>
      <c r="E168" s="325">
        <f t="shared" si="58"/>
        <v>29918.800000000003</v>
      </c>
      <c r="F168" s="325">
        <f t="shared" si="58"/>
        <v>18246.699999999997</v>
      </c>
      <c r="G168" s="325">
        <f t="shared" si="58"/>
        <v>22093.799999999996</v>
      </c>
      <c r="H168" s="325">
        <f t="shared" si="58"/>
        <v>17888.300000000003</v>
      </c>
      <c r="I168" s="325">
        <f t="shared" si="58"/>
        <v>25845.050000000003</v>
      </c>
      <c r="J168" s="325">
        <f t="shared" si="58"/>
        <v>28610.23</v>
      </c>
      <c r="K168" s="325">
        <f t="shared" si="58"/>
        <v>24925.890000000003</v>
      </c>
      <c r="L168" s="325">
        <f t="shared" si="58"/>
        <v>34138.280000000006</v>
      </c>
      <c r="M168" s="325">
        <f t="shared" si="58"/>
        <v>34138.39</v>
      </c>
      <c r="N168" s="325">
        <f t="shared" si="58"/>
        <v>39531.060776350001</v>
      </c>
      <c r="O168" s="325">
        <f t="shared" si="58"/>
        <v>46584.09381241443</v>
      </c>
      <c r="P168" s="605">
        <f t="shared" si="58"/>
        <v>55213.098429757025</v>
      </c>
      <c r="Q168" s="325">
        <f t="shared" si="58"/>
        <v>63767.539834971431</v>
      </c>
      <c r="R168" s="325">
        <f t="shared" si="58"/>
        <v>71940.62541561971</v>
      </c>
      <c r="S168" s="325">
        <f t="shared" si="58"/>
        <v>79708.054741744185</v>
      </c>
      <c r="T168" s="325">
        <f t="shared" si="58"/>
        <v>86985.798679939151</v>
      </c>
      <c r="U168" s="325">
        <f t="shared" si="58"/>
        <v>94356.975260077204</v>
      </c>
      <c r="V168" s="325">
        <f t="shared" si="58"/>
        <v>103544.04215627462</v>
      </c>
      <c r="W168" s="325">
        <f t="shared" si="58"/>
        <v>114671.40264659867</v>
      </c>
      <c r="X168" s="325">
        <f t="shared" si="58"/>
        <v>126647.1105819962</v>
      </c>
      <c r="Y168" s="325">
        <f t="shared" si="58"/>
        <v>139755.82108047415</v>
      </c>
      <c r="Z168" s="325">
        <f t="shared" si="58"/>
        <v>151528.1526691879</v>
      </c>
      <c r="AA168" s="325">
        <f t="shared" si="58"/>
        <v>162761.69226731814</v>
      </c>
      <c r="AB168" s="325">
        <f t="shared" si="58"/>
        <v>174828.03032355575</v>
      </c>
      <c r="AC168" s="325">
        <f t="shared" si="58"/>
        <v>187788.90635159251</v>
      </c>
      <c r="AD168" s="325">
        <f t="shared" si="58"/>
        <v>201710.63692396783</v>
      </c>
    </row>
    <row r="169" spans="2:32" s="550" customFormat="1" ht="13.5" thickBot="1" x14ac:dyDescent="0.25">
      <c r="C169" s="550" t="s">
        <v>244</v>
      </c>
      <c r="D169" s="325">
        <f t="shared" ref="D169:AD169" si="59">D160*D$4</f>
        <v>27330.28</v>
      </c>
      <c r="E169" s="325">
        <f t="shared" si="59"/>
        <v>29918.800000000003</v>
      </c>
      <c r="F169" s="325">
        <f t="shared" si="59"/>
        <v>18246.699999999997</v>
      </c>
      <c r="G169" s="325">
        <f t="shared" si="59"/>
        <v>22093.799999999996</v>
      </c>
      <c r="H169" s="325">
        <f t="shared" si="59"/>
        <v>17888.300000000003</v>
      </c>
      <c r="I169" s="325">
        <f t="shared" si="59"/>
        <v>24670.274999999998</v>
      </c>
      <c r="J169" s="325">
        <f t="shared" si="59"/>
        <v>27309.765000000003</v>
      </c>
      <c r="K169" s="325">
        <f t="shared" si="59"/>
        <v>23792.895</v>
      </c>
      <c r="L169" s="325">
        <f t="shared" si="59"/>
        <v>25972.324181999997</v>
      </c>
      <c r="M169" s="325">
        <f t="shared" si="59"/>
        <v>28920.182976656997</v>
      </c>
      <c r="N169" s="325">
        <f t="shared" si="59"/>
        <v>33156.989782737248</v>
      </c>
      <c r="O169" s="325">
        <f t="shared" si="59"/>
        <v>38685.917829008678</v>
      </c>
      <c r="P169" s="605">
        <f t="shared" si="59"/>
        <v>45397.92457234169</v>
      </c>
      <c r="Q169" s="325">
        <f t="shared" si="59"/>
        <v>51912.526748472716</v>
      </c>
      <c r="R169" s="325">
        <f t="shared" si="59"/>
        <v>57986.292378044025</v>
      </c>
      <c r="S169" s="325">
        <f t="shared" si="59"/>
        <v>63610.962738714297</v>
      </c>
      <c r="T169" s="325">
        <f t="shared" si="59"/>
        <v>68731.645239180798</v>
      </c>
      <c r="U169" s="325">
        <f t="shared" si="59"/>
        <v>73817.786986880179</v>
      </c>
      <c r="V169" s="325">
        <f t="shared" si="59"/>
        <v>80203.025561245318</v>
      </c>
      <c r="W169" s="325">
        <f t="shared" si="59"/>
        <v>87942.617527905502</v>
      </c>
      <c r="X169" s="325">
        <f t="shared" si="59"/>
        <v>96165.252266764655</v>
      </c>
      <c r="Y169" s="325">
        <f t="shared" si="59"/>
        <v>105068.23132162172</v>
      </c>
      <c r="Z169" s="325">
        <f t="shared" si="59"/>
        <v>112790.74632376092</v>
      </c>
      <c r="AA169" s="325">
        <f t="shared" si="59"/>
        <v>119952.95871531971</v>
      </c>
      <c r="AB169" s="325">
        <f t="shared" si="59"/>
        <v>127569.97159374251</v>
      </c>
      <c r="AC169" s="325">
        <f t="shared" si="59"/>
        <v>135670.66478994515</v>
      </c>
      <c r="AD169" s="325">
        <f t="shared" si="59"/>
        <v>144285.75200410665</v>
      </c>
    </row>
    <row r="170" spans="2:32" s="550" customFormat="1" ht="13.5" thickBot="1" x14ac:dyDescent="0.25">
      <c r="C170" s="550" t="s">
        <v>332</v>
      </c>
      <c r="D170" s="325">
        <f t="shared" ref="D170:AD171" si="60">D161*D$4</f>
        <v>27330.28</v>
      </c>
      <c r="E170" s="325">
        <f t="shared" si="60"/>
        <v>29918.800000000003</v>
      </c>
      <c r="F170" s="325">
        <f t="shared" si="60"/>
        <v>18246.699999999997</v>
      </c>
      <c r="G170" s="325">
        <f t="shared" si="60"/>
        <v>22093.799999999996</v>
      </c>
      <c r="H170" s="325">
        <f t="shared" si="60"/>
        <v>17888.300000000003</v>
      </c>
      <c r="I170" s="325">
        <f t="shared" si="60"/>
        <v>24670.274999999998</v>
      </c>
      <c r="J170" s="325">
        <f t="shared" si="60"/>
        <v>27309.765000000003</v>
      </c>
      <c r="K170" s="325">
        <f t="shared" si="60"/>
        <v>23792.895</v>
      </c>
      <c r="L170" s="325">
        <f t="shared" si="60"/>
        <v>32586.540000000005</v>
      </c>
      <c r="M170" s="325">
        <f t="shared" si="60"/>
        <v>32586.645</v>
      </c>
      <c r="N170" s="325">
        <f t="shared" si="60"/>
        <v>35177.519999999997</v>
      </c>
      <c r="O170" s="325">
        <f t="shared" si="60"/>
        <v>39705.75</v>
      </c>
      <c r="P170" s="605">
        <f t="shared" si="60"/>
        <v>44431.170000000006</v>
      </c>
      <c r="Q170" s="325">
        <f t="shared" si="60"/>
        <v>50298.972466050007</v>
      </c>
      <c r="R170" s="325">
        <f t="shared" si="60"/>
        <v>55622.112722132071</v>
      </c>
      <c r="S170" s="325">
        <f t="shared" si="60"/>
        <v>61017.457656178878</v>
      </c>
      <c r="T170" s="325">
        <f t="shared" si="60"/>
        <v>65929.362997501288</v>
      </c>
      <c r="U170" s="325">
        <f t="shared" si="60"/>
        <v>70808.13585931639</v>
      </c>
      <c r="V170" s="325">
        <f t="shared" si="60"/>
        <v>76933.039611147251</v>
      </c>
      <c r="W170" s="325">
        <f t="shared" si="60"/>
        <v>84357.077933622961</v>
      </c>
      <c r="X170" s="325">
        <f t="shared" si="60"/>
        <v>92244.464720416712</v>
      </c>
      <c r="Y170" s="325">
        <f t="shared" si="60"/>
        <v>100784.45726423289</v>
      </c>
      <c r="Z170" s="325">
        <f t="shared" si="60"/>
        <v>108192.11487315399</v>
      </c>
      <c r="AA170" s="325">
        <f t="shared" si="60"/>
        <v>115062.31416759925</v>
      </c>
      <c r="AB170" s="325">
        <f t="shared" si="60"/>
        <v>122368.77111724179</v>
      </c>
      <c r="AC170" s="325">
        <f t="shared" si="60"/>
        <v>130139.18808318663</v>
      </c>
      <c r="AD170" s="325">
        <f t="shared" si="60"/>
        <v>138403.02652646898</v>
      </c>
    </row>
    <row r="171" spans="2:32" s="550" customFormat="1" x14ac:dyDescent="0.2">
      <c r="C171" s="550" t="s">
        <v>378</v>
      </c>
      <c r="D171" s="325">
        <f t="shared" si="60"/>
        <v>27330.28</v>
      </c>
      <c r="E171" s="325">
        <f t="shared" si="60"/>
        <v>29918.800000000003</v>
      </c>
      <c r="F171" s="325">
        <f t="shared" si="60"/>
        <v>18246.699999999997</v>
      </c>
      <c r="G171" s="325">
        <f t="shared" si="60"/>
        <v>22093.799999999996</v>
      </c>
      <c r="H171" s="325">
        <f t="shared" si="60"/>
        <v>17888.300000000003</v>
      </c>
      <c r="I171" s="325">
        <f t="shared" si="60"/>
        <v>25257.662499999999</v>
      </c>
      <c r="J171" s="325">
        <f t="shared" si="60"/>
        <v>27959.997499999994</v>
      </c>
      <c r="K171" s="325">
        <f t="shared" si="60"/>
        <v>24359.392499999998</v>
      </c>
      <c r="L171" s="325">
        <f t="shared" si="60"/>
        <v>33362.410000000003</v>
      </c>
      <c r="M171" s="325">
        <f t="shared" si="60"/>
        <v>33362.517500000002</v>
      </c>
      <c r="N171" s="325">
        <f t="shared" si="60"/>
        <v>38441.376945318749</v>
      </c>
      <c r="O171" s="325">
        <f t="shared" si="60"/>
        <v>45075.733933705393</v>
      </c>
      <c r="P171" s="325">
        <f t="shared" si="60"/>
        <v>53160.855640059293</v>
      </c>
      <c r="Q171" s="325">
        <f t="shared" si="60"/>
        <v>61093.385616529835</v>
      </c>
      <c r="R171" s="325">
        <f t="shared" si="60"/>
        <v>68582.518292332126</v>
      </c>
      <c r="S171" s="325">
        <f t="shared" si="60"/>
        <v>75611.197679521778</v>
      </c>
      <c r="T171" s="325">
        <f t="shared" si="60"/>
        <v>82106.388588186906</v>
      </c>
      <c r="U171" s="325">
        <f t="shared" si="60"/>
        <v>88623.172650431297</v>
      </c>
      <c r="V171" s="325">
        <f t="shared" si="60"/>
        <v>96770.522470117052</v>
      </c>
      <c r="W171" s="325">
        <f t="shared" si="60"/>
        <v>106639.42227792575</v>
      </c>
      <c r="X171" s="325">
        <f t="shared" si="60"/>
        <v>117193.25930221635</v>
      </c>
      <c r="Y171" s="325">
        <f t="shared" si="60"/>
        <v>128683.2263046576</v>
      </c>
      <c r="Z171" s="325">
        <f t="shared" si="60"/>
        <v>138832.15065524017</v>
      </c>
      <c r="AA171" s="325">
        <f t="shared" si="60"/>
        <v>148386.23218295712</v>
      </c>
      <c r="AB171" s="325">
        <f t="shared" si="60"/>
        <v>158597.80171620773</v>
      </c>
      <c r="AC171" s="325">
        <f t="shared" si="60"/>
        <v>169512.10593581284</v>
      </c>
      <c r="AD171" s="325">
        <f t="shared" si="60"/>
        <v>181177.50528605058</v>
      </c>
    </row>
    <row r="172" spans="2:32" s="550" customFormat="1" ht="15.75" x14ac:dyDescent="0.25">
      <c r="C172" s="644" t="s">
        <v>360</v>
      </c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383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2:32" x14ac:dyDescent="0.2">
      <c r="B173" s="596" t="s">
        <v>356</v>
      </c>
      <c r="M173" s="355"/>
      <c r="Q173" s="591"/>
      <c r="R173" s="591"/>
    </row>
    <row r="174" spans="2:32" s="550" customFormat="1" x14ac:dyDescent="0.2">
      <c r="B174" s="596"/>
      <c r="M174" s="355"/>
      <c r="P174" s="278"/>
      <c r="Q174" s="591"/>
      <c r="R174" s="591"/>
    </row>
    <row r="175" spans="2:32" s="550" customFormat="1" ht="13.5" thickBot="1" x14ac:dyDescent="0.25">
      <c r="B175" s="596"/>
      <c r="C175" s="562"/>
      <c r="D175" s="616">
        <v>2005</v>
      </c>
      <c r="E175" s="616">
        <v>2006</v>
      </c>
      <c r="F175" s="616">
        <v>2007</v>
      </c>
      <c r="G175" s="622">
        <v>2008</v>
      </c>
      <c r="H175" s="616">
        <v>2009</v>
      </c>
      <c r="I175" s="617">
        <v>2010</v>
      </c>
      <c r="J175" s="616">
        <v>2011</v>
      </c>
      <c r="K175" s="616">
        <v>2012</v>
      </c>
      <c r="L175" s="616">
        <v>2013</v>
      </c>
      <c r="M175" s="616">
        <v>2014</v>
      </c>
      <c r="N175" s="616">
        <v>2015</v>
      </c>
      <c r="O175" s="616">
        <v>2016</v>
      </c>
      <c r="P175" s="621">
        <v>2017</v>
      </c>
      <c r="Q175" s="616">
        <v>2018</v>
      </c>
      <c r="R175" s="616">
        <v>2019</v>
      </c>
      <c r="S175" s="616">
        <v>2020</v>
      </c>
      <c r="T175" s="616">
        <v>2021</v>
      </c>
      <c r="U175" s="616">
        <v>2022</v>
      </c>
      <c r="V175" s="616">
        <v>2023</v>
      </c>
      <c r="W175" s="616">
        <v>2024</v>
      </c>
      <c r="X175" s="616">
        <v>2025</v>
      </c>
      <c r="Y175" s="616">
        <v>2026</v>
      </c>
      <c r="Z175" s="616">
        <v>2027</v>
      </c>
      <c r="AA175" s="616">
        <v>2028</v>
      </c>
      <c r="AB175" s="616">
        <v>2029</v>
      </c>
      <c r="AC175" s="616">
        <v>2030</v>
      </c>
      <c r="AD175" s="616">
        <v>2031</v>
      </c>
    </row>
    <row r="176" spans="2:32" s="550" customFormat="1" x14ac:dyDescent="0.2">
      <c r="B176" s="596"/>
      <c r="C176" s="550" t="s">
        <v>242</v>
      </c>
      <c r="D176" s="325">
        <v>0</v>
      </c>
      <c r="E176" s="560">
        <v>0</v>
      </c>
      <c r="F176" s="560">
        <v>0</v>
      </c>
      <c r="G176" s="560">
        <v>0</v>
      </c>
      <c r="H176" s="560">
        <v>0</v>
      </c>
      <c r="I176" s="560">
        <v>0</v>
      </c>
      <c r="J176" s="560">
        <v>0</v>
      </c>
      <c r="K176" s="560">
        <v>0</v>
      </c>
      <c r="L176" s="560">
        <v>0</v>
      </c>
      <c r="M176" s="560">
        <v>0</v>
      </c>
      <c r="N176" s="560">
        <v>0</v>
      </c>
      <c r="O176" s="560">
        <v>0</v>
      </c>
      <c r="P176" s="604">
        <v>0</v>
      </c>
      <c r="Q176" s="560">
        <v>0</v>
      </c>
      <c r="R176" s="560">
        <v>0</v>
      </c>
      <c r="S176" s="560">
        <v>0</v>
      </c>
      <c r="T176" s="560">
        <v>0</v>
      </c>
      <c r="U176" s="560">
        <v>0</v>
      </c>
      <c r="V176" s="560">
        <v>0</v>
      </c>
      <c r="W176" s="560">
        <v>0</v>
      </c>
      <c r="X176" s="560">
        <v>0</v>
      </c>
      <c r="Y176" s="560">
        <v>0</v>
      </c>
      <c r="Z176" s="560">
        <v>0</v>
      </c>
      <c r="AA176" s="560">
        <v>0</v>
      </c>
      <c r="AB176" s="560">
        <v>0</v>
      </c>
      <c r="AC176" s="560">
        <v>0</v>
      </c>
      <c r="AD176" s="577">
        <v>0</v>
      </c>
    </row>
    <row r="177" spans="1:31" s="550" customFormat="1" x14ac:dyDescent="0.2">
      <c r="B177" s="596"/>
      <c r="C177" s="550" t="s">
        <v>333</v>
      </c>
      <c r="D177" s="326">
        <f t="shared" ref="D177:AD177" si="61">D4*D227</f>
        <v>0</v>
      </c>
      <c r="E177" s="460">
        <f t="shared" si="61"/>
        <v>0</v>
      </c>
      <c r="F177" s="460">
        <f t="shared" si="61"/>
        <v>0</v>
      </c>
      <c r="G177" s="460">
        <f t="shared" si="61"/>
        <v>0</v>
      </c>
      <c r="H177" s="460">
        <f t="shared" si="61"/>
        <v>0</v>
      </c>
      <c r="I177" s="460">
        <f t="shared" si="61"/>
        <v>255.16386051903558</v>
      </c>
      <c r="J177" s="460">
        <f t="shared" si="61"/>
        <v>283.00223770166235</v>
      </c>
      <c r="K177" s="460">
        <f t="shared" si="61"/>
        <v>568.05828867618118</v>
      </c>
      <c r="L177" s="460">
        <f t="shared" si="61"/>
        <v>1623.0493582601698</v>
      </c>
      <c r="M177" s="460">
        <f t="shared" si="61"/>
        <v>4131.6448332612736</v>
      </c>
      <c r="N177" s="460">
        <f t="shared" si="61"/>
        <v>7726.3235473541608</v>
      </c>
      <c r="O177" s="460">
        <f t="shared" si="61"/>
        <v>11228.750894526029</v>
      </c>
      <c r="P177" s="624">
        <f t="shared" si="61"/>
        <v>16080.860209366348</v>
      </c>
      <c r="Q177" s="460">
        <f t="shared" si="61"/>
        <v>62519.504623466637</v>
      </c>
      <c r="R177" s="460">
        <f t="shared" si="61"/>
        <v>144482.6001994815</v>
      </c>
      <c r="S177" s="460">
        <f t="shared" si="61"/>
        <v>199219.63114270987</v>
      </c>
      <c r="T177" s="460">
        <f t="shared" si="61"/>
        <v>173700.23643399891</v>
      </c>
      <c r="U177" s="460">
        <f t="shared" si="61"/>
        <v>145651.83337228125</v>
      </c>
      <c r="V177" s="460">
        <f t="shared" si="61"/>
        <v>126882.90569650348</v>
      </c>
      <c r="W177" s="460">
        <f t="shared" si="61"/>
        <v>134706.29171011472</v>
      </c>
      <c r="X177" s="460">
        <f t="shared" si="61"/>
        <v>170329.47739623586</v>
      </c>
      <c r="Y177" s="460">
        <f t="shared" si="61"/>
        <v>250138.92096519613</v>
      </c>
      <c r="Z177" s="460">
        <f t="shared" si="61"/>
        <v>353906.28094398894</v>
      </c>
      <c r="AA177" s="460">
        <f t="shared" si="61"/>
        <v>462177.20976577169</v>
      </c>
      <c r="AB177" s="460">
        <f t="shared" si="61"/>
        <v>558169.67337640631</v>
      </c>
      <c r="AC177" s="460">
        <f t="shared" si="61"/>
        <v>593613.44763580814</v>
      </c>
      <c r="AD177" s="645">
        <f t="shared" si="61"/>
        <v>631307.90156068187</v>
      </c>
    </row>
    <row r="178" spans="1:31" s="550" customFormat="1" x14ac:dyDescent="0.2">
      <c r="B178" s="596"/>
      <c r="C178" s="550" t="s">
        <v>244</v>
      </c>
      <c r="D178" s="326">
        <v>0</v>
      </c>
      <c r="E178" s="460">
        <v>0</v>
      </c>
      <c r="F178" s="460">
        <v>0</v>
      </c>
      <c r="G178" s="460">
        <v>0</v>
      </c>
      <c r="H178" s="460">
        <v>0</v>
      </c>
      <c r="I178" s="460">
        <v>0</v>
      </c>
      <c r="J178" s="460">
        <v>0</v>
      </c>
      <c r="K178" s="460">
        <v>0</v>
      </c>
      <c r="L178" s="460">
        <v>0</v>
      </c>
      <c r="M178" s="460">
        <v>0</v>
      </c>
      <c r="N178" s="460">
        <v>0</v>
      </c>
      <c r="O178" s="460">
        <v>0</v>
      </c>
      <c r="P178" s="624">
        <v>0</v>
      </c>
      <c r="Q178" s="460">
        <v>0</v>
      </c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645">
        <v>0</v>
      </c>
    </row>
    <row r="179" spans="1:31" s="550" customFormat="1" ht="13.5" thickBot="1" x14ac:dyDescent="0.25">
      <c r="B179" s="596"/>
      <c r="C179" s="550" t="s">
        <v>332</v>
      </c>
      <c r="D179" s="328">
        <v>0</v>
      </c>
      <c r="E179" s="561">
        <v>0</v>
      </c>
      <c r="F179" s="561">
        <v>0</v>
      </c>
      <c r="G179" s="561">
        <v>0</v>
      </c>
      <c r="H179" s="561">
        <v>0</v>
      </c>
      <c r="I179" s="561">
        <v>0</v>
      </c>
      <c r="J179" s="561">
        <v>0</v>
      </c>
      <c r="K179" s="561">
        <v>0</v>
      </c>
      <c r="L179" s="561">
        <v>0</v>
      </c>
      <c r="M179" s="561">
        <v>0</v>
      </c>
      <c r="N179" s="561">
        <v>0</v>
      </c>
      <c r="O179" s="561">
        <v>0</v>
      </c>
      <c r="P179" s="625">
        <v>0</v>
      </c>
      <c r="Q179" s="561">
        <v>0</v>
      </c>
      <c r="R179" s="561">
        <v>0</v>
      </c>
      <c r="S179" s="561">
        <v>0</v>
      </c>
      <c r="T179" s="561">
        <v>0</v>
      </c>
      <c r="U179" s="561">
        <v>0</v>
      </c>
      <c r="V179" s="561">
        <v>0</v>
      </c>
      <c r="W179" s="561">
        <v>0</v>
      </c>
      <c r="X179" s="561">
        <v>0</v>
      </c>
      <c r="Y179" s="561">
        <v>0</v>
      </c>
      <c r="Z179" s="561">
        <v>0</v>
      </c>
      <c r="AA179" s="561">
        <v>0</v>
      </c>
      <c r="AB179" s="561">
        <v>0</v>
      </c>
      <c r="AC179" s="561">
        <v>0</v>
      </c>
      <c r="AD179" s="646">
        <v>0</v>
      </c>
    </row>
    <row r="180" spans="1:31" s="550" customFormat="1" x14ac:dyDescent="0.2">
      <c r="B180" s="596"/>
      <c r="C180" s="550" t="s">
        <v>378</v>
      </c>
      <c r="D180" s="469">
        <v>0</v>
      </c>
      <c r="E180" s="469">
        <v>0</v>
      </c>
      <c r="F180" s="469">
        <v>0</v>
      </c>
      <c r="G180" s="469">
        <v>0</v>
      </c>
      <c r="H180" s="469">
        <v>0</v>
      </c>
      <c r="I180" s="469">
        <v>0</v>
      </c>
      <c r="J180" s="469">
        <v>0</v>
      </c>
      <c r="K180" s="469">
        <v>0</v>
      </c>
      <c r="L180" s="469">
        <v>0</v>
      </c>
      <c r="M180" s="469">
        <v>0</v>
      </c>
      <c r="N180" s="469">
        <v>0</v>
      </c>
      <c r="O180" s="469">
        <v>0</v>
      </c>
      <c r="P180" s="469">
        <v>0</v>
      </c>
      <c r="Q180" s="469">
        <v>0</v>
      </c>
      <c r="R180" s="469">
        <v>0</v>
      </c>
      <c r="S180" s="469">
        <v>0</v>
      </c>
      <c r="T180" s="469">
        <v>0</v>
      </c>
      <c r="U180" s="469">
        <v>0</v>
      </c>
      <c r="V180" s="469">
        <v>0</v>
      </c>
      <c r="W180" s="469">
        <v>0</v>
      </c>
      <c r="X180" s="469">
        <v>0</v>
      </c>
      <c r="Y180" s="469">
        <v>0</v>
      </c>
      <c r="Z180" s="469">
        <v>0</v>
      </c>
      <c r="AA180" s="469">
        <v>0</v>
      </c>
      <c r="AB180" s="469">
        <v>0</v>
      </c>
      <c r="AC180" s="469">
        <v>0</v>
      </c>
      <c r="AD180" s="469">
        <v>0</v>
      </c>
    </row>
    <row r="181" spans="1:31" s="550" customFormat="1" x14ac:dyDescent="0.2">
      <c r="B181" s="596"/>
      <c r="M181" s="355"/>
      <c r="P181" s="278"/>
      <c r="Q181" s="591"/>
      <c r="R181" s="591"/>
    </row>
    <row r="182" spans="1:31" s="550" customFormat="1" x14ac:dyDescent="0.2">
      <c r="B182" s="596"/>
      <c r="M182" s="355"/>
      <c r="P182" s="278"/>
      <c r="Q182" s="591"/>
      <c r="R182" s="591"/>
    </row>
    <row r="183" spans="1:31" s="550" customFormat="1" x14ac:dyDescent="0.2">
      <c r="B183" s="596"/>
      <c r="M183" s="355"/>
      <c r="P183" s="278"/>
      <c r="Q183" s="591"/>
      <c r="R183" s="591"/>
    </row>
    <row r="184" spans="1:31" s="550" customFormat="1" x14ac:dyDescent="0.2">
      <c r="B184" s="596"/>
      <c r="M184" s="355"/>
      <c r="P184" s="278"/>
      <c r="Q184" s="591"/>
      <c r="R184" s="591"/>
    </row>
    <row r="185" spans="1:31" s="655" customFormat="1" x14ac:dyDescent="0.2"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B185" s="656"/>
      <c r="AC185" s="656"/>
      <c r="AD185" s="656"/>
    </row>
    <row r="186" spans="1:31" s="550" customFormat="1" x14ac:dyDescent="0.2">
      <c r="B186" s="596"/>
      <c r="M186" s="355"/>
      <c r="P186" s="278"/>
      <c r="Q186" s="591"/>
      <c r="R186" s="591"/>
    </row>
    <row r="187" spans="1:31" s="550" customFormat="1" x14ac:dyDescent="0.2">
      <c r="B187" s="596"/>
      <c r="M187" s="355"/>
      <c r="P187" s="278"/>
      <c r="Q187" s="591"/>
      <c r="R187" s="591"/>
    </row>
    <row r="188" spans="1:31" s="550" customFormat="1" x14ac:dyDescent="0.2">
      <c r="B188" s="596"/>
      <c r="M188" s="355"/>
      <c r="P188" s="278"/>
      <c r="Q188" s="591"/>
      <c r="R188" s="591"/>
    </row>
    <row r="189" spans="1:31" s="550" customFormat="1" x14ac:dyDescent="0.2">
      <c r="B189" s="596"/>
      <c r="M189" s="355"/>
      <c r="P189" s="278"/>
      <c r="Q189" s="591"/>
      <c r="R189" s="591"/>
    </row>
    <row r="190" spans="1:31" ht="18" x14ac:dyDescent="0.25">
      <c r="A190" s="554" t="s">
        <v>255</v>
      </c>
      <c r="C190" s="198" t="s">
        <v>291</v>
      </c>
      <c r="K190" s="593" t="s">
        <v>319</v>
      </c>
      <c r="L190" s="552"/>
      <c r="M190" s="566"/>
      <c r="N190" s="594">
        <f>[1]!NScenDoliFB</f>
        <v>2</v>
      </c>
      <c r="Q190" s="468"/>
    </row>
    <row r="191" spans="1:31" ht="15.75" x14ac:dyDescent="0.25">
      <c r="A191" s="316"/>
      <c r="B191" s="548" t="s">
        <v>246</v>
      </c>
      <c r="H191" t="s">
        <v>241</v>
      </c>
      <c r="AE191" t="s">
        <v>245</v>
      </c>
    </row>
    <row r="192" spans="1:31" x14ac:dyDescent="0.2">
      <c r="A192" s="637"/>
      <c r="D192">
        <v>2005</v>
      </c>
      <c r="E192">
        <v>2006</v>
      </c>
      <c r="F192">
        <v>2007</v>
      </c>
      <c r="G192">
        <v>2008</v>
      </c>
      <c r="H192">
        <v>2009</v>
      </c>
      <c r="I192">
        <v>2010</v>
      </c>
      <c r="J192">
        <v>2011</v>
      </c>
      <c r="K192">
        <v>2012</v>
      </c>
      <c r="L192">
        <v>2013</v>
      </c>
      <c r="M192" s="112">
        <v>2014</v>
      </c>
      <c r="N192">
        <v>2015</v>
      </c>
      <c r="O192">
        <v>2016</v>
      </c>
      <c r="P192" s="278">
        <v>2017</v>
      </c>
      <c r="Q192">
        <v>2018</v>
      </c>
      <c r="R192">
        <v>2019</v>
      </c>
      <c r="S192">
        <v>2020</v>
      </c>
      <c r="T192">
        <v>2021</v>
      </c>
      <c r="U192">
        <v>2022</v>
      </c>
      <c r="V192">
        <v>2023</v>
      </c>
      <c r="W192">
        <v>2024</v>
      </c>
      <c r="X192">
        <v>2025</v>
      </c>
      <c r="Y192">
        <v>2026</v>
      </c>
      <c r="Z192">
        <v>2027</v>
      </c>
      <c r="AA192">
        <v>2028</v>
      </c>
      <c r="AB192">
        <v>2029</v>
      </c>
      <c r="AC192">
        <v>2030</v>
      </c>
      <c r="AD192">
        <v>2031</v>
      </c>
    </row>
    <row r="193" spans="1:33" x14ac:dyDescent="0.2">
      <c r="A193" s="637"/>
      <c r="C193" t="s">
        <v>242</v>
      </c>
      <c r="D193" s="613">
        <f t="shared" ref="D193:K195" si="62">D$52</f>
        <v>18.865132848448866</v>
      </c>
      <c r="E193" s="613">
        <f t="shared" si="62"/>
        <v>23.807535003590765</v>
      </c>
      <c r="F193" s="613">
        <f t="shared" si="62"/>
        <v>36.281223482083931</v>
      </c>
      <c r="G193" s="613">
        <f t="shared" si="62"/>
        <v>42.360040385383002</v>
      </c>
      <c r="H193" s="613">
        <f t="shared" si="62"/>
        <v>56.163540969786972</v>
      </c>
      <c r="I193" s="613">
        <f t="shared" si="62"/>
        <v>46.283599185183327</v>
      </c>
      <c r="J193" s="613">
        <f t="shared" si="62"/>
        <v>44.112294122070971</v>
      </c>
      <c r="K193" s="613">
        <f t="shared" si="62"/>
        <v>52.414262344311425</v>
      </c>
      <c r="L193" s="613">
        <f t="shared" ref="L193:P195" si="63">L$52</f>
        <v>40.772491235569937</v>
      </c>
      <c r="M193" s="613">
        <f t="shared" si="63"/>
        <v>37.268001018753971</v>
      </c>
      <c r="N193" s="613">
        <f t="shared" si="63"/>
        <v>37.011000663687284</v>
      </c>
      <c r="O193" s="613">
        <f t="shared" si="63"/>
        <v>31.953264317886131</v>
      </c>
      <c r="P193" s="614">
        <f t="shared" si="63"/>
        <v>28.035401179925955</v>
      </c>
      <c r="Q193" s="615">
        <f t="shared" ref="Q193:V195" si="64">MAX(0,MIN((P193+$AE193),100))</f>
        <v>29.035401179925955</v>
      </c>
      <c r="R193" s="615">
        <f t="shared" si="64"/>
        <v>30.035401179925955</v>
      </c>
      <c r="S193" s="615">
        <f t="shared" si="64"/>
        <v>31.035401179925955</v>
      </c>
      <c r="T193" s="615">
        <f t="shared" si="64"/>
        <v>32.035401179925955</v>
      </c>
      <c r="U193" s="615">
        <f t="shared" si="64"/>
        <v>33.035401179925955</v>
      </c>
      <c r="V193" s="615">
        <f t="shared" si="64"/>
        <v>34.035401179925955</v>
      </c>
      <c r="W193" s="615">
        <f t="shared" ref="W193:AD193" si="65">MAX(0,MIN((V193+$AE193),100))</f>
        <v>35.035401179925955</v>
      </c>
      <c r="X193" s="615">
        <f t="shared" si="65"/>
        <v>36.035401179925955</v>
      </c>
      <c r="Y193" s="615">
        <f t="shared" si="65"/>
        <v>37.035401179925955</v>
      </c>
      <c r="Z193" s="615">
        <f t="shared" si="65"/>
        <v>38.035401179925955</v>
      </c>
      <c r="AA193" s="615">
        <f t="shared" si="65"/>
        <v>39.035401179925955</v>
      </c>
      <c r="AB193" s="615">
        <f t="shared" si="65"/>
        <v>40.035401179925955</v>
      </c>
      <c r="AC193" s="615">
        <f t="shared" si="65"/>
        <v>41.035401179925955</v>
      </c>
      <c r="AD193" s="615">
        <f t="shared" si="65"/>
        <v>42.035401179925955</v>
      </c>
      <c r="AE193" s="240">
        <v>1</v>
      </c>
    </row>
    <row r="194" spans="1:33" x14ac:dyDescent="0.2">
      <c r="A194" s="637"/>
      <c r="C194" t="s">
        <v>333</v>
      </c>
      <c r="D194" s="613">
        <f t="shared" si="62"/>
        <v>18.865132848448866</v>
      </c>
      <c r="E194" s="613">
        <f t="shared" si="62"/>
        <v>23.807535003590765</v>
      </c>
      <c r="F194" s="613">
        <f t="shared" si="62"/>
        <v>36.281223482083931</v>
      </c>
      <c r="G194" s="613">
        <f t="shared" si="62"/>
        <v>42.360040385383002</v>
      </c>
      <c r="H194" s="613">
        <f t="shared" si="62"/>
        <v>56.163540969786972</v>
      </c>
      <c r="I194" s="613">
        <f t="shared" si="62"/>
        <v>46.283599185183327</v>
      </c>
      <c r="J194" s="613">
        <f t="shared" si="62"/>
        <v>44.112294122070971</v>
      </c>
      <c r="K194" s="613">
        <f t="shared" si="62"/>
        <v>52.414262344311425</v>
      </c>
      <c r="L194" s="613">
        <f t="shared" si="63"/>
        <v>40.772491235569937</v>
      </c>
      <c r="M194" s="613">
        <f t="shared" si="63"/>
        <v>37.268001018753971</v>
      </c>
      <c r="N194" s="613">
        <f t="shared" si="63"/>
        <v>37.011000663687284</v>
      </c>
      <c r="O194" s="613">
        <f t="shared" si="63"/>
        <v>31.953264317886131</v>
      </c>
      <c r="P194" s="614">
        <f t="shared" si="63"/>
        <v>28.035401179925955</v>
      </c>
      <c r="Q194" s="615">
        <f t="shared" si="64"/>
        <v>28.035401179925955</v>
      </c>
      <c r="R194" s="615">
        <f t="shared" si="64"/>
        <v>28.035401179925955</v>
      </c>
      <c r="S194" s="615">
        <f t="shared" si="64"/>
        <v>28.035401179925955</v>
      </c>
      <c r="T194" s="615">
        <f t="shared" si="64"/>
        <v>28.035401179925955</v>
      </c>
      <c r="U194" s="615">
        <f t="shared" si="64"/>
        <v>28.035401179925955</v>
      </c>
      <c r="V194" s="615">
        <f t="shared" si="64"/>
        <v>28.035401179925955</v>
      </c>
      <c r="W194" s="615">
        <f t="shared" ref="W194:AD194" si="66">MAX(0,MIN((V194+$AE194),100))</f>
        <v>28.035401179925955</v>
      </c>
      <c r="X194" s="615">
        <f t="shared" si="66"/>
        <v>28.035401179925955</v>
      </c>
      <c r="Y194" s="615">
        <f t="shared" si="66"/>
        <v>28.035401179925955</v>
      </c>
      <c r="Z194" s="615">
        <f t="shared" si="66"/>
        <v>28.035401179925955</v>
      </c>
      <c r="AA194" s="615">
        <f t="shared" si="66"/>
        <v>28.035401179925955</v>
      </c>
      <c r="AB194" s="615">
        <f t="shared" si="66"/>
        <v>28.035401179925955</v>
      </c>
      <c r="AC194" s="615">
        <f t="shared" si="66"/>
        <v>28.035401179925955</v>
      </c>
      <c r="AD194" s="615">
        <f t="shared" si="66"/>
        <v>28.035401179925955</v>
      </c>
      <c r="AE194" s="240">
        <v>0</v>
      </c>
    </row>
    <row r="195" spans="1:33" x14ac:dyDescent="0.2">
      <c r="A195" s="637"/>
      <c r="C195" t="s">
        <v>244</v>
      </c>
      <c r="D195" s="613">
        <f t="shared" si="62"/>
        <v>18.865132848448866</v>
      </c>
      <c r="E195" s="613">
        <f t="shared" si="62"/>
        <v>23.807535003590765</v>
      </c>
      <c r="F195" s="613">
        <f t="shared" si="62"/>
        <v>36.281223482083931</v>
      </c>
      <c r="G195" s="613">
        <f t="shared" si="62"/>
        <v>42.360040385383002</v>
      </c>
      <c r="H195" s="613">
        <f t="shared" si="62"/>
        <v>56.163540969786972</v>
      </c>
      <c r="I195" s="613">
        <f t="shared" si="62"/>
        <v>46.283599185183327</v>
      </c>
      <c r="J195" s="613">
        <f t="shared" si="62"/>
        <v>44.112294122070971</v>
      </c>
      <c r="K195" s="613">
        <f t="shared" si="62"/>
        <v>52.414262344311425</v>
      </c>
      <c r="L195" s="613">
        <f t="shared" si="63"/>
        <v>40.772491235569937</v>
      </c>
      <c r="M195" s="613">
        <f t="shared" si="63"/>
        <v>37.268001018753971</v>
      </c>
      <c r="N195" s="613">
        <f t="shared" si="63"/>
        <v>37.011000663687284</v>
      </c>
      <c r="O195" s="613">
        <f t="shared" si="63"/>
        <v>31.953264317886131</v>
      </c>
      <c r="P195" s="614">
        <f t="shared" si="63"/>
        <v>28.035401179925955</v>
      </c>
      <c r="Q195" s="615">
        <f t="shared" si="64"/>
        <v>27.035401179925955</v>
      </c>
      <c r="R195" s="615">
        <f t="shared" si="64"/>
        <v>26.035401179925955</v>
      </c>
      <c r="S195" s="615">
        <f t="shared" si="64"/>
        <v>25.035401179925955</v>
      </c>
      <c r="T195" s="615">
        <f t="shared" si="64"/>
        <v>24.035401179925955</v>
      </c>
      <c r="U195" s="615">
        <f t="shared" si="64"/>
        <v>23.035401179925955</v>
      </c>
      <c r="V195" s="615">
        <f t="shared" si="64"/>
        <v>22.035401179925955</v>
      </c>
      <c r="W195" s="615">
        <f t="shared" ref="W195:AD195" si="67">MAX(0,MIN((V195+$AE195),100))</f>
        <v>21.035401179925955</v>
      </c>
      <c r="X195" s="615">
        <f t="shared" si="67"/>
        <v>20.035401179925955</v>
      </c>
      <c r="Y195" s="615">
        <f t="shared" si="67"/>
        <v>19.035401179925955</v>
      </c>
      <c r="Z195" s="615">
        <f t="shared" si="67"/>
        <v>18.035401179925955</v>
      </c>
      <c r="AA195" s="615">
        <f t="shared" si="67"/>
        <v>17.035401179925955</v>
      </c>
      <c r="AB195" s="615">
        <f t="shared" si="67"/>
        <v>16.035401179925955</v>
      </c>
      <c r="AC195" s="615">
        <f t="shared" si="67"/>
        <v>15.035401179925955</v>
      </c>
      <c r="AD195" s="615">
        <f t="shared" si="67"/>
        <v>14.035401179925955</v>
      </c>
      <c r="AE195" s="240">
        <v>-1</v>
      </c>
    </row>
    <row r="196" spans="1:33" x14ac:dyDescent="0.2">
      <c r="A196" s="316"/>
      <c r="R196" s="184"/>
      <c r="S196" s="184"/>
    </row>
    <row r="197" spans="1:33" s="550" customFormat="1" x14ac:dyDescent="0.2">
      <c r="A197" s="316"/>
      <c r="M197" s="112"/>
      <c r="P197" s="278"/>
      <c r="R197" s="184"/>
      <c r="S197" s="184"/>
    </row>
    <row r="198" spans="1:33" x14ac:dyDescent="0.2">
      <c r="A198" s="316"/>
    </row>
    <row r="199" spans="1:33" ht="18" x14ac:dyDescent="0.25">
      <c r="A199" s="316"/>
      <c r="C199" s="198" t="s">
        <v>326</v>
      </c>
      <c r="K199" s="593" t="s">
        <v>320</v>
      </c>
      <c r="N199" s="594">
        <f>'[3]ГИПЕР-Пульт'!$G$6</f>
        <v>4</v>
      </c>
    </row>
    <row r="200" spans="1:33" ht="13.5" thickBot="1" x14ac:dyDescent="0.25">
      <c r="A200" s="649"/>
      <c r="C200" t="s">
        <v>294</v>
      </c>
      <c r="AE200" s="550" t="s">
        <v>292</v>
      </c>
    </row>
    <row r="201" spans="1:33" ht="16.5" thickBot="1" x14ac:dyDescent="0.3">
      <c r="A201" s="316"/>
      <c r="B201" s="548" t="s">
        <v>256</v>
      </c>
      <c r="D201" s="259">
        <v>2005</v>
      </c>
      <c r="E201" s="260">
        <v>2006</v>
      </c>
      <c r="F201" s="260">
        <v>2007</v>
      </c>
      <c r="G201" s="260">
        <v>2008</v>
      </c>
      <c r="H201" s="260">
        <v>2009</v>
      </c>
      <c r="I201" s="260">
        <v>2010</v>
      </c>
      <c r="J201" s="260">
        <v>2011</v>
      </c>
      <c r="K201" s="260">
        <v>2012</v>
      </c>
      <c r="L201" s="260">
        <v>2013</v>
      </c>
      <c r="M201" s="354">
        <v>2014</v>
      </c>
      <c r="N201" s="260">
        <v>2015</v>
      </c>
      <c r="O201" s="260">
        <v>2016</v>
      </c>
      <c r="P201" s="574">
        <v>2017</v>
      </c>
      <c r="Q201">
        <v>2018</v>
      </c>
      <c r="R201">
        <v>2019</v>
      </c>
      <c r="S201">
        <v>2020</v>
      </c>
      <c r="T201">
        <v>2021</v>
      </c>
      <c r="U201">
        <v>2022</v>
      </c>
      <c r="V201">
        <v>2023</v>
      </c>
      <c r="W201">
        <v>2024</v>
      </c>
      <c r="X201">
        <v>2025</v>
      </c>
      <c r="Y201">
        <v>2026</v>
      </c>
      <c r="Z201">
        <v>2027</v>
      </c>
      <c r="AA201">
        <v>2028</v>
      </c>
      <c r="AB201">
        <v>2029</v>
      </c>
      <c r="AC201">
        <v>2030</v>
      </c>
      <c r="AD201">
        <v>2031</v>
      </c>
    </row>
    <row r="202" spans="1:33" s="188" customFormat="1" x14ac:dyDescent="0.2">
      <c r="A202" s="316"/>
      <c r="C202" s="188" t="s">
        <v>242</v>
      </c>
      <c r="D202" s="325">
        <f t="shared" ref="D202:O202" si="68">D$17/D$4</f>
        <v>27330.28</v>
      </c>
      <c r="E202" s="560">
        <f t="shared" si="68"/>
        <v>27599.095982657629</v>
      </c>
      <c r="F202" s="560">
        <f t="shared" si="68"/>
        <v>15082.412809127589</v>
      </c>
      <c r="G202" s="560">
        <f t="shared" si="68"/>
        <v>15892.75122575899</v>
      </c>
      <c r="H202" s="560">
        <f t="shared" si="68"/>
        <v>11690.383820154919</v>
      </c>
      <c r="I202" s="560">
        <f t="shared" si="68"/>
        <v>13812.006891693349</v>
      </c>
      <c r="J202" s="560">
        <f t="shared" si="68"/>
        <v>13785.739051691897</v>
      </c>
      <c r="K202" s="560">
        <f t="shared" si="68"/>
        <v>10905.952405760163</v>
      </c>
      <c r="L202" s="560">
        <f t="shared" si="68"/>
        <v>13683.305807290801</v>
      </c>
      <c r="M202" s="564">
        <f t="shared" si="68"/>
        <v>12288.594429719034</v>
      </c>
      <c r="N202" s="560">
        <f t="shared" si="68"/>
        <v>11570.542482490846</v>
      </c>
      <c r="O202" s="560">
        <f t="shared" si="68"/>
        <v>11193.453433081128</v>
      </c>
      <c r="P202" s="570">
        <f>P$17/P$4</f>
        <v>10673.708763493907</v>
      </c>
      <c r="Q202" s="560">
        <f t="shared" ref="Q202:V202" si="69">P202*(1+$AE202*0.01)</f>
        <v>10620.340219676438</v>
      </c>
      <c r="R202" s="560">
        <f t="shared" si="69"/>
        <v>10567.238518578057</v>
      </c>
      <c r="S202" s="560">
        <f t="shared" si="69"/>
        <v>10514.402325985166</v>
      </c>
      <c r="T202" s="560">
        <f t="shared" si="69"/>
        <v>10461.83031435524</v>
      </c>
      <c r="U202" s="560">
        <f t="shared" si="69"/>
        <v>10409.521162783463</v>
      </c>
      <c r="V202" s="560">
        <f t="shared" si="69"/>
        <v>10357.473556969546</v>
      </c>
      <c r="W202" s="560">
        <f t="shared" ref="W202:AD202" si="70">V202*(1+$AE202*0.01)</f>
        <v>10305.686189184698</v>
      </c>
      <c r="X202" s="560">
        <f t="shared" si="70"/>
        <v>10254.157758238774</v>
      </c>
      <c r="Y202" s="560">
        <f t="shared" si="70"/>
        <v>10202.88696944758</v>
      </c>
      <c r="Z202" s="560">
        <f t="shared" si="70"/>
        <v>10151.872534600341</v>
      </c>
      <c r="AA202" s="560">
        <f t="shared" si="70"/>
        <v>10101.11317192734</v>
      </c>
      <c r="AB202" s="560">
        <f t="shared" si="70"/>
        <v>10050.607606067702</v>
      </c>
      <c r="AC202" s="560">
        <f t="shared" si="70"/>
        <v>10000.354568037365</v>
      </c>
      <c r="AD202" s="577">
        <f t="shared" si="70"/>
        <v>9950.3527951971773</v>
      </c>
      <c r="AE202" s="595">
        <f>'[3]ГИПЕР-Пульт'!G3</f>
        <v>-0.5</v>
      </c>
      <c r="AG202" s="188" t="s">
        <v>268</v>
      </c>
    </row>
    <row r="203" spans="1:33" s="188" customFormat="1" x14ac:dyDescent="0.2">
      <c r="A203" s="316"/>
      <c r="C203" s="188" t="s">
        <v>243</v>
      </c>
      <c r="D203" s="460">
        <f t="shared" ref="D203:I203" si="71">D202+D227</f>
        <v>27330.28</v>
      </c>
      <c r="E203" s="460">
        <f t="shared" si="71"/>
        <v>27599.095982657629</v>
      </c>
      <c r="F203" s="460">
        <f t="shared" si="71"/>
        <v>15082.412809127589</v>
      </c>
      <c r="G203" s="460">
        <f t="shared" si="71"/>
        <v>15892.75122575899</v>
      </c>
      <c r="H203" s="460">
        <f t="shared" si="71"/>
        <v>11690.383820154919</v>
      </c>
      <c r="I203" s="620">
        <f t="shared" si="71"/>
        <v>13962.006891693349</v>
      </c>
      <c r="J203" s="597">
        <f t="shared" ref="J203:AD203" si="72">J202+J227</f>
        <v>13935.739051691897</v>
      </c>
      <c r="K203" s="597">
        <f t="shared" si="72"/>
        <v>11179.352405760163</v>
      </c>
      <c r="L203" s="597">
        <f t="shared" si="72"/>
        <v>14398.911537290704</v>
      </c>
      <c r="M203" s="597">
        <f t="shared" si="72"/>
        <v>13924.562571507535</v>
      </c>
      <c r="N203" s="597">
        <f t="shared" si="72"/>
        <v>14238.941010301711</v>
      </c>
      <c r="O203" s="597">
        <f t="shared" si="72"/>
        <v>14517.227074481238</v>
      </c>
      <c r="P203" s="624">
        <f t="shared" si="72"/>
        <v>14729.972406074008</v>
      </c>
      <c r="Q203" s="597">
        <f t="shared" si="72"/>
        <v>24411.356064788502</v>
      </c>
      <c r="R203" s="597">
        <f t="shared" si="72"/>
        <v>39099.953949169787</v>
      </c>
      <c r="S203" s="597">
        <f t="shared" si="72"/>
        <v>46377.934460892349</v>
      </c>
      <c r="T203" s="597">
        <f t="shared" si="72"/>
        <v>39401.699716106683</v>
      </c>
      <c r="U203" s="597">
        <f t="shared" si="72"/>
        <v>33004.286310575539</v>
      </c>
      <c r="V203" s="597">
        <f t="shared" si="72"/>
        <v>28473.596570965143</v>
      </c>
      <c r="W203" s="597">
        <f t="shared" si="72"/>
        <v>27846.16280696138</v>
      </c>
      <c r="X203" s="597">
        <f t="shared" si="72"/>
        <v>30536.800256380673</v>
      </c>
      <c r="Y203" s="597">
        <f t="shared" si="72"/>
        <v>37465.202982460221</v>
      </c>
      <c r="Z203" s="597">
        <f t="shared" si="72"/>
        <v>46082.739569077217</v>
      </c>
      <c r="AA203" s="597">
        <f t="shared" si="72"/>
        <v>54222.632491260607</v>
      </c>
      <c r="AB203" s="597">
        <f t="shared" si="72"/>
        <v>60154.408735270095</v>
      </c>
      <c r="AC203" s="597">
        <f t="shared" si="72"/>
        <v>60104.155697239759</v>
      </c>
      <c r="AD203" s="597">
        <f t="shared" si="72"/>
        <v>60054.153924399572</v>
      </c>
      <c r="AE203" s="188" t="s">
        <v>323</v>
      </c>
    </row>
    <row r="204" spans="1:33" s="188" customFormat="1" ht="13.5" thickBot="1" x14ac:dyDescent="0.25">
      <c r="A204" s="316"/>
      <c r="C204" s="188" t="s">
        <v>244</v>
      </c>
      <c r="D204" s="328">
        <f t="shared" ref="D204:I204" si="73">D$17/D$4</f>
        <v>27330.28</v>
      </c>
      <c r="E204" s="561">
        <f t="shared" si="73"/>
        <v>27599.095982657629</v>
      </c>
      <c r="F204" s="561">
        <f t="shared" si="73"/>
        <v>15082.412809127589</v>
      </c>
      <c r="G204" s="561">
        <f t="shared" si="73"/>
        <v>15892.75122575899</v>
      </c>
      <c r="H204" s="561">
        <f t="shared" si="73"/>
        <v>11690.383820154919</v>
      </c>
      <c r="I204" s="561">
        <f t="shared" si="73"/>
        <v>13812.006891693349</v>
      </c>
      <c r="J204" s="561">
        <f t="shared" ref="J204:AD204" si="74">J202+$K$218</f>
        <v>18355.739051691897</v>
      </c>
      <c r="K204" s="561">
        <f t="shared" si="74"/>
        <v>15475.952405760163</v>
      </c>
      <c r="L204" s="561">
        <f t="shared" si="74"/>
        <v>18253.305807290802</v>
      </c>
      <c r="M204" s="561">
        <f t="shared" si="74"/>
        <v>16858.594429719036</v>
      </c>
      <c r="N204" s="561">
        <f t="shared" si="74"/>
        <v>16140.542482490846</v>
      </c>
      <c r="O204" s="561">
        <f t="shared" si="74"/>
        <v>15763.453433081128</v>
      </c>
      <c r="P204" s="625">
        <f t="shared" si="74"/>
        <v>15243.708763493907</v>
      </c>
      <c r="Q204" s="561">
        <f t="shared" si="74"/>
        <v>15190.340219676438</v>
      </c>
      <c r="R204" s="561">
        <f t="shared" si="74"/>
        <v>15137.238518578057</v>
      </c>
      <c r="S204" s="561">
        <f t="shared" si="74"/>
        <v>15084.402325985166</v>
      </c>
      <c r="T204" s="561">
        <f t="shared" si="74"/>
        <v>15031.83031435524</v>
      </c>
      <c r="U204" s="561">
        <f t="shared" si="74"/>
        <v>14979.521162783463</v>
      </c>
      <c r="V204" s="561">
        <f t="shared" si="74"/>
        <v>14927.473556969546</v>
      </c>
      <c r="W204" s="561">
        <f t="shared" si="74"/>
        <v>14875.686189184698</v>
      </c>
      <c r="X204" s="561">
        <f t="shared" si="74"/>
        <v>14824.157758238774</v>
      </c>
      <c r="Y204" s="561">
        <f t="shared" si="74"/>
        <v>14772.88696944758</v>
      </c>
      <c r="Z204" s="561">
        <f t="shared" si="74"/>
        <v>14721.872534600341</v>
      </c>
      <c r="AA204" s="561">
        <f t="shared" si="74"/>
        <v>14671.11317192734</v>
      </c>
      <c r="AB204" s="561">
        <f t="shared" si="74"/>
        <v>14620.607606067702</v>
      </c>
      <c r="AC204" s="561">
        <f t="shared" si="74"/>
        <v>14570.354568037365</v>
      </c>
      <c r="AD204" s="561">
        <f t="shared" si="74"/>
        <v>14520.352795197177</v>
      </c>
      <c r="AE204" s="188" t="s">
        <v>324</v>
      </c>
    </row>
    <row r="205" spans="1:33" s="188" customFormat="1" x14ac:dyDescent="0.2">
      <c r="A205" s="637"/>
      <c r="C205" s="188" t="s">
        <v>315</v>
      </c>
      <c r="D205" s="188">
        <f>D202</f>
        <v>27330.28</v>
      </c>
      <c r="E205" s="188">
        <f t="shared" ref="E205:F205" si="75">E202</f>
        <v>27599.095982657629</v>
      </c>
      <c r="F205" s="188">
        <f t="shared" si="75"/>
        <v>15082.412809127589</v>
      </c>
      <c r="G205" s="598">
        <f t="shared" ref="G205:P205" si="76">G202+$J$217*$AE$206</f>
        <v>23204.751225758991</v>
      </c>
      <c r="H205" s="598">
        <f t="shared" si="76"/>
        <v>19002.383820154919</v>
      </c>
      <c r="I205" s="598">
        <f t="shared" si="76"/>
        <v>21124.006891693349</v>
      </c>
      <c r="J205" s="598">
        <f t="shared" si="76"/>
        <v>21097.739051691897</v>
      </c>
      <c r="K205" s="598">
        <f t="shared" si="76"/>
        <v>18217.952405760163</v>
      </c>
      <c r="L205" s="598">
        <f t="shared" si="76"/>
        <v>20995.305807290802</v>
      </c>
      <c r="M205" s="598">
        <f t="shared" si="76"/>
        <v>19600.594429719036</v>
      </c>
      <c r="N205" s="598">
        <f t="shared" si="76"/>
        <v>18882.542482490848</v>
      </c>
      <c r="O205" s="598">
        <f t="shared" si="76"/>
        <v>18505.453433081129</v>
      </c>
      <c r="P205" s="383">
        <f t="shared" si="76"/>
        <v>17985.708763493909</v>
      </c>
      <c r="Q205" s="560">
        <f t="shared" ref="Q205" si="77">P205*(1+$AE205*0.01)</f>
        <v>17176.351869136681</v>
      </c>
      <c r="R205" s="560">
        <f t="shared" ref="R205" si="78">Q205*(1+$AE205*0.01)</f>
        <v>16403.41603502553</v>
      </c>
      <c r="S205" s="560">
        <f t="shared" ref="S205" si="79">R205*(1+$AE205*0.01)</f>
        <v>15665.262313449381</v>
      </c>
      <c r="T205" s="560">
        <f t="shared" ref="T205" si="80">S205*(1+$AE205*0.01)</f>
        <v>14960.325509344158</v>
      </c>
      <c r="U205" s="560">
        <f t="shared" ref="U205" si="81">T205*(1+$AE205*0.01)</f>
        <v>14287.110861423671</v>
      </c>
      <c r="V205" s="560">
        <f t="shared" ref="V205" si="82">U205*(1+$AE205*0.01)</f>
        <v>13644.190872659605</v>
      </c>
      <c r="W205" s="560">
        <f t="shared" ref="W205" si="83">V205*(1+$AE205*0.01)</f>
        <v>13030.202283389923</v>
      </c>
      <c r="X205" s="560">
        <f t="shared" ref="X205" si="84">W205*(1+$AE205*0.01)</f>
        <v>12443.843180637376</v>
      </c>
      <c r="Y205" s="560">
        <f t="shared" ref="Y205" si="85">X205*(1+$AE205*0.01)</f>
        <v>11883.870237508692</v>
      </c>
      <c r="Z205" s="560">
        <f t="shared" ref="Z205" si="86">Y205*(1+$AE205*0.01)</f>
        <v>11349.096076820801</v>
      </c>
      <c r="AA205" s="560">
        <f t="shared" ref="AA205" si="87">Z205*(1+$AE205*0.01)</f>
        <v>10838.386753363864</v>
      </c>
      <c r="AB205" s="560">
        <f t="shared" ref="AB205" si="88">AA205*(1+$AE205*0.01)</f>
        <v>10350.65934946249</v>
      </c>
      <c r="AC205" s="560">
        <f t="shared" ref="AC205" si="89">AB205*(1+$AE205*0.01)</f>
        <v>9884.8796787366773</v>
      </c>
      <c r="AD205" s="560">
        <f t="shared" ref="AD205" si="90">AC205*(1+$AE205*0.01)</f>
        <v>9440.060093193526</v>
      </c>
      <c r="AE205" s="595">
        <v>-4.5</v>
      </c>
      <c r="AF205" s="188" t="s">
        <v>322</v>
      </c>
    </row>
    <row r="206" spans="1:33" x14ac:dyDescent="0.2">
      <c r="A206" s="316"/>
      <c r="AE206" s="316">
        <v>0.8</v>
      </c>
      <c r="AF206" t="s">
        <v>331</v>
      </c>
    </row>
    <row r="207" spans="1:33" s="550" customFormat="1" x14ac:dyDescent="0.2">
      <c r="A207" s="316"/>
      <c r="M207" s="112"/>
      <c r="P207" s="278"/>
    </row>
    <row r="208" spans="1:33" s="550" customFormat="1" x14ac:dyDescent="0.2">
      <c r="A208" s="316"/>
      <c r="C208" s="198" t="s">
        <v>325</v>
      </c>
      <c r="M208" s="112"/>
      <c r="P208" s="278"/>
    </row>
    <row r="209" spans="1:37" s="550" customFormat="1" ht="13.5" thickBot="1" x14ac:dyDescent="0.25">
      <c r="A209" s="316"/>
      <c r="M209" s="112"/>
      <c r="P209" s="278"/>
    </row>
    <row r="210" spans="1:37" s="550" customFormat="1" ht="15.75" x14ac:dyDescent="0.25">
      <c r="A210" s="316"/>
      <c r="B210" s="548"/>
      <c r="D210" s="259">
        <v>2005</v>
      </c>
      <c r="E210" s="260">
        <v>2006</v>
      </c>
      <c r="F210" s="260">
        <v>2007</v>
      </c>
      <c r="G210" s="260">
        <v>2008</v>
      </c>
      <c r="H210" s="260">
        <v>2009</v>
      </c>
      <c r="I210" s="260">
        <v>2010</v>
      </c>
      <c r="J210" s="260">
        <v>2011</v>
      </c>
      <c r="K210" s="260">
        <v>2012</v>
      </c>
      <c r="L210" s="260">
        <v>2013</v>
      </c>
      <c r="M210" s="354">
        <v>2014</v>
      </c>
      <c r="N210" s="260">
        <v>2015</v>
      </c>
      <c r="O210" s="260">
        <v>2016</v>
      </c>
      <c r="P210" s="574">
        <v>2017</v>
      </c>
      <c r="Q210" s="550">
        <v>2018</v>
      </c>
      <c r="R210" s="550">
        <v>2019</v>
      </c>
      <c r="S210" s="550">
        <v>2020</v>
      </c>
      <c r="T210" s="550">
        <v>2021</v>
      </c>
      <c r="U210" s="550">
        <v>2022</v>
      </c>
      <c r="V210" s="550">
        <v>2023</v>
      </c>
      <c r="W210" s="550">
        <v>2024</v>
      </c>
      <c r="X210" s="550">
        <v>2025</v>
      </c>
      <c r="Y210" s="550">
        <v>2026</v>
      </c>
      <c r="Z210" s="550">
        <v>2027</v>
      </c>
      <c r="AA210" s="550">
        <v>2028</v>
      </c>
      <c r="AB210" s="550">
        <v>2029</v>
      </c>
      <c r="AC210" s="550">
        <v>2030</v>
      </c>
      <c r="AD210" s="550">
        <v>2031</v>
      </c>
      <c r="AF210" s="240"/>
      <c r="AH210"/>
      <c r="AI210"/>
      <c r="AJ210"/>
      <c r="AK210" s="590"/>
    </row>
    <row r="211" spans="1:37" s="550" customFormat="1" x14ac:dyDescent="0.2">
      <c r="A211" s="316"/>
      <c r="C211" s="188" t="s">
        <v>242</v>
      </c>
      <c r="D211" s="468">
        <f t="shared" ref="D211:AD211" si="91">D202*D4</f>
        <v>27330.28</v>
      </c>
      <c r="E211" s="468">
        <f t="shared" si="91"/>
        <v>29918.800000000003</v>
      </c>
      <c r="F211" s="468">
        <f t="shared" si="91"/>
        <v>18246.699999999997</v>
      </c>
      <c r="G211" s="468">
        <f t="shared" si="91"/>
        <v>22093.799999999996</v>
      </c>
      <c r="H211" s="468">
        <f t="shared" si="91"/>
        <v>17888.300000000003</v>
      </c>
      <c r="I211" s="468">
        <f t="shared" si="91"/>
        <v>23495.5</v>
      </c>
      <c r="J211" s="468">
        <f t="shared" si="91"/>
        <v>26009.3</v>
      </c>
      <c r="K211" s="468">
        <f t="shared" si="91"/>
        <v>22659.899999999998</v>
      </c>
      <c r="L211" s="468">
        <f t="shared" si="91"/>
        <v>31034.800000000003</v>
      </c>
      <c r="M211" s="468">
        <f t="shared" si="91"/>
        <v>31034.899999999998</v>
      </c>
      <c r="N211" s="468">
        <f t="shared" si="91"/>
        <v>33502.399999999994</v>
      </c>
      <c r="O211" s="468">
        <f t="shared" si="91"/>
        <v>37815</v>
      </c>
      <c r="P211" s="623">
        <f t="shared" si="91"/>
        <v>42315.4</v>
      </c>
      <c r="Q211" s="468">
        <f t="shared" si="91"/>
        <v>48145.721600500008</v>
      </c>
      <c r="R211" s="468">
        <f t="shared" si="91"/>
        <v>53509.877172619716</v>
      </c>
      <c r="S211" s="468">
        <f t="shared" si="91"/>
        <v>58406.833582072002</v>
      </c>
      <c r="T211" s="468">
        <f t="shared" si="91"/>
        <v>62793.040767001665</v>
      </c>
      <c r="U211" s="468">
        <f t="shared" si="91"/>
        <v>67102.527154840995</v>
      </c>
      <c r="V211" s="468">
        <f t="shared" si="91"/>
        <v>72542.361274966053</v>
      </c>
      <c r="W211" s="468">
        <f t="shared" si="91"/>
        <v>79144.98564231029</v>
      </c>
      <c r="X211" s="468">
        <f t="shared" si="91"/>
        <v>86112.316590866962</v>
      </c>
      <c r="Y211" s="468">
        <f t="shared" si="91"/>
        <v>93614.171886545155</v>
      </c>
      <c r="Z211" s="468">
        <f t="shared" si="91"/>
        <v>99992.339452605185</v>
      </c>
      <c r="AA211" s="468">
        <f t="shared" si="91"/>
        <v>105810.14374280638</v>
      </c>
      <c r="AB211" s="468">
        <f t="shared" si="91"/>
        <v>111966.4424311222</v>
      </c>
      <c r="AC211" s="468">
        <f t="shared" si="91"/>
        <v>118480.92996787095</v>
      </c>
      <c r="AD211" s="468">
        <f t="shared" si="91"/>
        <v>125374.44667572659</v>
      </c>
      <c r="AF211" s="240"/>
      <c r="AH211"/>
      <c r="AI211"/>
      <c r="AJ211"/>
      <c r="AK211" s="590"/>
    </row>
    <row r="212" spans="1:37" s="550" customFormat="1" x14ac:dyDescent="0.2">
      <c r="A212" s="316"/>
      <c r="C212" s="188" t="s">
        <v>243</v>
      </c>
      <c r="D212" s="468">
        <f t="shared" ref="D212:AD212" si="92">D203*D4</f>
        <v>27330.28</v>
      </c>
      <c r="E212" s="468">
        <f t="shared" si="92"/>
        <v>29918.800000000003</v>
      </c>
      <c r="F212" s="468">
        <f t="shared" si="92"/>
        <v>18246.699999999997</v>
      </c>
      <c r="G212" s="468">
        <f t="shared" si="92"/>
        <v>22093.799999999996</v>
      </c>
      <c r="H212" s="468">
        <f t="shared" si="92"/>
        <v>17888.300000000003</v>
      </c>
      <c r="I212" s="468">
        <f t="shared" si="92"/>
        <v>23750.663860519035</v>
      </c>
      <c r="J212" s="468">
        <f t="shared" si="92"/>
        <v>26292.30223770166</v>
      </c>
      <c r="K212" s="468">
        <f t="shared" si="92"/>
        <v>23227.958288676178</v>
      </c>
      <c r="L212" s="468">
        <f t="shared" si="92"/>
        <v>32657.849358260173</v>
      </c>
      <c r="M212" s="468">
        <f t="shared" si="92"/>
        <v>35166.544833261272</v>
      </c>
      <c r="N212" s="468">
        <f t="shared" si="92"/>
        <v>41228.723547354159</v>
      </c>
      <c r="O212" s="468">
        <f t="shared" si="92"/>
        <v>49043.750894526027</v>
      </c>
      <c r="P212" s="623">
        <f t="shared" si="92"/>
        <v>58396.260209366344</v>
      </c>
      <c r="Q212" s="468">
        <f t="shared" si="92"/>
        <v>110665.22622396665</v>
      </c>
      <c r="R212" s="468">
        <f t="shared" si="92"/>
        <v>197992.47737210122</v>
      </c>
      <c r="S212" s="468">
        <f t="shared" si="92"/>
        <v>257626.46472478186</v>
      </c>
      <c r="T212" s="468">
        <f t="shared" si="92"/>
        <v>236493.27720100057</v>
      </c>
      <c r="U212" s="468">
        <f t="shared" si="92"/>
        <v>212754.36052712225</v>
      </c>
      <c r="V212" s="468">
        <f t="shared" si="92"/>
        <v>199425.26697146957</v>
      </c>
      <c r="W212" s="468">
        <f t="shared" si="92"/>
        <v>213851.27735242504</v>
      </c>
      <c r="X212" s="468">
        <f t="shared" si="92"/>
        <v>256441.79398710281</v>
      </c>
      <c r="Y212" s="468">
        <f t="shared" si="92"/>
        <v>343753.0928517413</v>
      </c>
      <c r="Z212" s="468">
        <f t="shared" si="92"/>
        <v>453898.62039659411</v>
      </c>
      <c r="AA212" s="468">
        <f t="shared" si="92"/>
        <v>567987.35350857803</v>
      </c>
      <c r="AB212" s="468">
        <f t="shared" si="92"/>
        <v>670136.11580752849</v>
      </c>
      <c r="AC212" s="468">
        <f t="shared" si="92"/>
        <v>712094.37760367908</v>
      </c>
      <c r="AD212" s="468">
        <f t="shared" si="92"/>
        <v>756682.34823640843</v>
      </c>
      <c r="AF212" s="240"/>
      <c r="AH212"/>
      <c r="AI212"/>
      <c r="AJ212"/>
      <c r="AK212" s="590"/>
    </row>
    <row r="213" spans="1:37" s="550" customFormat="1" x14ac:dyDescent="0.2">
      <c r="A213" s="316"/>
      <c r="C213" s="188" t="s">
        <v>244</v>
      </c>
      <c r="D213" s="468">
        <f t="shared" ref="D213:AD213" si="93">D204*D4</f>
        <v>27330.28</v>
      </c>
      <c r="E213" s="468">
        <f t="shared" si="93"/>
        <v>29918.800000000003</v>
      </c>
      <c r="F213" s="468">
        <f t="shared" si="93"/>
        <v>18246.699999999997</v>
      </c>
      <c r="G213" s="468">
        <f t="shared" si="93"/>
        <v>22093.799999999996</v>
      </c>
      <c r="H213" s="468">
        <f t="shared" si="93"/>
        <v>17888.300000000003</v>
      </c>
      <c r="I213" s="468">
        <f t="shared" si="93"/>
        <v>23495.5</v>
      </c>
      <c r="J213" s="468">
        <f t="shared" si="93"/>
        <v>34631.434841977309</v>
      </c>
      <c r="K213" s="468">
        <f t="shared" si="93"/>
        <v>32155.241548098566</v>
      </c>
      <c r="L213" s="468">
        <f t="shared" si="93"/>
        <v>41399.914833904404</v>
      </c>
      <c r="M213" s="468">
        <f t="shared" si="93"/>
        <v>42576.455367552546</v>
      </c>
      <c r="N213" s="468">
        <f t="shared" si="93"/>
        <v>46734.793228898983</v>
      </c>
      <c r="O213" s="468">
        <f t="shared" si="93"/>
        <v>53253.894799817899</v>
      </c>
      <c r="P213" s="623">
        <f t="shared" si="93"/>
        <v>60432.943047586305</v>
      </c>
      <c r="Q213" s="468">
        <f t="shared" si="93"/>
        <v>68863.132075414935</v>
      </c>
      <c r="R213" s="468">
        <f t="shared" si="93"/>
        <v>76651.224673099699</v>
      </c>
      <c r="S213" s="468">
        <f t="shared" si="93"/>
        <v>83792.89179009854</v>
      </c>
      <c r="T213" s="468">
        <f t="shared" si="93"/>
        <v>90222.676660774334</v>
      </c>
      <c r="U213" s="468">
        <f t="shared" si="93"/>
        <v>96561.95610475284</v>
      </c>
      <c r="V213" s="468">
        <f t="shared" si="93"/>
        <v>104550.0308290453</v>
      </c>
      <c r="W213" s="468">
        <f t="shared" si="93"/>
        <v>114241.39530835817</v>
      </c>
      <c r="X213" s="468">
        <f t="shared" si="93"/>
        <v>124490.24056069032</v>
      </c>
      <c r="Y213" s="468">
        <f t="shared" si="93"/>
        <v>135545.12405749477</v>
      </c>
      <c r="Z213" s="468">
        <f t="shared" si="93"/>
        <v>145005.21660811958</v>
      </c>
      <c r="AA213" s="468">
        <f t="shared" si="93"/>
        <v>153681.33859769593</v>
      </c>
      <c r="AB213" s="468">
        <f t="shared" si="93"/>
        <v>162877.45815929721</v>
      </c>
      <c r="AC213" s="468">
        <f t="shared" si="93"/>
        <v>172624.79519478508</v>
      </c>
      <c r="AD213" s="468">
        <f t="shared" si="93"/>
        <v>182956.44734454979</v>
      </c>
      <c r="AF213" s="610"/>
      <c r="AH213" s="188"/>
      <c r="AI213" s="188"/>
      <c r="AJ213" s="188"/>
      <c r="AK213" s="188"/>
    </row>
    <row r="214" spans="1:37" s="550" customFormat="1" x14ac:dyDescent="0.2">
      <c r="A214" s="316"/>
      <c r="C214" s="188" t="s">
        <v>315</v>
      </c>
      <c r="D214" s="468">
        <f t="shared" ref="D214:AD214" si="94">D205*D4</f>
        <v>27330.28</v>
      </c>
      <c r="E214" s="468">
        <f t="shared" si="94"/>
        <v>29918.800000000003</v>
      </c>
      <c r="F214" s="468">
        <f t="shared" si="94"/>
        <v>18246.699999999997</v>
      </c>
      <c r="G214" s="468">
        <f t="shared" si="94"/>
        <v>32258.803107716158</v>
      </c>
      <c r="H214" s="468">
        <f t="shared" si="94"/>
        <v>29076.918920663182</v>
      </c>
      <c r="I214" s="468">
        <f t="shared" si="94"/>
        <v>35933.887654101258</v>
      </c>
      <c r="J214" s="468">
        <f t="shared" si="94"/>
        <v>39804.715747163704</v>
      </c>
      <c r="K214" s="468">
        <f t="shared" si="94"/>
        <v>37852.446476957703</v>
      </c>
      <c r="L214" s="468">
        <f t="shared" si="94"/>
        <v>47618.983734247035</v>
      </c>
      <c r="M214" s="468">
        <f t="shared" si="94"/>
        <v>49501.388588084068</v>
      </c>
      <c r="N214" s="468">
        <f t="shared" si="94"/>
        <v>54674.229166238387</v>
      </c>
      <c r="O214" s="468">
        <f t="shared" si="94"/>
        <v>62517.231679708639</v>
      </c>
      <c r="P214" s="623">
        <f t="shared" si="94"/>
        <v>71303.468876138097</v>
      </c>
      <c r="Q214" s="468">
        <f t="shared" si="94"/>
        <v>77866.418410170023</v>
      </c>
      <c r="R214" s="468">
        <f t="shared" si="94"/>
        <v>83062.833842772714</v>
      </c>
      <c r="S214" s="468">
        <f t="shared" si="94"/>
        <v>87019.531932873186</v>
      </c>
      <c r="T214" s="468">
        <f t="shared" si="94"/>
        <v>89793.497062063354</v>
      </c>
      <c r="U214" s="468">
        <f t="shared" si="94"/>
        <v>92098.496131646534</v>
      </c>
      <c r="V214" s="468">
        <f t="shared" si="94"/>
        <v>95562.090324917415</v>
      </c>
      <c r="W214" s="468">
        <f t="shared" si="94"/>
        <v>100068.55959941472</v>
      </c>
      <c r="X214" s="468">
        <f t="shared" si="94"/>
        <v>104500.84627547179</v>
      </c>
      <c r="Y214" s="468">
        <f t="shared" si="94"/>
        <v>109037.63556559046</v>
      </c>
      <c r="Z214" s="468">
        <f t="shared" si="94"/>
        <v>111784.5661995766</v>
      </c>
      <c r="AA214" s="468">
        <f t="shared" si="94"/>
        <v>113533.15627635345</v>
      </c>
      <c r="AB214" s="468">
        <f t="shared" si="94"/>
        <v>115309.0986734063</v>
      </c>
      <c r="AC214" s="468">
        <f t="shared" si="94"/>
        <v>117112.82124940504</v>
      </c>
      <c r="AD214" s="468">
        <f t="shared" si="94"/>
        <v>118944.75855579884</v>
      </c>
    </row>
    <row r="215" spans="1:37" s="550" customFormat="1" x14ac:dyDescent="0.2">
      <c r="A215" s="316"/>
      <c r="M215" s="112"/>
      <c r="P215" s="278"/>
    </row>
    <row r="216" spans="1:37" x14ac:dyDescent="0.2">
      <c r="A216" s="316"/>
    </row>
    <row r="217" spans="1:37" x14ac:dyDescent="0.2">
      <c r="A217" s="316"/>
      <c r="H217" s="239" t="s">
        <v>316</v>
      </c>
      <c r="I217" s="550"/>
      <c r="J217" s="550">
        <f>J218/10</f>
        <v>9140</v>
      </c>
      <c r="K217" s="550"/>
    </row>
    <row r="218" spans="1:37" x14ac:dyDescent="0.2">
      <c r="A218" s="316"/>
      <c r="F218" t="s">
        <v>227</v>
      </c>
      <c r="H218" s="239" t="s">
        <v>313</v>
      </c>
      <c r="I218" s="550"/>
      <c r="J218" s="657">
        <v>91400</v>
      </c>
      <c r="K218" s="240">
        <f>J218/20</f>
        <v>4570</v>
      </c>
    </row>
    <row r="219" spans="1:37" s="550" customFormat="1" x14ac:dyDescent="0.2">
      <c r="H219" s="239"/>
      <c r="J219" s="657"/>
      <c r="K219" s="240"/>
      <c r="M219" s="112"/>
      <c r="P219" s="278"/>
    </row>
    <row r="220" spans="1:37" s="655" customFormat="1" x14ac:dyDescent="0.2">
      <c r="D220" s="656"/>
      <c r="E220" s="656"/>
      <c r="F220" s="656"/>
      <c r="G220" s="656"/>
      <c r="H220" s="656"/>
      <c r="I220" s="656"/>
      <c r="J220" s="656"/>
      <c r="K220" s="656"/>
      <c r="L220" s="656"/>
      <c r="M220" s="656"/>
      <c r="N220" s="656"/>
      <c r="O220" s="656"/>
      <c r="P220" s="656"/>
      <c r="Q220" s="656"/>
      <c r="R220" s="656"/>
      <c r="S220" s="656"/>
      <c r="T220" s="656"/>
      <c r="U220" s="656"/>
      <c r="V220" s="656"/>
      <c r="W220" s="656"/>
      <c r="X220" s="656"/>
      <c r="Y220" s="656"/>
      <c r="Z220" s="656"/>
      <c r="AA220" s="656"/>
      <c r="AB220" s="656"/>
      <c r="AC220" s="656"/>
      <c r="AD220" s="656"/>
    </row>
    <row r="221" spans="1:37" s="550" customFormat="1" x14ac:dyDescent="0.2">
      <c r="B221" s="174" t="s">
        <v>257</v>
      </c>
      <c r="H221" s="239"/>
      <c r="J221" s="657"/>
      <c r="K221" s="240"/>
      <c r="M221" s="112"/>
      <c r="P221" s="278"/>
    </row>
    <row r="222" spans="1:37" s="550" customFormat="1" x14ac:dyDescent="0.2">
      <c r="H222" s="239"/>
      <c r="J222" s="657"/>
      <c r="K222" s="240"/>
      <c r="M222" s="112"/>
      <c r="P222" s="278"/>
    </row>
    <row r="223" spans="1:37" x14ac:dyDescent="0.2">
      <c r="B223" s="174" t="s">
        <v>258</v>
      </c>
    </row>
    <row r="225" spans="2:31" s="550" customFormat="1" x14ac:dyDescent="0.2">
      <c r="M225" s="112"/>
      <c r="P225" s="278"/>
    </row>
    <row r="226" spans="2:31" s="550" customFormat="1" ht="13.5" thickBot="1" x14ac:dyDescent="0.25">
      <c r="B226" s="580" t="s">
        <v>294</v>
      </c>
      <c r="M226" s="112"/>
      <c r="P226" s="278"/>
    </row>
    <row r="227" spans="2:31" ht="13.5" thickBot="1" x14ac:dyDescent="0.25">
      <c r="B227" t="s">
        <v>259</v>
      </c>
      <c r="D227" s="325">
        <f>D350</f>
        <v>0</v>
      </c>
      <c r="E227" s="325">
        <f t="shared" ref="E227:AC227" si="95">E350</f>
        <v>0</v>
      </c>
      <c r="F227" s="325">
        <f t="shared" si="95"/>
        <v>0</v>
      </c>
      <c r="G227" s="325">
        <f t="shared" si="95"/>
        <v>0</v>
      </c>
      <c r="H227" s="325">
        <f t="shared" si="95"/>
        <v>0</v>
      </c>
      <c r="I227" s="325">
        <f t="shared" si="95"/>
        <v>150</v>
      </c>
      <c r="J227" s="325">
        <f t="shared" si="95"/>
        <v>150</v>
      </c>
      <c r="K227" s="325">
        <f t="shared" si="95"/>
        <v>273.39999999999998</v>
      </c>
      <c r="L227" s="325">
        <f t="shared" si="95"/>
        <v>715.60572999990291</v>
      </c>
      <c r="M227" s="325">
        <f t="shared" si="95"/>
        <v>1635.9681417884999</v>
      </c>
      <c r="N227" s="325">
        <f t="shared" si="95"/>
        <v>2668.3985278108644</v>
      </c>
      <c r="O227" s="325">
        <f t="shared" si="95"/>
        <v>3323.7736414001101</v>
      </c>
      <c r="P227" s="605">
        <f t="shared" si="95"/>
        <v>4056.263642580102</v>
      </c>
      <c r="Q227" s="325">
        <f t="shared" si="95"/>
        <v>13791.015845112064</v>
      </c>
      <c r="R227" s="325">
        <f t="shared" si="95"/>
        <v>28532.715430591728</v>
      </c>
      <c r="S227" s="325">
        <f t="shared" si="95"/>
        <v>35863.532134907182</v>
      </c>
      <c r="T227" s="325">
        <f t="shared" si="95"/>
        <v>28939.869401751446</v>
      </c>
      <c r="U227" s="325">
        <f t="shared" si="95"/>
        <v>22594.765147792074</v>
      </c>
      <c r="V227" s="325">
        <f t="shared" si="95"/>
        <v>18116.123013995595</v>
      </c>
      <c r="W227" s="325">
        <f t="shared" si="95"/>
        <v>17540.47661777668</v>
      </c>
      <c r="X227" s="325">
        <f t="shared" si="95"/>
        <v>20282.6424981419</v>
      </c>
      <c r="Y227" s="325">
        <f t="shared" si="95"/>
        <v>27262.316013012638</v>
      </c>
      <c r="Z227" s="325">
        <f t="shared" si="95"/>
        <v>35930.867034476876</v>
      </c>
      <c r="AA227" s="325">
        <f t="shared" si="95"/>
        <v>44121.519319333267</v>
      </c>
      <c r="AB227" s="325">
        <f t="shared" si="95"/>
        <v>50103.801129202395</v>
      </c>
      <c r="AC227" s="325">
        <f t="shared" si="95"/>
        <v>50103.801129202395</v>
      </c>
      <c r="AD227" s="325">
        <f>AD350</f>
        <v>50103.801129202395</v>
      </c>
    </row>
    <row r="228" spans="2:31" x14ac:dyDescent="0.2">
      <c r="B228" t="s">
        <v>260</v>
      </c>
      <c r="D228" s="325">
        <f t="shared" ref="D228:AD228" si="96">D351</f>
        <v>0</v>
      </c>
      <c r="E228" s="325">
        <f t="shared" si="96"/>
        <v>0</v>
      </c>
      <c r="F228" s="325">
        <f t="shared" si="96"/>
        <v>0</v>
      </c>
      <c r="G228" s="325">
        <f t="shared" si="96"/>
        <v>0</v>
      </c>
      <c r="H228" s="325">
        <f t="shared" si="96"/>
        <v>0</v>
      </c>
      <c r="I228" s="325">
        <f t="shared" si="96"/>
        <v>2135</v>
      </c>
      <c r="J228" s="325">
        <f t="shared" si="96"/>
        <v>2225</v>
      </c>
      <c r="K228" s="325">
        <f t="shared" si="96"/>
        <v>3042.8</v>
      </c>
      <c r="L228" s="325">
        <f t="shared" si="96"/>
        <v>4633.5</v>
      </c>
      <c r="M228" s="325">
        <f t="shared" si="96"/>
        <v>7239.9</v>
      </c>
      <c r="N228" s="325">
        <f t="shared" si="96"/>
        <v>7693.9</v>
      </c>
      <c r="O228" s="325">
        <f t="shared" si="96"/>
        <v>7693.9</v>
      </c>
      <c r="P228" s="605">
        <f t="shared" si="96"/>
        <v>7920.1</v>
      </c>
      <c r="Q228" s="325">
        <f t="shared" si="96"/>
        <v>6615.1</v>
      </c>
      <c r="R228" s="325">
        <f t="shared" si="96"/>
        <v>6615.1</v>
      </c>
      <c r="S228" s="325">
        <f t="shared" si="96"/>
        <v>7137.1</v>
      </c>
      <c r="T228" s="325">
        <f t="shared" si="96"/>
        <v>7137.1</v>
      </c>
      <c r="U228" s="325">
        <f t="shared" si="96"/>
        <v>7137.1</v>
      </c>
      <c r="V228" s="325">
        <f t="shared" si="96"/>
        <v>7137.1</v>
      </c>
      <c r="W228" s="325">
        <f t="shared" si="96"/>
        <v>7137.1</v>
      </c>
      <c r="X228" s="325">
        <f t="shared" si="96"/>
        <v>6954.4000000000005</v>
      </c>
      <c r="Y228" s="325">
        <f t="shared" si="96"/>
        <v>6954.4000000000005</v>
      </c>
      <c r="Z228" s="325">
        <f t="shared" si="96"/>
        <v>6954.4000000000005</v>
      </c>
      <c r="AA228" s="325">
        <f t="shared" si="96"/>
        <v>6954.4000000000005</v>
      </c>
      <c r="AB228" s="325">
        <f t="shared" si="96"/>
        <v>6952</v>
      </c>
      <c r="AC228" s="325">
        <f t="shared" si="96"/>
        <v>6952</v>
      </c>
      <c r="AD228" s="325">
        <f t="shared" si="96"/>
        <v>6952</v>
      </c>
    </row>
    <row r="231" spans="2:31" s="550" customFormat="1" x14ac:dyDescent="0.2">
      <c r="M231" s="112"/>
      <c r="P231" s="278"/>
    </row>
    <row r="232" spans="2:31" s="347" customFormat="1" x14ac:dyDescent="0.2">
      <c r="M232" s="112"/>
      <c r="P232" s="278"/>
    </row>
    <row r="233" spans="2:31" s="550" customFormat="1" x14ac:dyDescent="0.2">
      <c r="M233" s="112"/>
      <c r="P233" s="278"/>
    </row>
    <row r="234" spans="2:31" s="550" customFormat="1" ht="20.25" x14ac:dyDescent="0.3">
      <c r="B234" s="557" t="s">
        <v>279</v>
      </c>
      <c r="M234" s="112"/>
      <c r="P234" s="278"/>
    </row>
    <row r="235" spans="2:31" s="550" customFormat="1" x14ac:dyDescent="0.2">
      <c r="I235" s="206"/>
      <c r="M235" s="112"/>
      <c r="P235" s="278"/>
    </row>
    <row r="236" spans="2:31" s="550" customFormat="1" x14ac:dyDescent="0.2">
      <c r="C236" s="198" t="s">
        <v>269</v>
      </c>
      <c r="I236" s="468"/>
      <c r="M236" s="112"/>
      <c r="P236" s="278"/>
    </row>
    <row r="237" spans="2:31" s="550" customFormat="1" x14ac:dyDescent="0.2">
      <c r="M237" s="112"/>
      <c r="P237" s="278"/>
    </row>
    <row r="238" spans="2:31" ht="15.75" x14ac:dyDescent="0.25">
      <c r="B238" s="548" t="s">
        <v>275</v>
      </c>
      <c r="D238" t="s">
        <v>296</v>
      </c>
    </row>
    <row r="239" spans="2:31" ht="13.5" thickBot="1" x14ac:dyDescent="0.25"/>
    <row r="240" spans="2:31" ht="13.5" thickBot="1" x14ac:dyDescent="0.25">
      <c r="C240" s="550"/>
      <c r="D240" s="259">
        <v>2005</v>
      </c>
      <c r="E240" s="260">
        <v>2006</v>
      </c>
      <c r="F240" s="260">
        <v>2007</v>
      </c>
      <c r="G240" s="260">
        <v>2008</v>
      </c>
      <c r="H240" s="260">
        <v>2009</v>
      </c>
      <c r="I240" s="260">
        <v>2010</v>
      </c>
      <c r="J240" s="260">
        <v>2011</v>
      </c>
      <c r="K240" s="260">
        <v>2012</v>
      </c>
      <c r="L240" s="260">
        <v>2013</v>
      </c>
      <c r="M240" s="354">
        <v>2014</v>
      </c>
      <c r="N240" s="260">
        <v>2015</v>
      </c>
      <c r="O240" s="260">
        <v>2016</v>
      </c>
      <c r="P240" s="574">
        <v>2017</v>
      </c>
      <c r="Q240" s="550">
        <v>2018</v>
      </c>
      <c r="R240" s="550">
        <v>2019</v>
      </c>
      <c r="S240" s="550">
        <v>2020</v>
      </c>
      <c r="T240" s="550">
        <v>2021</v>
      </c>
      <c r="U240" s="550">
        <v>2022</v>
      </c>
      <c r="V240" s="550">
        <v>2023</v>
      </c>
      <c r="W240" s="550">
        <v>2024</v>
      </c>
      <c r="X240" s="550">
        <v>2025</v>
      </c>
      <c r="Y240" s="550">
        <v>2026</v>
      </c>
      <c r="Z240" s="550">
        <v>2027</v>
      </c>
      <c r="AA240" s="550">
        <v>2028</v>
      </c>
      <c r="AB240" s="550">
        <v>2029</v>
      </c>
      <c r="AC240" s="550">
        <v>2030</v>
      </c>
      <c r="AD240" s="550">
        <v>2031</v>
      </c>
      <c r="AE240" s="550"/>
    </row>
    <row r="241" spans="2:32" ht="13.5" thickBot="1" x14ac:dyDescent="0.25">
      <c r="C241" s="550" t="s">
        <v>242</v>
      </c>
      <c r="D241" s="260">
        <f>MIN(1,(D$29-D258)/(D$53-D$32))</f>
        <v>0.14938854696280443</v>
      </c>
      <c r="E241" s="260">
        <f t="shared" ref="E241:P241" si="97">MIN(1,(E$29-E258)/(E$53-E$32))</f>
        <v>0.14133909188761423</v>
      </c>
      <c r="F241" s="260">
        <f t="shared" si="97"/>
        <v>0.41275711532868148</v>
      </c>
      <c r="G241" s="260">
        <f t="shared" si="97"/>
        <v>0.36714575895034546</v>
      </c>
      <c r="H241" s="260">
        <f t="shared" si="97"/>
        <v>0.43390225110011948</v>
      </c>
      <c r="I241" s="260">
        <f t="shared" si="97"/>
        <v>0.27514175754298037</v>
      </c>
      <c r="J241" s="260">
        <f t="shared" si="97"/>
        <v>0.28851461656831867</v>
      </c>
      <c r="K241" s="260">
        <f t="shared" si="97"/>
        <v>0.38310159400282773</v>
      </c>
      <c r="L241" s="260">
        <f t="shared" si="97"/>
        <v>0.40873589537112837</v>
      </c>
      <c r="M241" s="260">
        <f t="shared" si="97"/>
        <v>0.45099792780420594</v>
      </c>
      <c r="N241" s="260">
        <f t="shared" si="97"/>
        <v>0.47212796272040852</v>
      </c>
      <c r="O241" s="260">
        <f t="shared" si="97"/>
        <v>0.45634422813034187</v>
      </c>
      <c r="P241" s="278">
        <f t="shared" si="97"/>
        <v>0.41495894244576753</v>
      </c>
      <c r="Q241" s="260">
        <f>P241*(1+0.01*$AE$241)</f>
        <v>0.41288414773353871</v>
      </c>
      <c r="R241" s="260">
        <f t="shared" ref="R241:AD241" si="98">Q241*(1+0.01*$AE$241)</f>
        <v>0.41081972699487102</v>
      </c>
      <c r="S241" s="260">
        <f t="shared" si="98"/>
        <v>0.40876562835989666</v>
      </c>
      <c r="T241" s="260">
        <f t="shared" si="98"/>
        <v>0.40672180021809717</v>
      </c>
      <c r="U241" s="260">
        <f t="shared" si="98"/>
        <v>0.40468819121700667</v>
      </c>
      <c r="V241" s="260">
        <f t="shared" si="98"/>
        <v>0.40266475026092163</v>
      </c>
      <c r="W241" s="260">
        <f t="shared" si="98"/>
        <v>0.40065142650961705</v>
      </c>
      <c r="X241" s="260">
        <f t="shared" si="98"/>
        <v>0.39864816937706898</v>
      </c>
      <c r="Y241" s="260">
        <f t="shared" si="98"/>
        <v>0.39665492853018364</v>
      </c>
      <c r="Z241" s="260">
        <f t="shared" si="98"/>
        <v>0.39467165388753273</v>
      </c>
      <c r="AA241" s="260">
        <f t="shared" si="98"/>
        <v>0.39269829561809505</v>
      </c>
      <c r="AB241" s="260">
        <f t="shared" si="98"/>
        <v>0.39073480414000455</v>
      </c>
      <c r="AC241" s="260">
        <f t="shared" si="98"/>
        <v>0.38878113011930454</v>
      </c>
      <c r="AD241" s="260">
        <f t="shared" si="98"/>
        <v>0.386837224468708</v>
      </c>
      <c r="AE241" s="608">
        <f>'[3]ГИПЕР-Пульт'!G3</f>
        <v>-0.5</v>
      </c>
      <c r="AF241" t="s">
        <v>300</v>
      </c>
    </row>
    <row r="242" spans="2:32" ht="13.5" thickBot="1" x14ac:dyDescent="0.25">
      <c r="C242" s="550" t="s">
        <v>243</v>
      </c>
      <c r="D242" s="260">
        <f>MIN(1,(D$29-D259)/(D$53-D$32))</f>
        <v>0.14938854696280443</v>
      </c>
      <c r="E242" s="260">
        <f t="shared" ref="E242:P242" si="99">MIN(1,(E$29-E259)/(E$53-E$32))</f>
        <v>0.14133909188761423</v>
      </c>
      <c r="F242" s="260">
        <f t="shared" si="99"/>
        <v>0.41275711532868148</v>
      </c>
      <c r="G242" s="260">
        <f t="shared" si="99"/>
        <v>0.36714575895034546</v>
      </c>
      <c r="H242" s="260">
        <f t="shared" si="99"/>
        <v>0.43390225110011948</v>
      </c>
      <c r="I242" s="260">
        <f t="shared" si="99"/>
        <v>0.27514175754298037</v>
      </c>
      <c r="J242" s="260">
        <f t="shared" si="99"/>
        <v>0.28851461656831867</v>
      </c>
      <c r="K242" s="260">
        <f t="shared" si="99"/>
        <v>0.38310159400282773</v>
      </c>
      <c r="L242" s="260">
        <f t="shared" si="99"/>
        <v>0.40873589537112837</v>
      </c>
      <c r="M242" s="260">
        <f t="shared" si="99"/>
        <v>0.45099792780420594</v>
      </c>
      <c r="N242" s="260">
        <f t="shared" si="99"/>
        <v>0.47212796272040852</v>
      </c>
      <c r="O242" s="260">
        <f t="shared" si="99"/>
        <v>0.45634422813034187</v>
      </c>
      <c r="P242" s="278">
        <f t="shared" si="99"/>
        <v>0.41495894244576753</v>
      </c>
      <c r="Q242" s="260">
        <f>P242*(1+0.01*$AE$242)</f>
        <v>0.42740771071914058</v>
      </c>
      <c r="R242" s="260">
        <f t="shared" ref="R242:AD242" si="100">Q242*(1+0.01*$AE$242)</f>
        <v>0.44022994204071481</v>
      </c>
      <c r="S242" s="260">
        <f t="shared" si="100"/>
        <v>0.45343684030193626</v>
      </c>
      <c r="T242" s="260">
        <f t="shared" si="100"/>
        <v>0.46703994551099437</v>
      </c>
      <c r="U242" s="260">
        <f t="shared" si="100"/>
        <v>0.48105114387632419</v>
      </c>
      <c r="V242" s="260">
        <f t="shared" si="100"/>
        <v>0.49548267819261393</v>
      </c>
      <c r="W242" s="260">
        <f t="shared" si="100"/>
        <v>0.51034715853839241</v>
      </c>
      <c r="X242" s="260">
        <f t="shared" si="100"/>
        <v>0.52565757329454421</v>
      </c>
      <c r="Y242" s="260">
        <f t="shared" si="100"/>
        <v>0.5414273004933805</v>
      </c>
      <c r="Z242" s="260">
        <f t="shared" si="100"/>
        <v>0.55767011950818191</v>
      </c>
      <c r="AA242" s="260">
        <f t="shared" si="100"/>
        <v>0.57440022309342742</v>
      </c>
      <c r="AB242" s="260">
        <f t="shared" si="100"/>
        <v>0.59163222978623031</v>
      </c>
      <c r="AC242" s="260">
        <f t="shared" si="100"/>
        <v>0.60938119667981727</v>
      </c>
      <c r="AD242" s="260">
        <f t="shared" si="100"/>
        <v>0.62766263258021182</v>
      </c>
      <c r="AE242" s="608">
        <v>3</v>
      </c>
      <c r="AF242" t="s">
        <v>329</v>
      </c>
    </row>
    <row r="243" spans="2:32" ht="13.5" thickBot="1" x14ac:dyDescent="0.25">
      <c r="C243" s="550" t="s">
        <v>244</v>
      </c>
      <c r="D243" s="260">
        <f>MIN(1,(D$29-D260)/(D$53-D$32))</f>
        <v>0.14938854696280443</v>
      </c>
      <c r="E243" s="260">
        <f t="shared" ref="E243:P243" si="101">MIN(1,(E$29-E260)/(E$53-E$32))</f>
        <v>0.14133909188761423</v>
      </c>
      <c r="F243" s="260">
        <f t="shared" si="101"/>
        <v>0.41275711532868148</v>
      </c>
      <c r="G243" s="260">
        <f t="shared" si="101"/>
        <v>0.36714575895034546</v>
      </c>
      <c r="H243" s="260">
        <f t="shared" si="101"/>
        <v>0.43390225110011948</v>
      </c>
      <c r="I243" s="260">
        <f t="shared" si="101"/>
        <v>0.27514175754298037</v>
      </c>
      <c r="J243" s="260">
        <f t="shared" si="101"/>
        <v>0.28851461656831867</v>
      </c>
      <c r="K243" s="260">
        <f t="shared" si="101"/>
        <v>0.38310159400282773</v>
      </c>
      <c r="L243" s="260">
        <f t="shared" si="101"/>
        <v>0.40873589537112837</v>
      </c>
      <c r="M243" s="260">
        <f t="shared" si="101"/>
        <v>0.45099792780420594</v>
      </c>
      <c r="N243" s="260">
        <f t="shared" si="101"/>
        <v>0.47212796272040852</v>
      </c>
      <c r="O243" s="260">
        <f t="shared" si="101"/>
        <v>0.45634422813034187</v>
      </c>
      <c r="P243" s="278">
        <f t="shared" si="101"/>
        <v>0.41495894244576753</v>
      </c>
      <c r="Q243" s="260">
        <f>P243*(1+0.01*$AE$243)</f>
        <v>0.41910853187022523</v>
      </c>
      <c r="R243" s="260">
        <f t="shared" ref="R243:AD243" si="102">Q243*(1+0.01*$AE$243)</f>
        <v>0.4232996171889275</v>
      </c>
      <c r="S243" s="260">
        <f t="shared" si="102"/>
        <v>0.42753261336081677</v>
      </c>
      <c r="T243" s="260">
        <f t="shared" si="102"/>
        <v>0.43180793949442492</v>
      </c>
      <c r="U243" s="260">
        <f t="shared" si="102"/>
        <v>0.43612601888936919</v>
      </c>
      <c r="V243" s="260">
        <f t="shared" si="102"/>
        <v>0.44048727907826291</v>
      </c>
      <c r="W243" s="260">
        <f t="shared" si="102"/>
        <v>0.44489215186904552</v>
      </c>
      <c r="X243" s="260">
        <f t="shared" si="102"/>
        <v>0.44934107338773599</v>
      </c>
      <c r="Y243" s="260">
        <f t="shared" si="102"/>
        <v>0.45383448412161337</v>
      </c>
      <c r="Z243" s="260">
        <f t="shared" si="102"/>
        <v>0.45837282896282949</v>
      </c>
      <c r="AA243" s="260">
        <f t="shared" si="102"/>
        <v>0.46295655725245777</v>
      </c>
      <c r="AB243" s="260">
        <f t="shared" si="102"/>
        <v>0.46758612282498235</v>
      </c>
      <c r="AC243" s="260">
        <f t="shared" si="102"/>
        <v>0.47226198405323216</v>
      </c>
      <c r="AD243" s="260">
        <f t="shared" si="102"/>
        <v>0.47698460389376451</v>
      </c>
      <c r="AE243" s="608">
        <f>'[3]ГИПЕР-Пульт'!G5</f>
        <v>1</v>
      </c>
      <c r="AF243" s="188" t="s">
        <v>324</v>
      </c>
    </row>
    <row r="244" spans="2:32" s="550" customFormat="1" x14ac:dyDescent="0.2">
      <c r="C244" s="550" t="s">
        <v>315</v>
      </c>
      <c r="D244" s="551">
        <f>D241</f>
        <v>0.14938854696280443</v>
      </c>
      <c r="E244" s="551">
        <f t="shared" ref="E244:P244" si="103">E241</f>
        <v>0.14133909188761423</v>
      </c>
      <c r="F244" s="551">
        <f t="shared" si="103"/>
        <v>0.41275711532868148</v>
      </c>
      <c r="G244" s="551">
        <f t="shared" si="103"/>
        <v>0.36714575895034546</v>
      </c>
      <c r="H244" s="551">
        <f t="shared" si="103"/>
        <v>0.43390225110011948</v>
      </c>
      <c r="I244" s="599">
        <f>H244*(1+0.01*$AE$244)</f>
        <v>0.43173273984461891</v>
      </c>
      <c r="J244" s="551">
        <f t="shared" si="103"/>
        <v>0.28851461656831867</v>
      </c>
      <c r="K244" s="551">
        <f t="shared" si="103"/>
        <v>0.38310159400282773</v>
      </c>
      <c r="L244" s="551">
        <f t="shared" si="103"/>
        <v>0.40873589537112837</v>
      </c>
      <c r="M244" s="551">
        <f t="shared" si="103"/>
        <v>0.45099792780420594</v>
      </c>
      <c r="N244" s="551">
        <f t="shared" si="103"/>
        <v>0.47212796272040852</v>
      </c>
      <c r="O244" s="551">
        <f t="shared" si="103"/>
        <v>0.45634422813034187</v>
      </c>
      <c r="P244" s="278">
        <f t="shared" si="103"/>
        <v>0.41495894244576753</v>
      </c>
      <c r="Q244" s="599">
        <f>P244*(1+0.01*$AE$244)</f>
        <v>0.41288414773353871</v>
      </c>
      <c r="R244" s="599">
        <f t="shared" ref="R244:AD244" si="104">Q244*(1+0.01*$AE$244)</f>
        <v>0.41081972699487102</v>
      </c>
      <c r="S244" s="599">
        <f t="shared" si="104"/>
        <v>0.40876562835989666</v>
      </c>
      <c r="T244" s="599">
        <f t="shared" si="104"/>
        <v>0.40672180021809717</v>
      </c>
      <c r="U244" s="599">
        <f t="shared" si="104"/>
        <v>0.40468819121700667</v>
      </c>
      <c r="V244" s="599">
        <f t="shared" si="104"/>
        <v>0.40266475026092163</v>
      </c>
      <c r="W244" s="599">
        <f t="shared" si="104"/>
        <v>0.40065142650961705</v>
      </c>
      <c r="X244" s="599">
        <f t="shared" si="104"/>
        <v>0.39864816937706898</v>
      </c>
      <c r="Y244" s="599">
        <f t="shared" si="104"/>
        <v>0.39665492853018364</v>
      </c>
      <c r="Z244" s="599">
        <f t="shared" si="104"/>
        <v>0.39467165388753273</v>
      </c>
      <c r="AA244" s="599">
        <f t="shared" si="104"/>
        <v>0.39269829561809505</v>
      </c>
      <c r="AB244" s="599">
        <f t="shared" si="104"/>
        <v>0.39073480414000455</v>
      </c>
      <c r="AC244" s="599">
        <f t="shared" si="104"/>
        <v>0.38878113011930454</v>
      </c>
      <c r="AD244" s="599">
        <f t="shared" si="104"/>
        <v>0.386837224468708</v>
      </c>
      <c r="AE244" s="609">
        <v>-0.5</v>
      </c>
    </row>
    <row r="245" spans="2:32" x14ac:dyDescent="0.2">
      <c r="C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50"/>
      <c r="AB245" s="550"/>
      <c r="AC245" s="550"/>
      <c r="AD245" s="550"/>
    </row>
    <row r="246" spans="2:32" s="550" customFormat="1" ht="16.5" thickBot="1" x14ac:dyDescent="0.3">
      <c r="B246" s="548" t="s">
        <v>277</v>
      </c>
      <c r="D246" s="550" t="s">
        <v>276</v>
      </c>
      <c r="M246" s="112"/>
      <c r="P246" s="278"/>
    </row>
    <row r="247" spans="2:32" s="550" customFormat="1" ht="13.5" thickBot="1" x14ac:dyDescent="0.25">
      <c r="D247" s="259">
        <v>2005</v>
      </c>
      <c r="E247" s="260">
        <v>2006</v>
      </c>
      <c r="F247" s="260">
        <v>2007</v>
      </c>
      <c r="G247" s="260">
        <v>2008</v>
      </c>
      <c r="H247" s="260">
        <v>2009</v>
      </c>
      <c r="I247" s="260">
        <v>2010</v>
      </c>
      <c r="J247" s="260">
        <v>2011</v>
      </c>
      <c r="K247" s="260">
        <v>2012</v>
      </c>
      <c r="L247" s="260">
        <v>2013</v>
      </c>
      <c r="M247" s="354">
        <v>2014</v>
      </c>
      <c r="N247" s="260">
        <v>2015</v>
      </c>
      <c r="O247" s="260">
        <v>2016</v>
      </c>
      <c r="P247" s="574">
        <v>2017</v>
      </c>
      <c r="Q247" s="550">
        <v>2018</v>
      </c>
      <c r="R247" s="550">
        <v>2019</v>
      </c>
      <c r="S247" s="550">
        <v>2020</v>
      </c>
      <c r="T247" s="550">
        <v>2021</v>
      </c>
      <c r="U247" s="550">
        <v>2022</v>
      </c>
      <c r="V247" s="550">
        <v>2023</v>
      </c>
      <c r="W247" s="550">
        <v>2024</v>
      </c>
      <c r="X247" s="550">
        <v>2025</v>
      </c>
      <c r="Y247" s="550">
        <v>2026</v>
      </c>
      <c r="Z247" s="550">
        <v>2027</v>
      </c>
      <c r="AA247" s="550">
        <v>2028</v>
      </c>
      <c r="AB247" s="550">
        <v>2029</v>
      </c>
      <c r="AC247" s="550">
        <v>2030</v>
      </c>
      <c r="AD247" s="550">
        <v>2031</v>
      </c>
    </row>
    <row r="248" spans="2:32" s="188" customFormat="1" ht="13.5" thickBot="1" x14ac:dyDescent="0.25">
      <c r="C248" s="188" t="s">
        <v>242</v>
      </c>
      <c r="D248" s="560">
        <f>D241*(D$53-D$32)</f>
        <v>2791.3250000000007</v>
      </c>
      <c r="E248" s="560">
        <f>E241*(E$53-E$32)</f>
        <v>3188.3500000000008</v>
      </c>
      <c r="F248" s="560">
        <f t="shared" ref="F248:AD248" si="105">F241*(F$53-F$32)</f>
        <v>3822.6749999999993</v>
      </c>
      <c r="G248" s="560">
        <f t="shared" si="105"/>
        <v>5434.375</v>
      </c>
      <c r="H248" s="560">
        <f t="shared" si="105"/>
        <v>6910.5499999999993</v>
      </c>
      <c r="I248" s="560">
        <f t="shared" si="105"/>
        <v>8938.5</v>
      </c>
      <c r="J248" s="560">
        <f t="shared" si="105"/>
        <v>10392.999999999998</v>
      </c>
      <c r="K248" s="560">
        <f t="shared" si="105"/>
        <v>11484.775000000001</v>
      </c>
      <c r="L248" s="560">
        <f t="shared" si="105"/>
        <v>13289.224999999999</v>
      </c>
      <c r="M248" s="564">
        <f t="shared" si="105"/>
        <v>13629.425000000003</v>
      </c>
      <c r="N248" s="560">
        <f t="shared" si="105"/>
        <v>15658.175000000003</v>
      </c>
      <c r="O248" s="560">
        <f t="shared" si="105"/>
        <v>16439.800000000003</v>
      </c>
      <c r="P248" s="604">
        <f t="shared" si="105"/>
        <v>16439.800000000003</v>
      </c>
      <c r="Q248" s="560">
        <f t="shared" si="105"/>
        <v>18700.843163391539</v>
      </c>
      <c r="R248" s="560">
        <f t="shared" si="105"/>
        <v>20779.91544078492</v>
      </c>
      <c r="S248" s="560">
        <f t="shared" si="105"/>
        <v>14315.093006775818</v>
      </c>
      <c r="T248" s="560">
        <f t="shared" si="105"/>
        <v>15493.222363175344</v>
      </c>
      <c r="U248" s="560">
        <f t="shared" si="105"/>
        <v>16665.597964900579</v>
      </c>
      <c r="V248" s="560">
        <f t="shared" si="105"/>
        <v>18133.375394806229</v>
      </c>
      <c r="W248" s="560">
        <f t="shared" si="105"/>
        <v>19909.920611060323</v>
      </c>
      <c r="X248" s="560">
        <f t="shared" si="105"/>
        <v>21798.459591903134</v>
      </c>
      <c r="Y248" s="560">
        <f t="shared" si="105"/>
        <v>23843.652708464866</v>
      </c>
      <c r="Z248" s="560">
        <f t="shared" si="105"/>
        <v>25622.752807716501</v>
      </c>
      <c r="AA248" s="560">
        <f t="shared" si="105"/>
        <v>27275.4788061</v>
      </c>
      <c r="AB248" s="560">
        <f t="shared" si="105"/>
        <v>29032.072520905196</v>
      </c>
      <c r="AC248" s="560">
        <f t="shared" si="105"/>
        <v>30898.944140880263</v>
      </c>
      <c r="AD248" s="560">
        <f t="shared" si="105"/>
        <v>32882.894280521956</v>
      </c>
    </row>
    <row r="249" spans="2:32" s="188" customFormat="1" ht="13.5" thickBot="1" x14ac:dyDescent="0.25">
      <c r="C249" s="188" t="s">
        <v>243</v>
      </c>
      <c r="D249" s="560">
        <f t="shared" ref="D249" si="106">D242*(D$53-D$32)</f>
        <v>2791.3250000000007</v>
      </c>
      <c r="E249" s="560">
        <f t="shared" ref="E249:AD249" si="107">E242*(E$53-E$32)</f>
        <v>3188.3500000000008</v>
      </c>
      <c r="F249" s="560">
        <f t="shared" si="107"/>
        <v>3822.6749999999993</v>
      </c>
      <c r="G249" s="560">
        <f t="shared" si="107"/>
        <v>5434.375</v>
      </c>
      <c r="H249" s="560">
        <f t="shared" si="107"/>
        <v>6910.5499999999993</v>
      </c>
      <c r="I249" s="560">
        <f t="shared" si="107"/>
        <v>8938.5</v>
      </c>
      <c r="J249" s="560">
        <f t="shared" si="107"/>
        <v>10392.999999999998</v>
      </c>
      <c r="K249" s="560">
        <f t="shared" si="107"/>
        <v>11484.775000000001</v>
      </c>
      <c r="L249" s="560">
        <f t="shared" si="107"/>
        <v>13289.224999999999</v>
      </c>
      <c r="M249" s="564">
        <f t="shared" si="107"/>
        <v>13629.425000000003</v>
      </c>
      <c r="N249" s="560">
        <f t="shared" si="107"/>
        <v>15658.175000000003</v>
      </c>
      <c r="O249" s="560">
        <f t="shared" si="107"/>
        <v>16439.800000000003</v>
      </c>
      <c r="P249" s="604">
        <f t="shared" si="107"/>
        <v>16439.800000000003</v>
      </c>
      <c r="Q249" s="560">
        <f t="shared" si="107"/>
        <v>19358.661767128931</v>
      </c>
      <c r="R249" s="560">
        <f t="shared" si="107"/>
        <v>22267.530911975678</v>
      </c>
      <c r="S249" s="560">
        <f t="shared" si="107"/>
        <v>15879.492039643303</v>
      </c>
      <c r="T249" s="560">
        <f t="shared" si="107"/>
        <v>17790.916848831275</v>
      </c>
      <c r="U249" s="560">
        <f t="shared" si="107"/>
        <v>19810.325921023457</v>
      </c>
      <c r="V249" s="560">
        <f t="shared" si="107"/>
        <v>22313.285181950047</v>
      </c>
      <c r="W249" s="560">
        <f t="shared" si="107"/>
        <v>25361.12625156399</v>
      </c>
      <c r="X249" s="560">
        <f t="shared" si="107"/>
        <v>28743.454130353013</v>
      </c>
      <c r="Y249" s="560">
        <f t="shared" si="107"/>
        <v>32546.184583367529</v>
      </c>
      <c r="Z249" s="560">
        <f t="shared" si="107"/>
        <v>36204.889506657426</v>
      </c>
      <c r="AA249" s="560">
        <f t="shared" si="107"/>
        <v>39895.872444631954</v>
      </c>
      <c r="AB249" s="560">
        <f t="shared" si="107"/>
        <v>43958.996277956918</v>
      </c>
      <c r="AC249" s="560">
        <f t="shared" si="107"/>
        <v>48431.454353081259</v>
      </c>
      <c r="AD249" s="560">
        <f t="shared" si="107"/>
        <v>53354.131105960201</v>
      </c>
    </row>
    <row r="250" spans="2:32" s="188" customFormat="1" x14ac:dyDescent="0.2">
      <c r="C250" s="188" t="s">
        <v>244</v>
      </c>
      <c r="D250" s="560">
        <f t="shared" ref="D250" si="108">D243*(D$53-D$32)</f>
        <v>2791.3250000000007</v>
      </c>
      <c r="E250" s="560">
        <f t="shared" ref="E250:AD250" si="109">E243*(E$53-E$32)</f>
        <v>3188.3500000000008</v>
      </c>
      <c r="F250" s="560">
        <f t="shared" si="109"/>
        <v>3822.6749999999993</v>
      </c>
      <c r="G250" s="560">
        <f t="shared" si="109"/>
        <v>5434.375</v>
      </c>
      <c r="H250" s="560">
        <f t="shared" si="109"/>
        <v>6910.5499999999993</v>
      </c>
      <c r="I250" s="560">
        <f t="shared" si="109"/>
        <v>8938.5</v>
      </c>
      <c r="J250" s="560">
        <f t="shared" si="109"/>
        <v>10392.999999999998</v>
      </c>
      <c r="K250" s="560">
        <f t="shared" si="109"/>
        <v>11484.775000000001</v>
      </c>
      <c r="L250" s="560">
        <f t="shared" si="109"/>
        <v>13289.224999999999</v>
      </c>
      <c r="M250" s="564">
        <f t="shared" si="109"/>
        <v>13629.425000000003</v>
      </c>
      <c r="N250" s="560">
        <f t="shared" si="109"/>
        <v>15658.175000000003</v>
      </c>
      <c r="O250" s="560">
        <f t="shared" si="109"/>
        <v>16439.800000000003</v>
      </c>
      <c r="P250" s="604">
        <f t="shared" si="109"/>
        <v>16439.800000000003</v>
      </c>
      <c r="Q250" s="560">
        <f t="shared" si="109"/>
        <v>18982.765422136134</v>
      </c>
      <c r="R250" s="560">
        <f t="shared" si="109"/>
        <v>21411.168143374864</v>
      </c>
      <c r="S250" s="560">
        <f t="shared" si="109"/>
        <v>14972.318363082941</v>
      </c>
      <c r="T250" s="560">
        <f t="shared" si="109"/>
        <v>16448.826743942045</v>
      </c>
      <c r="U250" s="560">
        <f t="shared" si="109"/>
        <v>17960.249521947055</v>
      </c>
      <c r="V250" s="560">
        <f t="shared" si="109"/>
        <v>19836.653650430304</v>
      </c>
      <c r="W250" s="560">
        <f t="shared" si="109"/>
        <v>22108.413543821171</v>
      </c>
      <c r="X250" s="560">
        <f t="shared" si="109"/>
        <v>24570.395611073807</v>
      </c>
      <c r="Y250" s="560">
        <f t="shared" si="109"/>
        <v>27280.820300453237</v>
      </c>
      <c r="Z250" s="560">
        <f t="shared" si="109"/>
        <v>29758.341078214689</v>
      </c>
      <c r="AA250" s="560">
        <f t="shared" si="109"/>
        <v>32155.377057619651</v>
      </c>
      <c r="AB250" s="560">
        <f t="shared" si="109"/>
        <v>34742.219233584583</v>
      </c>
      <c r="AC250" s="560">
        <f t="shared" si="109"/>
        <v>37533.706074274138</v>
      </c>
      <c r="AD250" s="560">
        <f t="shared" si="109"/>
        <v>40545.824732397385</v>
      </c>
    </row>
    <row r="251" spans="2:32" s="188" customFormat="1" x14ac:dyDescent="0.2">
      <c r="C251" s="188" t="s">
        <v>315</v>
      </c>
      <c r="D251" s="188">
        <f>D248</f>
        <v>2791.3250000000007</v>
      </c>
      <c r="E251" s="188">
        <f t="shared" ref="E251:AD251" si="110">E248</f>
        <v>3188.3500000000008</v>
      </c>
      <c r="F251" s="188">
        <f t="shared" si="110"/>
        <v>3822.6749999999993</v>
      </c>
      <c r="G251" s="188">
        <f t="shared" si="110"/>
        <v>5434.375</v>
      </c>
      <c r="H251" s="188">
        <f t="shared" si="110"/>
        <v>6910.5499999999993</v>
      </c>
      <c r="I251" s="188">
        <f t="shared" si="110"/>
        <v>8938.5</v>
      </c>
      <c r="J251" s="188">
        <f t="shared" si="110"/>
        <v>10392.999999999998</v>
      </c>
      <c r="K251" s="188">
        <f t="shared" si="110"/>
        <v>11484.775000000001</v>
      </c>
      <c r="L251" s="188">
        <f t="shared" si="110"/>
        <v>13289.224999999999</v>
      </c>
      <c r="M251" s="188">
        <f t="shared" si="110"/>
        <v>13629.425000000003</v>
      </c>
      <c r="N251" s="188">
        <f t="shared" si="110"/>
        <v>15658.175000000003</v>
      </c>
      <c r="O251" s="188">
        <f t="shared" si="110"/>
        <v>16439.800000000003</v>
      </c>
      <c r="P251" s="383">
        <f t="shared" si="110"/>
        <v>16439.800000000003</v>
      </c>
      <c r="Q251" s="188">
        <f t="shared" si="110"/>
        <v>18700.843163391539</v>
      </c>
      <c r="R251" s="188">
        <f t="shared" si="110"/>
        <v>20779.91544078492</v>
      </c>
      <c r="S251" s="188">
        <f t="shared" si="110"/>
        <v>14315.093006775818</v>
      </c>
      <c r="T251" s="188">
        <f t="shared" si="110"/>
        <v>15493.222363175344</v>
      </c>
      <c r="U251" s="188">
        <f t="shared" si="110"/>
        <v>16665.597964900579</v>
      </c>
      <c r="V251" s="188">
        <f t="shared" si="110"/>
        <v>18133.375394806229</v>
      </c>
      <c r="W251" s="188">
        <f t="shared" si="110"/>
        <v>19909.920611060323</v>
      </c>
      <c r="X251" s="188">
        <f t="shared" si="110"/>
        <v>21798.459591903134</v>
      </c>
      <c r="Y251" s="188">
        <f t="shared" si="110"/>
        <v>23843.652708464866</v>
      </c>
      <c r="Z251" s="188">
        <f t="shared" si="110"/>
        <v>25622.752807716501</v>
      </c>
      <c r="AA251" s="188">
        <f t="shared" si="110"/>
        <v>27275.4788061</v>
      </c>
      <c r="AB251" s="188">
        <f t="shared" si="110"/>
        <v>29032.072520905196</v>
      </c>
      <c r="AC251" s="188">
        <f t="shared" si="110"/>
        <v>30898.944140880263</v>
      </c>
      <c r="AD251" s="188">
        <f t="shared" si="110"/>
        <v>32882.894280521956</v>
      </c>
    </row>
    <row r="252" spans="2:32" s="550" customFormat="1" x14ac:dyDescent="0.2">
      <c r="M252" s="112"/>
      <c r="P252" s="278"/>
    </row>
    <row r="254" spans="2:32" x14ac:dyDescent="0.2">
      <c r="C254" s="198" t="s">
        <v>273</v>
      </c>
    </row>
    <row r="255" spans="2:32" ht="15.75" x14ac:dyDescent="0.25">
      <c r="B255" s="548" t="s">
        <v>271</v>
      </c>
      <c r="C255" s="550"/>
      <c r="D255" s="550" t="s">
        <v>237</v>
      </c>
      <c r="E255" s="550"/>
      <c r="F255" s="550"/>
      <c r="G255" s="550" t="s">
        <v>272</v>
      </c>
      <c r="H255" s="550"/>
      <c r="I255" s="550"/>
      <c r="J255" s="550"/>
      <c r="K255" s="550"/>
      <c r="L255" s="550"/>
      <c r="N255" s="550"/>
      <c r="O255" s="240">
        <v>0.75</v>
      </c>
      <c r="Q255" s="550"/>
      <c r="R255" s="550"/>
      <c r="S255" s="550"/>
      <c r="T255" s="550"/>
      <c r="U255" s="550"/>
      <c r="V255" s="550"/>
      <c r="W255" s="550"/>
      <c r="X255" s="550"/>
      <c r="Y255" s="550"/>
      <c r="Z255" s="550"/>
      <c r="AA255" s="550"/>
      <c r="AB255" s="550"/>
      <c r="AC255" s="550"/>
      <c r="AD255" s="550"/>
      <c r="AE255" s="550"/>
    </row>
    <row r="256" spans="2:32" ht="13.5" thickBot="1" x14ac:dyDescent="0.25"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N256" s="550"/>
      <c r="O256" s="550"/>
      <c r="Q256" s="550"/>
      <c r="R256" s="550"/>
      <c r="S256" s="550"/>
      <c r="T256" s="550"/>
      <c r="U256" s="550"/>
      <c r="V256" s="550"/>
      <c r="W256" s="550"/>
      <c r="X256" s="550"/>
      <c r="Y256" s="550"/>
      <c r="Z256" s="550"/>
      <c r="AA256" s="550"/>
      <c r="AB256" s="550"/>
      <c r="AC256" s="550"/>
      <c r="AD256" s="550"/>
      <c r="AE256" s="550"/>
    </row>
    <row r="257" spans="2:32" ht="13.5" thickBot="1" x14ac:dyDescent="0.25">
      <c r="B257" s="550"/>
      <c r="C257" s="550"/>
      <c r="D257" s="259">
        <v>2005</v>
      </c>
      <c r="E257" s="260">
        <v>2006</v>
      </c>
      <c r="F257" s="260">
        <v>2007</v>
      </c>
      <c r="G257" s="260">
        <v>2008</v>
      </c>
      <c r="H257" s="260">
        <v>2009</v>
      </c>
      <c r="I257" s="260">
        <v>2010</v>
      </c>
      <c r="J257" s="260">
        <v>2011</v>
      </c>
      <c r="K257" s="260">
        <v>2012</v>
      </c>
      <c r="L257" s="260">
        <v>2013</v>
      </c>
      <c r="M257" s="354">
        <v>2014</v>
      </c>
      <c r="N257" s="260">
        <v>2015</v>
      </c>
      <c r="O257" s="260">
        <v>2016</v>
      </c>
      <c r="P257" s="574">
        <v>2017</v>
      </c>
      <c r="Q257" s="550">
        <v>2018</v>
      </c>
      <c r="R257" s="550">
        <v>2019</v>
      </c>
      <c r="S257" s="550">
        <v>2020</v>
      </c>
      <c r="T257" s="550">
        <v>2021</v>
      </c>
      <c r="U257" s="550">
        <v>2022</v>
      </c>
      <c r="V257" s="550">
        <v>2023</v>
      </c>
      <c r="W257" s="550">
        <v>2024</v>
      </c>
      <c r="X257" s="550">
        <v>2025</v>
      </c>
      <c r="Y257" s="550">
        <v>2026</v>
      </c>
      <c r="Z257" s="550">
        <v>2027</v>
      </c>
      <c r="AA257" s="550">
        <v>2028</v>
      </c>
      <c r="AB257" s="550">
        <v>2029</v>
      </c>
      <c r="AC257" s="550">
        <v>2030</v>
      </c>
      <c r="AD257" s="550">
        <v>2031</v>
      </c>
      <c r="AE257" s="550"/>
    </row>
    <row r="258" spans="2:32" s="188" customFormat="1" ht="13.5" thickBot="1" x14ac:dyDescent="0.25">
      <c r="C258" s="188" t="s">
        <v>242</v>
      </c>
      <c r="D258" s="325">
        <f t="shared" ref="D258:P260" si="111">$O$255*D$29</f>
        <v>8373.9749999999985</v>
      </c>
      <c r="E258" s="325">
        <f t="shared" si="111"/>
        <v>9565.0499999999993</v>
      </c>
      <c r="F258" s="325">
        <f t="shared" si="111"/>
        <v>11468.025000000001</v>
      </c>
      <c r="G258" s="325">
        <f t="shared" si="111"/>
        <v>16303.125</v>
      </c>
      <c r="H258" s="325">
        <f t="shared" si="111"/>
        <v>20731.650000000001</v>
      </c>
      <c r="I258" s="325">
        <f t="shared" si="111"/>
        <v>26815.5</v>
      </c>
      <c r="J258" s="325">
        <f t="shared" si="111"/>
        <v>31179</v>
      </c>
      <c r="K258" s="325">
        <f t="shared" si="111"/>
        <v>34454.324999999997</v>
      </c>
      <c r="L258" s="325">
        <f t="shared" si="111"/>
        <v>39867.675000000003</v>
      </c>
      <c r="M258" s="497">
        <f t="shared" si="111"/>
        <v>40888.274999999994</v>
      </c>
      <c r="N258" s="325">
        <f t="shared" si="111"/>
        <v>46974.524999999994</v>
      </c>
      <c r="O258" s="325">
        <f t="shared" si="111"/>
        <v>49319.399999999994</v>
      </c>
      <c r="P258" s="605">
        <f t="shared" si="111"/>
        <v>49319.399999999994</v>
      </c>
      <c r="Q258" s="560">
        <f>Q266*Q$4</f>
        <v>64546.776066385195</v>
      </c>
      <c r="R258" s="560">
        <f t="shared" ref="R258:AD258" si="112">R266*R$4</f>
        <v>75703.686309459867</v>
      </c>
      <c r="S258" s="560">
        <f t="shared" si="112"/>
        <v>87199.291075551359</v>
      </c>
      <c r="T258" s="560">
        <f t="shared" si="112"/>
        <v>98929.775707489927</v>
      </c>
      <c r="U258" s="560">
        <f t="shared" si="112"/>
        <v>111563.1080653364</v>
      </c>
      <c r="V258" s="560">
        <f t="shared" si="112"/>
        <v>127273.98275863742</v>
      </c>
      <c r="W258" s="560">
        <f t="shared" si="112"/>
        <v>146533.71819958821</v>
      </c>
      <c r="X258" s="560">
        <f t="shared" si="112"/>
        <v>168246.35189381221</v>
      </c>
      <c r="Y258" s="560">
        <f t="shared" si="112"/>
        <v>193013.72910974841</v>
      </c>
      <c r="Z258" s="560">
        <f t="shared" si="112"/>
        <v>217560.25010928066</v>
      </c>
      <c r="AA258" s="560">
        <f t="shared" si="112"/>
        <v>242944.09229078094</v>
      </c>
      <c r="AB258" s="560">
        <f t="shared" si="112"/>
        <v>271289.59425880777</v>
      </c>
      <c r="AC258" s="560">
        <f t="shared" si="112"/>
        <v>302942.30766895419</v>
      </c>
      <c r="AD258" s="560">
        <f t="shared" si="112"/>
        <v>338288.10141622939</v>
      </c>
      <c r="AE258" s="595"/>
    </row>
    <row r="259" spans="2:32" s="188" customFormat="1" ht="13.5" thickBot="1" x14ac:dyDescent="0.25">
      <c r="C259" s="188" t="s">
        <v>243</v>
      </c>
      <c r="D259" s="325">
        <f t="shared" si="111"/>
        <v>8373.9749999999985</v>
      </c>
      <c r="E259" s="325">
        <f t="shared" si="111"/>
        <v>9565.0499999999993</v>
      </c>
      <c r="F259" s="325">
        <f t="shared" si="111"/>
        <v>11468.025000000001</v>
      </c>
      <c r="G259" s="325">
        <f t="shared" si="111"/>
        <v>16303.125</v>
      </c>
      <c r="H259" s="325">
        <f t="shared" si="111"/>
        <v>20731.650000000001</v>
      </c>
      <c r="I259" s="325">
        <f t="shared" si="111"/>
        <v>26815.5</v>
      </c>
      <c r="J259" s="325">
        <f t="shared" si="111"/>
        <v>31179</v>
      </c>
      <c r="K259" s="325">
        <f t="shared" si="111"/>
        <v>34454.324999999997</v>
      </c>
      <c r="L259" s="325">
        <f t="shared" si="111"/>
        <v>39867.675000000003</v>
      </c>
      <c r="M259" s="497">
        <f t="shared" si="111"/>
        <v>40888.274999999994</v>
      </c>
      <c r="N259" s="325">
        <f t="shared" si="111"/>
        <v>46974.524999999994</v>
      </c>
      <c r="O259" s="325">
        <f t="shared" si="111"/>
        <v>49319.399999999994</v>
      </c>
      <c r="P259" s="605">
        <f t="shared" si="111"/>
        <v>49319.399999999994</v>
      </c>
      <c r="Q259" s="560">
        <f t="shared" ref="Q259:AD259" si="113">Q267*Q$4</f>
        <v>62702.582464488471</v>
      </c>
      <c r="R259" s="560">
        <f t="shared" si="113"/>
        <v>71439.560305090286</v>
      </c>
      <c r="S259" s="560">
        <f t="shared" si="113"/>
        <v>79936.581607777727</v>
      </c>
      <c r="T259" s="560">
        <f t="shared" si="113"/>
        <v>88098.90595574792</v>
      </c>
      <c r="U259" s="560">
        <f t="shared" si="113"/>
        <v>96510.589496402754</v>
      </c>
      <c r="V259" s="560">
        <f t="shared" si="113"/>
        <v>106955.93059759842</v>
      </c>
      <c r="W259" s="560">
        <f t="shared" si="113"/>
        <v>119622.721458272</v>
      </c>
      <c r="X259" s="560">
        <f t="shared" si="113"/>
        <v>133423.59483291284</v>
      </c>
      <c r="Y259" s="560">
        <f t="shared" si="113"/>
        <v>148691.47026739479</v>
      </c>
      <c r="Z259" s="560">
        <f t="shared" si="113"/>
        <v>162812.69919868928</v>
      </c>
      <c r="AA259" s="560">
        <f t="shared" si="113"/>
        <v>176614.33170976213</v>
      </c>
      <c r="AB259" s="560">
        <f t="shared" si="113"/>
        <v>191585.92860879863</v>
      </c>
      <c r="AC259" s="560">
        <f t="shared" si="113"/>
        <v>207826.66777696647</v>
      </c>
      <c r="AD259" s="560">
        <f t="shared" si="113"/>
        <v>225444.13440441992</v>
      </c>
    </row>
    <row r="260" spans="2:32" s="188" customFormat="1" x14ac:dyDescent="0.2">
      <c r="C260" s="188" t="s">
        <v>244</v>
      </c>
      <c r="D260" s="325">
        <f t="shared" si="111"/>
        <v>8373.9749999999985</v>
      </c>
      <c r="E260" s="325">
        <f t="shared" si="111"/>
        <v>9565.0499999999993</v>
      </c>
      <c r="F260" s="325">
        <f t="shared" si="111"/>
        <v>11468.025000000001</v>
      </c>
      <c r="G260" s="325">
        <f t="shared" si="111"/>
        <v>16303.125</v>
      </c>
      <c r="H260" s="325">
        <f t="shared" si="111"/>
        <v>20731.650000000001</v>
      </c>
      <c r="I260" s="325">
        <f t="shared" si="111"/>
        <v>26815.5</v>
      </c>
      <c r="J260" s="325">
        <f t="shared" si="111"/>
        <v>31179</v>
      </c>
      <c r="K260" s="325">
        <f t="shared" si="111"/>
        <v>34454.324999999997</v>
      </c>
      <c r="L260" s="325">
        <f t="shared" si="111"/>
        <v>39867.675000000003</v>
      </c>
      <c r="M260" s="497">
        <f t="shared" si="111"/>
        <v>40888.274999999994</v>
      </c>
      <c r="N260" s="325">
        <f t="shared" si="111"/>
        <v>46974.524999999994</v>
      </c>
      <c r="O260" s="325">
        <f t="shared" si="111"/>
        <v>49319.399999999994</v>
      </c>
      <c r="P260" s="605">
        <f t="shared" si="111"/>
        <v>49319.399999999994</v>
      </c>
      <c r="Q260" s="560">
        <f t="shared" ref="Q260:AD260" si="114">Q268*Q$4</f>
        <v>60858.388862591753</v>
      </c>
      <c r="R260" s="560">
        <f t="shared" si="114"/>
        <v>67299.032155919835</v>
      </c>
      <c r="S260" s="560">
        <f t="shared" si="114"/>
        <v>73088.767892293617</v>
      </c>
      <c r="T260" s="560">
        <f t="shared" si="114"/>
        <v>78182.689570547038</v>
      </c>
      <c r="U260" s="560">
        <f t="shared" si="114"/>
        <v>83128.526512779848</v>
      </c>
      <c r="V260" s="560">
        <f t="shared" si="114"/>
        <v>89415.952615573944</v>
      </c>
      <c r="W260" s="560">
        <f t="shared" si="114"/>
        <v>97064.14612254707</v>
      </c>
      <c r="X260" s="560">
        <f t="shared" si="114"/>
        <v>105078.24734715516</v>
      </c>
      <c r="Y260" s="560">
        <f t="shared" si="114"/>
        <v>113658.32757168922</v>
      </c>
      <c r="Z260" s="560">
        <f t="shared" si="114"/>
        <v>120792.09250172629</v>
      </c>
      <c r="AA260" s="560">
        <f t="shared" si="114"/>
        <v>127177.76647183002</v>
      </c>
      <c r="AB260" s="560">
        <f t="shared" si="114"/>
        <v>133901.01909636331</v>
      </c>
      <c r="AC260" s="560">
        <f t="shared" si="114"/>
        <v>140979.69647089255</v>
      </c>
      <c r="AD260" s="560">
        <f t="shared" si="114"/>
        <v>148432.58812482629</v>
      </c>
    </row>
    <row r="261" spans="2:32" s="188" customFormat="1" x14ac:dyDescent="0.2">
      <c r="C261" s="188" t="s">
        <v>315</v>
      </c>
      <c r="D261" s="188">
        <f>D258</f>
        <v>8373.9749999999985</v>
      </c>
      <c r="E261" s="188">
        <f t="shared" ref="E261:AD261" si="115">E258</f>
        <v>9565.0499999999993</v>
      </c>
      <c r="F261" s="188">
        <f t="shared" si="115"/>
        <v>11468.025000000001</v>
      </c>
      <c r="G261" s="188">
        <f t="shared" si="115"/>
        <v>16303.125</v>
      </c>
      <c r="H261" s="188">
        <f t="shared" si="115"/>
        <v>20731.650000000001</v>
      </c>
      <c r="I261" s="188">
        <f t="shared" si="115"/>
        <v>26815.5</v>
      </c>
      <c r="J261" s="188">
        <f t="shared" si="115"/>
        <v>31179</v>
      </c>
      <c r="K261" s="188">
        <f t="shared" si="115"/>
        <v>34454.324999999997</v>
      </c>
      <c r="L261" s="188">
        <f t="shared" si="115"/>
        <v>39867.675000000003</v>
      </c>
      <c r="M261" s="188">
        <f t="shared" si="115"/>
        <v>40888.274999999994</v>
      </c>
      <c r="N261" s="188">
        <f t="shared" si="115"/>
        <v>46974.524999999994</v>
      </c>
      <c r="O261" s="188">
        <f t="shared" si="115"/>
        <v>49319.399999999994</v>
      </c>
      <c r="P261" s="383">
        <f t="shared" si="115"/>
        <v>49319.399999999994</v>
      </c>
      <c r="Q261" s="188">
        <f t="shared" si="115"/>
        <v>64546.776066385195</v>
      </c>
      <c r="R261" s="188">
        <f t="shared" si="115"/>
        <v>75703.686309459867</v>
      </c>
      <c r="S261" s="188">
        <f t="shared" si="115"/>
        <v>87199.291075551359</v>
      </c>
      <c r="T261" s="188">
        <f t="shared" si="115"/>
        <v>98929.775707489927</v>
      </c>
      <c r="U261" s="188">
        <f t="shared" si="115"/>
        <v>111563.1080653364</v>
      </c>
      <c r="V261" s="188">
        <f t="shared" si="115"/>
        <v>127273.98275863742</v>
      </c>
      <c r="W261" s="188">
        <f t="shared" si="115"/>
        <v>146533.71819958821</v>
      </c>
      <c r="X261" s="188">
        <f t="shared" si="115"/>
        <v>168246.35189381221</v>
      </c>
      <c r="Y261" s="188">
        <f t="shared" si="115"/>
        <v>193013.72910974841</v>
      </c>
      <c r="Z261" s="188">
        <f t="shared" si="115"/>
        <v>217560.25010928066</v>
      </c>
      <c r="AA261" s="188">
        <f t="shared" si="115"/>
        <v>242944.09229078094</v>
      </c>
      <c r="AB261" s="188">
        <f t="shared" si="115"/>
        <v>271289.59425880777</v>
      </c>
      <c r="AC261" s="188">
        <f t="shared" si="115"/>
        <v>302942.30766895419</v>
      </c>
      <c r="AD261" s="188">
        <f t="shared" si="115"/>
        <v>338288.10141622939</v>
      </c>
    </row>
    <row r="262" spans="2:32" s="550" customFormat="1" x14ac:dyDescent="0.2">
      <c r="M262" s="112"/>
      <c r="P262" s="278"/>
    </row>
    <row r="263" spans="2:32" x14ac:dyDescent="0.2">
      <c r="D263" s="550" t="s">
        <v>274</v>
      </c>
    </row>
    <row r="264" spans="2:32" ht="13.5" thickBot="1" x14ac:dyDescent="0.25"/>
    <row r="265" spans="2:32" ht="13.5" thickBot="1" x14ac:dyDescent="0.25">
      <c r="C265" s="550"/>
      <c r="D265" s="259">
        <v>2005</v>
      </c>
      <c r="E265" s="260">
        <v>2006</v>
      </c>
      <c r="F265" s="260">
        <v>2007</v>
      </c>
      <c r="G265" s="260">
        <v>2008</v>
      </c>
      <c r="H265" s="260">
        <v>2009</v>
      </c>
      <c r="I265" s="260">
        <v>2010</v>
      </c>
      <c r="J265" s="260">
        <v>2011</v>
      </c>
      <c r="K265" s="260">
        <v>2012</v>
      </c>
      <c r="L265" s="260">
        <v>2013</v>
      </c>
      <c r="M265" s="354">
        <v>2014</v>
      </c>
      <c r="N265" s="260">
        <v>2015</v>
      </c>
      <c r="O265" s="260">
        <v>2016</v>
      </c>
      <c r="P265" s="574">
        <v>2017</v>
      </c>
      <c r="Q265" s="550">
        <v>2018</v>
      </c>
      <c r="R265" s="550">
        <v>2019</v>
      </c>
      <c r="S265" s="550">
        <v>2020</v>
      </c>
      <c r="T265" s="550">
        <v>2021</v>
      </c>
      <c r="U265" s="550">
        <v>2022</v>
      </c>
      <c r="V265" s="550">
        <v>2023</v>
      </c>
      <c r="W265" s="550">
        <v>2024</v>
      </c>
      <c r="X265" s="550">
        <v>2025</v>
      </c>
      <c r="Y265" s="550">
        <v>2026</v>
      </c>
      <c r="Z265" s="550">
        <v>2027</v>
      </c>
      <c r="AA265" s="550">
        <v>2028</v>
      </c>
      <c r="AB265" s="550">
        <v>2029</v>
      </c>
      <c r="AC265" s="550">
        <v>2030</v>
      </c>
      <c r="AD265" s="550">
        <v>2031</v>
      </c>
      <c r="AF265" t="s">
        <v>299</v>
      </c>
    </row>
    <row r="266" spans="2:32" s="188" customFormat="1" ht="13.5" thickBot="1" x14ac:dyDescent="0.25">
      <c r="C266" s="188" t="s">
        <v>242</v>
      </c>
      <c r="D266" s="325">
        <f>D258/D$8</f>
        <v>8373.9749999999985</v>
      </c>
      <c r="E266" s="325">
        <f t="shared" ref="E266:O266" si="116">E258/E$8</f>
        <v>8775.275229357796</v>
      </c>
      <c r="F266" s="325">
        <f t="shared" si="116"/>
        <v>9487.0368378818839</v>
      </c>
      <c r="G266" s="325">
        <f t="shared" si="116"/>
        <v>11977.727372558156</v>
      </c>
      <c r="H266" s="325">
        <f t="shared" si="116"/>
        <v>13672.635713904257</v>
      </c>
      <c r="I266" s="325">
        <f t="shared" si="116"/>
        <v>16224.741113986558</v>
      </c>
      <c r="J266" s="325">
        <f t="shared" si="116"/>
        <v>17597.836292365813</v>
      </c>
      <c r="K266" s="325">
        <f t="shared" si="116"/>
        <v>17853.904384061116</v>
      </c>
      <c r="L266" s="325">
        <f t="shared" si="116"/>
        <v>19072.240586651653</v>
      </c>
      <c r="M266" s="325">
        <f t="shared" si="116"/>
        <v>17622.057635477842</v>
      </c>
      <c r="N266" s="325">
        <f t="shared" si="116"/>
        <v>17604.446920598712</v>
      </c>
      <c r="O266" s="325">
        <f t="shared" si="116"/>
        <v>15865.429999759754</v>
      </c>
      <c r="P266" s="605">
        <f>P258/P$8</f>
        <v>13560.196580991242</v>
      </c>
      <c r="Q266" s="564">
        <f>P266*(1+0.01*$AE$266)</f>
        <v>14238.206410040804</v>
      </c>
      <c r="R266" s="564">
        <f t="shared" ref="R266:AD266" si="117">Q266*(1+0.01*$AE$266)</f>
        <v>14950.116730542844</v>
      </c>
      <c r="S266" s="564">
        <f t="shared" si="117"/>
        <v>15697.622567069988</v>
      </c>
      <c r="T266" s="564">
        <f t="shared" si="117"/>
        <v>16482.503695423489</v>
      </c>
      <c r="U266" s="564">
        <f t="shared" si="117"/>
        <v>17306.628880194665</v>
      </c>
      <c r="V266" s="564">
        <f t="shared" si="117"/>
        <v>18171.9603242044</v>
      </c>
      <c r="W266" s="564">
        <f t="shared" si="117"/>
        <v>19080.55834041462</v>
      </c>
      <c r="X266" s="564">
        <f t="shared" si="117"/>
        <v>20034.586257435352</v>
      </c>
      <c r="Y266" s="564">
        <f t="shared" si="117"/>
        <v>21036.315570307121</v>
      </c>
      <c r="Z266" s="564">
        <f t="shared" si="117"/>
        <v>22088.131348822477</v>
      </c>
      <c r="AA266" s="564">
        <f t="shared" si="117"/>
        <v>23192.537916263602</v>
      </c>
      <c r="AB266" s="564">
        <f t="shared" si="117"/>
        <v>24352.164812076782</v>
      </c>
      <c r="AC266" s="564">
        <f t="shared" si="117"/>
        <v>25569.773052680623</v>
      </c>
      <c r="AD266" s="564">
        <f t="shared" si="117"/>
        <v>26848.261705314653</v>
      </c>
      <c r="AE266" s="595">
        <v>5</v>
      </c>
    </row>
    <row r="267" spans="2:32" s="188" customFormat="1" ht="13.5" thickBot="1" x14ac:dyDescent="0.25">
      <c r="C267" s="188" t="s">
        <v>243</v>
      </c>
      <c r="D267" s="325">
        <f>D259/D$8</f>
        <v>8373.9749999999985</v>
      </c>
      <c r="E267" s="325">
        <f t="shared" ref="E267:O267" si="118">E259/E$8</f>
        <v>8775.275229357796</v>
      </c>
      <c r="F267" s="325">
        <f t="shared" si="118"/>
        <v>9487.0368378818839</v>
      </c>
      <c r="G267" s="325">
        <f t="shared" si="118"/>
        <v>11977.727372558156</v>
      </c>
      <c r="H267" s="325">
        <f t="shared" si="118"/>
        <v>13672.635713904257</v>
      </c>
      <c r="I267" s="325">
        <f t="shared" si="118"/>
        <v>16224.741113986558</v>
      </c>
      <c r="J267" s="325">
        <f t="shared" si="118"/>
        <v>17597.836292365813</v>
      </c>
      <c r="K267" s="325">
        <f t="shared" si="118"/>
        <v>17853.904384061116</v>
      </c>
      <c r="L267" s="325">
        <f t="shared" si="118"/>
        <v>19072.240586651653</v>
      </c>
      <c r="M267" s="325">
        <f t="shared" si="118"/>
        <v>17622.057635477842</v>
      </c>
      <c r="N267" s="325">
        <f t="shared" si="118"/>
        <v>17604.446920598712</v>
      </c>
      <c r="O267" s="325">
        <f t="shared" si="118"/>
        <v>15865.429999759754</v>
      </c>
      <c r="P267" s="605">
        <f>P259/P$8</f>
        <v>13560.196580991242</v>
      </c>
      <c r="Q267" s="564">
        <f>P267*(1+0.01*$AE$267)</f>
        <v>13831.400512611066</v>
      </c>
      <c r="R267" s="564">
        <f t="shared" ref="R267:AD267" si="119">Q267*(1+0.01*$AE$267)</f>
        <v>14108.028522863287</v>
      </c>
      <c r="S267" s="564">
        <f t="shared" si="119"/>
        <v>14390.189093320554</v>
      </c>
      <c r="T267" s="564">
        <f t="shared" si="119"/>
        <v>14677.992875186965</v>
      </c>
      <c r="U267" s="564">
        <f t="shared" si="119"/>
        <v>14971.552732690705</v>
      </c>
      <c r="V267" s="564">
        <f t="shared" si="119"/>
        <v>15270.983787344519</v>
      </c>
      <c r="W267" s="564">
        <f t="shared" si="119"/>
        <v>15576.40346309141</v>
      </c>
      <c r="X267" s="564">
        <f t="shared" si="119"/>
        <v>15887.931532353239</v>
      </c>
      <c r="Y267" s="564">
        <f t="shared" si="119"/>
        <v>16205.690163000305</v>
      </c>
      <c r="Z267" s="564">
        <f t="shared" si="119"/>
        <v>16529.803966260311</v>
      </c>
      <c r="AA267" s="564">
        <f t="shared" si="119"/>
        <v>16860.400045585517</v>
      </c>
      <c r="AB267" s="564">
        <f t="shared" si="119"/>
        <v>17197.608046497226</v>
      </c>
      <c r="AC267" s="564">
        <f t="shared" si="119"/>
        <v>17541.56020742717</v>
      </c>
      <c r="AD267" s="564">
        <f t="shared" si="119"/>
        <v>17892.391411575714</v>
      </c>
      <c r="AE267" s="606">
        <v>2</v>
      </c>
    </row>
    <row r="268" spans="2:32" s="188" customFormat="1" ht="13.5" thickBot="1" x14ac:dyDescent="0.25">
      <c r="C268" s="188" t="s">
        <v>244</v>
      </c>
      <c r="D268" s="325">
        <f>D260/D$8</f>
        <v>8373.9749999999985</v>
      </c>
      <c r="E268" s="325">
        <f t="shared" ref="E268:O268" si="120">E260/E$8</f>
        <v>8775.275229357796</v>
      </c>
      <c r="F268" s="325">
        <f t="shared" si="120"/>
        <v>9487.0368378818839</v>
      </c>
      <c r="G268" s="325">
        <f t="shared" si="120"/>
        <v>11977.727372558156</v>
      </c>
      <c r="H268" s="325">
        <f t="shared" si="120"/>
        <v>13672.635713904257</v>
      </c>
      <c r="I268" s="325">
        <f t="shared" si="120"/>
        <v>16224.741113986558</v>
      </c>
      <c r="J268" s="325">
        <f t="shared" si="120"/>
        <v>17597.836292365813</v>
      </c>
      <c r="K268" s="325">
        <f t="shared" si="120"/>
        <v>17853.904384061116</v>
      </c>
      <c r="L268" s="325">
        <f t="shared" si="120"/>
        <v>19072.240586651653</v>
      </c>
      <c r="M268" s="325">
        <f t="shared" si="120"/>
        <v>17622.057635477842</v>
      </c>
      <c r="N268" s="325">
        <f t="shared" si="120"/>
        <v>17604.446920598712</v>
      </c>
      <c r="O268" s="325">
        <f t="shared" si="120"/>
        <v>15865.429999759754</v>
      </c>
      <c r="P268" s="605">
        <f>P260/P$8</f>
        <v>13560.196580991242</v>
      </c>
      <c r="Q268" s="564">
        <f>P268*(1+0.01*$AE$268)</f>
        <v>13424.59461518133</v>
      </c>
      <c r="R268" s="564">
        <f t="shared" ref="R268:AD268" si="121">Q268*(1+0.01*$AE$268)</f>
        <v>13290.348669029516</v>
      </c>
      <c r="S268" s="564">
        <f t="shared" si="121"/>
        <v>13157.445182339221</v>
      </c>
      <c r="T268" s="564">
        <f t="shared" si="121"/>
        <v>13025.87073051583</v>
      </c>
      <c r="U268" s="564">
        <f t="shared" si="121"/>
        <v>12895.612023210671</v>
      </c>
      <c r="V268" s="564">
        <f t="shared" si="121"/>
        <v>12766.655902978564</v>
      </c>
      <c r="W268" s="564">
        <f t="shared" si="121"/>
        <v>12638.989343948779</v>
      </c>
      <c r="X268" s="564">
        <f t="shared" si="121"/>
        <v>12512.599450509291</v>
      </c>
      <c r="Y268" s="564">
        <f t="shared" si="121"/>
        <v>12387.473456004198</v>
      </c>
      <c r="Z268" s="564">
        <f t="shared" si="121"/>
        <v>12263.598721444156</v>
      </c>
      <c r="AA268" s="564">
        <f t="shared" si="121"/>
        <v>12140.962734229714</v>
      </c>
      <c r="AB268" s="564">
        <f t="shared" si="121"/>
        <v>12019.553106887417</v>
      </c>
      <c r="AC268" s="564">
        <f t="shared" si="121"/>
        <v>11899.357575818543</v>
      </c>
      <c r="AD268" s="564">
        <f t="shared" si="121"/>
        <v>11780.364000060357</v>
      </c>
      <c r="AE268" s="606">
        <v>-1</v>
      </c>
    </row>
    <row r="269" spans="2:32" x14ac:dyDescent="0.2">
      <c r="C269" s="550" t="s">
        <v>315</v>
      </c>
      <c r="D269" s="468">
        <f>D261/D$8</f>
        <v>8373.9749999999985</v>
      </c>
      <c r="E269" s="468">
        <f t="shared" ref="E269:P269" si="122">E261/E$8</f>
        <v>8775.275229357796</v>
      </c>
      <c r="F269" s="468">
        <f t="shared" si="122"/>
        <v>9487.0368378818839</v>
      </c>
      <c r="G269" s="468">
        <f t="shared" si="122"/>
        <v>11977.727372558156</v>
      </c>
      <c r="H269" s="468">
        <f t="shared" si="122"/>
        <v>13672.635713904257</v>
      </c>
      <c r="I269" s="468">
        <f t="shared" si="122"/>
        <v>16224.741113986558</v>
      </c>
      <c r="J269" s="468">
        <f t="shared" si="122"/>
        <v>17597.836292365813</v>
      </c>
      <c r="K269" s="468">
        <f t="shared" si="122"/>
        <v>17853.904384061116</v>
      </c>
      <c r="L269" s="468">
        <f t="shared" si="122"/>
        <v>19072.240586651653</v>
      </c>
      <c r="M269" s="468">
        <f t="shared" si="122"/>
        <v>17622.057635477842</v>
      </c>
      <c r="N269" s="468">
        <f t="shared" si="122"/>
        <v>17604.446920598712</v>
      </c>
      <c r="O269" s="468">
        <f t="shared" si="122"/>
        <v>15865.429999759754</v>
      </c>
      <c r="P269" s="623">
        <f t="shared" si="122"/>
        <v>13560.196580991242</v>
      </c>
      <c r="Q269" s="564">
        <f>P269*(1+0.01*$AE$269)</f>
        <v>14102.604444230892</v>
      </c>
      <c r="R269" s="564">
        <f t="shared" ref="R269:AD269" si="123">Q269*(1+0.01*$AE$269)</f>
        <v>14666.708622000127</v>
      </c>
      <c r="S269" s="564">
        <f t="shared" si="123"/>
        <v>15253.376966880132</v>
      </c>
      <c r="T269" s="564">
        <f t="shared" si="123"/>
        <v>15863.512045555339</v>
      </c>
      <c r="U269" s="564">
        <f t="shared" si="123"/>
        <v>16498.052527377553</v>
      </c>
      <c r="V269" s="564">
        <f t="shared" si="123"/>
        <v>17157.974628472657</v>
      </c>
      <c r="W269" s="564">
        <f t="shared" si="123"/>
        <v>17844.293613611564</v>
      </c>
      <c r="X269" s="564">
        <f t="shared" si="123"/>
        <v>18558.065358156025</v>
      </c>
      <c r="Y269" s="564">
        <f t="shared" si="123"/>
        <v>19300.387972482265</v>
      </c>
      <c r="Z269" s="564">
        <f t="shared" si="123"/>
        <v>20072.403491381556</v>
      </c>
      <c r="AA269" s="564">
        <f t="shared" si="123"/>
        <v>20875.299631036818</v>
      </c>
      <c r="AB269" s="564">
        <f t="shared" si="123"/>
        <v>21710.31161627829</v>
      </c>
      <c r="AC269" s="564">
        <f t="shared" si="123"/>
        <v>22578.724080929424</v>
      </c>
      <c r="AD269" s="564">
        <f t="shared" si="123"/>
        <v>23481.873044166601</v>
      </c>
      <c r="AE269" s="606">
        <v>4</v>
      </c>
    </row>
    <row r="270" spans="2:32" s="550" customFormat="1" x14ac:dyDescent="0.2">
      <c r="M270" s="112"/>
      <c r="P270" s="278"/>
    </row>
    <row r="271" spans="2:32" x14ac:dyDescent="0.2"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626"/>
    </row>
    <row r="272" spans="2:32" ht="18" x14ac:dyDescent="0.25">
      <c r="C272" s="555" t="s">
        <v>290</v>
      </c>
    </row>
    <row r="274" spans="1:30" ht="13.5" thickBot="1" x14ac:dyDescent="0.25">
      <c r="D274" t="s">
        <v>237</v>
      </c>
    </row>
    <row r="275" spans="1:30" ht="13.5" thickBot="1" x14ac:dyDescent="0.25">
      <c r="D275" s="259">
        <v>2005</v>
      </c>
      <c r="E275" s="260">
        <v>2006</v>
      </c>
      <c r="F275" s="260">
        <v>2007</v>
      </c>
      <c r="G275" s="260">
        <v>2008</v>
      </c>
      <c r="H275" s="260">
        <v>2009</v>
      </c>
      <c r="I275" s="260">
        <v>2010</v>
      </c>
      <c r="J275" s="260">
        <v>2011</v>
      </c>
      <c r="K275" s="260">
        <v>2012</v>
      </c>
      <c r="L275" s="260">
        <v>2013</v>
      </c>
      <c r="M275" s="354">
        <v>2014</v>
      </c>
      <c r="N275" s="260">
        <v>2015</v>
      </c>
      <c r="O275" s="260">
        <v>2016</v>
      </c>
      <c r="P275" s="574">
        <v>2017</v>
      </c>
      <c r="Q275" s="550">
        <v>2018</v>
      </c>
      <c r="R275" s="550">
        <v>2019</v>
      </c>
      <c r="S275" s="550">
        <v>2020</v>
      </c>
      <c r="T275" s="550">
        <v>2021</v>
      </c>
      <c r="U275" s="550">
        <v>2022</v>
      </c>
      <c r="V275" s="550">
        <v>2023</v>
      </c>
      <c r="W275" s="550">
        <v>2024</v>
      </c>
      <c r="X275" s="550">
        <v>2025</v>
      </c>
      <c r="Y275" s="550">
        <v>2026</v>
      </c>
      <c r="Z275" s="550">
        <v>2027</v>
      </c>
      <c r="AA275" s="550">
        <v>2028</v>
      </c>
      <c r="AB275" s="550">
        <v>2029</v>
      </c>
      <c r="AC275" s="550">
        <v>2030</v>
      </c>
      <c r="AD275" s="550">
        <v>2031</v>
      </c>
    </row>
    <row r="276" spans="1:30" ht="21" thickBot="1" x14ac:dyDescent="0.35">
      <c r="A276" s="556" t="s">
        <v>278</v>
      </c>
      <c r="C276" s="550" t="s">
        <v>265</v>
      </c>
      <c r="D276" s="545">
        <f>INDEX(ScenSocTransFB,[1]!NScenSocTransFB,D48)+INDEX(ScenSocTransKB,[1]!NScenSocTransKB,D48)</f>
        <v>11165.3</v>
      </c>
      <c r="E276" s="545">
        <f>INDEX(ScenSocTransFB,[1]!NScenSocTransFB,E48)+INDEX(ScenSocTransKB,[1]!NScenSocTransKB,E48)</f>
        <v>12753.4</v>
      </c>
      <c r="F276" s="545">
        <f>INDEX(ScenSocTransFB,[1]!NScenSocTransFB,F48)+INDEX(ScenSocTransKB,[1]!NScenSocTransKB,F48)</f>
        <v>15290.7</v>
      </c>
      <c r="G276" s="545">
        <f>INDEX(ScenSocTransFB,[1]!NScenSocTransFB,G48)+INDEX(ScenSocTransKB,[1]!NScenSocTransKB,G48)</f>
        <v>21737.5</v>
      </c>
      <c r="H276" s="545">
        <f>INDEX(ScenSocTransFB,[1]!NScenSocTransFB,H48)+INDEX(ScenSocTransKB,[1]!NScenSocTransKB,H48)</f>
        <v>27642.2</v>
      </c>
      <c r="I276" s="545">
        <f>INDEX(ScenSocTransFB,[1]!NScenSocTransFB,I48)+INDEX(ScenSocTransKB,[1]!NScenSocTransKB,I48)</f>
        <v>35754</v>
      </c>
      <c r="J276" s="545">
        <f>INDEX(ScenSocTransFB,[1]!NScenSocTransFB,J48)+INDEX(ScenSocTransKB,[1]!NScenSocTransKB,J48)</f>
        <v>41572</v>
      </c>
      <c r="K276" s="545">
        <f>INDEX(ScenSocTransFB,[1]!NScenSocTransFB,K48)+INDEX(ScenSocTransKB,[1]!NScenSocTransKB,K48)</f>
        <v>45939.1</v>
      </c>
      <c r="L276" s="545">
        <f>INDEX(ScenSocTransFB,[1]!NScenSocTransFB,L48)+INDEX(ScenSocTransKB,[1]!NScenSocTransKB,L48)</f>
        <v>53156.9</v>
      </c>
      <c r="M276" s="567">
        <f>INDEX(ScenSocTransFB,[1]!NScenSocTransFB,M48)+INDEX(ScenSocTransKB,[1]!NScenSocTransKB,M48)</f>
        <v>54517.7</v>
      </c>
      <c r="N276" s="545">
        <f>INDEX(ScenSocTransFB,[1]!NScenSocTransFB,N48)+INDEX(ScenSocTransKB,[1]!NScenSocTransKB,N48)</f>
        <v>62632.7</v>
      </c>
      <c r="O276" s="545">
        <f>INDEX(ScenSocTransFB,[1]!NScenSocTransFB,O48)+INDEX(ScenSocTransKB,[1]!NScenSocTransKB,O48)</f>
        <v>65759.199999999997</v>
      </c>
      <c r="P276" s="576">
        <f>INDEX(ScenSocTransFB,[1]!NScenSocTransFB,P48)+INDEX(ScenSocTransKB,[1]!NScenSocTransKB,P48)</f>
        <v>65759.199999999997</v>
      </c>
      <c r="Q276" s="581">
        <f>INDEX(ScenSocTransFB,[1]!NScenSocTransFB,Q48)+INDEX(ScenSocTransKB,[1]!NScenSocTransKB,Q48)</f>
        <v>83247.619229776727</v>
      </c>
      <c r="R276" s="581">
        <f>INDEX(ScenSocTransFB,[1]!NScenSocTransFB,R48)+INDEX(ScenSocTransKB,[1]!NScenSocTransKB,R48)</f>
        <v>96483.601750244794</v>
      </c>
      <c r="S276" s="581">
        <f>INDEX(ScenSocTransFB,[1]!NScenSocTransFB,S48)+INDEX(ScenSocTransKB,[1]!NScenSocTransKB,S48)</f>
        <v>101514.38408232717</v>
      </c>
      <c r="T276" s="545">
        <f>INDEX(ScenSocTransFB,[1]!NScenSocTransFB,T48)+INDEX(ScenSocTransKB,[1]!NScenSocTransKB,T48)</f>
        <v>114422.99807066527</v>
      </c>
      <c r="U276" s="545">
        <f>INDEX(ScenSocTransFB,[1]!NScenSocTransFB,U48)+INDEX(ScenSocTransKB,[1]!NScenSocTransKB,U48)</f>
        <v>128228.70603023698</v>
      </c>
      <c r="V276" s="545">
        <f>INDEX(ScenSocTransFB,[1]!NScenSocTransFB,V48)+INDEX(ScenSocTransKB,[1]!NScenSocTransKB,V48)</f>
        <v>145407.35815344364</v>
      </c>
      <c r="W276" s="545">
        <f>INDEX(ScenSocTransFB,[1]!NScenSocTransFB,W48)+INDEX(ScenSocTransKB,[1]!NScenSocTransKB,W48)</f>
        <v>166443.63881064852</v>
      </c>
      <c r="X276" s="581">
        <f>INDEX(ScenSocTransFB,[1]!NScenSocTransFB,X48)+INDEX(ScenSocTransKB,[1]!NScenSocTransKB,X48)</f>
        <v>190044.81148571536</v>
      </c>
      <c r="Y276" s="545">
        <f>INDEX(ScenSocTransFB,[1]!NScenSocTransFB,Y48)+INDEX(ScenSocTransKB,[1]!NScenSocTransKB,Y48)</f>
        <v>216857.38181821327</v>
      </c>
      <c r="Z276" s="545">
        <f>INDEX(ScenSocTransFB,[1]!NScenSocTransFB,Z48)+INDEX(ScenSocTransKB,[1]!NScenSocTransKB,Z48)</f>
        <v>243183.00291699715</v>
      </c>
      <c r="AA276" s="545">
        <f>INDEX(ScenSocTransFB,[1]!NScenSocTransFB,AA48)+INDEX(ScenSocTransKB,[1]!NScenSocTransKB,AA48)</f>
        <v>270219.57109688094</v>
      </c>
      <c r="AB276" s="545">
        <f>INDEX(ScenSocTransFB,[1]!NScenSocTransFB,AB48)+INDEX(ScenSocTransKB,[1]!NScenSocTransKB,AB48)</f>
        <v>300321.66677971295</v>
      </c>
      <c r="AC276" s="545">
        <f>INDEX(ScenSocTransFB,[1]!NScenSocTransFB,AC48)+INDEX(ScenSocTransKB,[1]!NScenSocTransKB,AC48)</f>
        <v>333841.25180983444</v>
      </c>
      <c r="AD276" s="546">
        <f>INDEX(ScenSocTransFB,[1]!NScenSocTransFB,AD48)+INDEX(ScenSocTransKB,[1]!NScenSocTransKB,AD48)</f>
        <v>371170.99569675134</v>
      </c>
    </row>
    <row r="277" spans="1:30" x14ac:dyDescent="0.2">
      <c r="D277" s="550"/>
      <c r="E277" s="550"/>
      <c r="F277" s="550"/>
      <c r="G277" s="550"/>
      <c r="H277" s="550"/>
      <c r="I277" s="550"/>
      <c r="J277" s="550"/>
      <c r="K277" s="550"/>
      <c r="L277" s="550"/>
      <c r="N277" s="550"/>
      <c r="O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50"/>
      <c r="AB277" s="550"/>
      <c r="AC277" s="550"/>
      <c r="AD277" s="550"/>
    </row>
    <row r="278" spans="1:30" x14ac:dyDescent="0.2"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550"/>
      <c r="O278" s="550"/>
      <c r="Q278" s="658"/>
      <c r="R278" s="658"/>
      <c r="S278" s="658"/>
      <c r="T278" s="658"/>
      <c r="U278" s="550"/>
      <c r="V278" s="550"/>
      <c r="W278" s="550"/>
      <c r="X278" s="550"/>
      <c r="Y278" s="550"/>
      <c r="Z278" s="550"/>
      <c r="AA278" s="550"/>
    </row>
    <row r="280" spans="1:30" s="347" customFormat="1" x14ac:dyDescent="0.2">
      <c r="P280" s="278"/>
    </row>
    <row r="283" spans="1:30" ht="20.25" x14ac:dyDescent="0.3">
      <c r="B283" s="557" t="s">
        <v>328</v>
      </c>
    </row>
    <row r="284" spans="1:30" x14ac:dyDescent="0.2">
      <c r="C284" t="s">
        <v>303</v>
      </c>
    </row>
    <row r="285" spans="1:30" ht="13.5" thickBot="1" x14ac:dyDescent="0.25">
      <c r="D285" t="s">
        <v>237</v>
      </c>
    </row>
    <row r="286" spans="1:30" ht="13.5" thickBot="1" x14ac:dyDescent="0.25">
      <c r="C286" s="550"/>
      <c r="D286" s="259">
        <v>2005</v>
      </c>
      <c r="E286" s="260">
        <v>2006</v>
      </c>
      <c r="F286" s="260">
        <v>2007</v>
      </c>
      <c r="G286" s="260">
        <v>2008</v>
      </c>
      <c r="H286" s="260">
        <v>2009</v>
      </c>
      <c r="I286" s="260">
        <v>2010</v>
      </c>
      <c r="J286" s="260">
        <v>2011</v>
      </c>
      <c r="K286" s="260">
        <v>2012</v>
      </c>
      <c r="L286" s="260">
        <v>2013</v>
      </c>
      <c r="M286" s="354">
        <v>2014</v>
      </c>
      <c r="N286" s="260">
        <v>2015</v>
      </c>
      <c r="O286" s="260">
        <v>2016</v>
      </c>
      <c r="P286" s="574">
        <v>2017</v>
      </c>
      <c r="Q286" s="550">
        <v>2018</v>
      </c>
      <c r="R286" s="550">
        <v>2019</v>
      </c>
      <c r="S286" s="550">
        <v>2020</v>
      </c>
      <c r="T286" s="550">
        <v>2021</v>
      </c>
      <c r="U286" s="550">
        <v>2022</v>
      </c>
      <c r="V286" s="550">
        <v>2023</v>
      </c>
      <c r="W286" s="550">
        <v>2024</v>
      </c>
      <c r="X286" s="550">
        <v>2025</v>
      </c>
      <c r="Y286" s="550">
        <v>2026</v>
      </c>
      <c r="Z286" s="550">
        <v>2027</v>
      </c>
      <c r="AA286" s="550">
        <v>2028</v>
      </c>
      <c r="AB286" s="550">
        <v>2029</v>
      </c>
      <c r="AC286" s="550">
        <v>2030</v>
      </c>
      <c r="AD286" s="550">
        <v>2031</v>
      </c>
    </row>
    <row r="287" spans="1:30" s="188" customFormat="1" ht="21" thickBot="1" x14ac:dyDescent="0.35">
      <c r="A287" s="631" t="s">
        <v>278</v>
      </c>
      <c r="C287" s="188" t="s">
        <v>280</v>
      </c>
      <c r="D287" s="602">
        <v>5000</v>
      </c>
      <c r="E287" s="581">
        <f>'[1]распределение '!C$663*0.001</f>
        <v>5402.4261729265863</v>
      </c>
      <c r="F287" s="581">
        <f>'[1]распределение '!D$663*0.001</f>
        <v>5900.7207049857498</v>
      </c>
      <c r="G287" s="581">
        <f>'[1]распределение '!E$663*0.001</f>
        <v>7107.1542227177752</v>
      </c>
      <c r="H287" s="581">
        <f>'[1]распределение '!F$663*0.001</f>
        <v>7309.4304181365515</v>
      </c>
      <c r="I287" s="581">
        <f>'[1]распределение '!G$663*0.001</f>
        <v>7497.6750986040743</v>
      </c>
      <c r="J287" s="581">
        <f>'[1]распределение '!H$663*0.001</f>
        <v>7044.3308882491219</v>
      </c>
      <c r="K287" s="581">
        <f>'[1]распределение '!I$663*0.001</f>
        <v>6817.2401103756129</v>
      </c>
      <c r="L287" s="581">
        <f>'[1]распределение '!J$663*0.001</f>
        <v>10555.779010395345</v>
      </c>
      <c r="M287" s="518">
        <f>'[1]распределение '!K$663*0.001</f>
        <v>11649.64181383506</v>
      </c>
      <c r="N287" s="581">
        <f>'[1]распределение '!L$663*0.001</f>
        <v>11014.967869139182</v>
      </c>
      <c r="O287" s="581">
        <f>'[1]распределение '!M$663*0.001</f>
        <v>13535.873980643715</v>
      </c>
      <c r="P287" s="603">
        <f>'[1]распределение '!N$663*0.001</f>
        <v>12332.037983498903</v>
      </c>
      <c r="Q287" s="581">
        <f>'[1]распределение '!O$663*0.001</f>
        <v>13711.829028886339</v>
      </c>
      <c r="R287" s="581">
        <f>'[1]распределение '!P$663*0.001</f>
        <v>18527.796938880354</v>
      </c>
      <c r="S287" s="581">
        <f>'[1]распределение '!Q$663*0.001</f>
        <v>13699.300285662137</v>
      </c>
      <c r="T287" s="581">
        <f>'[1]распределение '!R$663*0.001</f>
        <v>14122.917271311406</v>
      </c>
      <c r="U287" s="581">
        <f>'[1]распределение '!S$663*0.001</f>
        <v>14595.812308463619</v>
      </c>
      <c r="V287" s="581">
        <f>'[1]распределение '!T$663*0.001</f>
        <v>15727.968521881539</v>
      </c>
      <c r="W287" s="581">
        <f>'[1]распределение '!U$663*0.001</f>
        <v>17128.325329143448</v>
      </c>
      <c r="X287" s="581">
        <f>'[1]распределение '!V$663*0.001</f>
        <v>18537.676962728128</v>
      </c>
      <c r="Y287" s="581">
        <f>'[1]распределение '!W$663*0.001</f>
        <v>19785.721420923157</v>
      </c>
      <c r="Z287" s="581">
        <f>'[1]распределение '!X$663*0.001</f>
        <v>20841.601339145593</v>
      </c>
      <c r="AA287" s="581">
        <f>'[1]распределение '!Y$663*0.001</f>
        <v>21601.794470476434</v>
      </c>
      <c r="AB287" s="581">
        <f>'[1]распределение '!Z$663*0.001</f>
        <v>22591.320997223444</v>
      </c>
      <c r="AC287" s="581">
        <f>'[1]распределение '!AA$663*0.001</f>
        <v>23900.084278738781</v>
      </c>
      <c r="AD287" s="581">
        <f>'[1]распределение '!AB$663*0.001</f>
        <v>25507.933884067654</v>
      </c>
    </row>
    <row r="289" spans="1:36" x14ac:dyDescent="0.2">
      <c r="Q289" s="658"/>
      <c r="R289" s="658"/>
      <c r="S289" s="658"/>
      <c r="T289" s="658"/>
      <c r="U289" s="658"/>
    </row>
    <row r="291" spans="1:36" ht="21" thickBot="1" x14ac:dyDescent="0.35">
      <c r="B291" s="556" t="s">
        <v>281</v>
      </c>
    </row>
    <row r="292" spans="1:36" ht="21" thickBot="1" x14ac:dyDescent="0.35">
      <c r="A292" s="630" t="s">
        <v>278</v>
      </c>
      <c r="C292" s="550" t="s">
        <v>301</v>
      </c>
      <c r="D292" s="545">
        <f>INDEX(ZPREMinNSTek,[1]!NscenSobDoh,D48)</f>
        <v>31067.900000000005</v>
      </c>
      <c r="E292" s="545">
        <f>INDEX(ZPREMinNSTek,[1]!NscenSobDoh,E48)</f>
        <v>38872.173827073428</v>
      </c>
      <c r="F292" s="545">
        <f>INDEX(ZPREMinNSTek,[1]!NscenSobDoh,F48)</f>
        <v>48929.779295014247</v>
      </c>
      <c r="G292" s="545">
        <f>INDEX(ZPREMinNSTek,[1]!NscenSobDoh,G48)</f>
        <v>66951.845777282229</v>
      </c>
      <c r="H292" s="545">
        <f>INDEX(ZPREMinNSTek,[1]!NscenSobDoh,H48)</f>
        <v>72275.169581863433</v>
      </c>
      <c r="I292" s="545">
        <f>INDEX(ZPREMinNSTek,[1]!NscenSobDoh,I48)</f>
        <v>80513.824901395914</v>
      </c>
      <c r="J292" s="545">
        <f>INDEX(ZPREMinNSTek,[1]!NscenSobDoh,J48)</f>
        <v>90770.469111750877</v>
      </c>
      <c r="K292" s="545">
        <f>INDEX(ZPREMinNSTek,[1]!NscenSobDoh,K48)</f>
        <v>108901.65988962441</v>
      </c>
      <c r="L292" s="545">
        <f>INDEX(ZPREMinNSTek,[1]!NscenSobDoh,L48)</f>
        <v>115693.22098960466</v>
      </c>
      <c r="M292" s="567">
        <f>INDEX(ZPREMinNSTek,[1]!NscenSobDoh,M48)</f>
        <v>119259.75818616492</v>
      </c>
      <c r="N292" s="545">
        <f>INDEX(ZPREMinNSTek,[1]!NscenSobDoh,N48)</f>
        <v>121554.43213086081</v>
      </c>
      <c r="O292" s="545">
        <f>INDEX(ZPREMinNSTek,[1]!NscenSobDoh,O48)</f>
        <v>120765.62601935625</v>
      </c>
      <c r="P292" s="576">
        <f>INDEX(ZPREMinNSTek,[1]!NscenSobDoh,P48)</f>
        <v>121969.46201650106</v>
      </c>
      <c r="Q292" s="545">
        <f>INDEX(ZPREMinNSTek,[1]!NscenSobDoh,Q48)</f>
        <v>151266.11770772299</v>
      </c>
      <c r="R292" s="545">
        <f>INDEX(ZPREMinNSTek,[1]!NscenSobDoh,R48)</f>
        <v>168119.43221212894</v>
      </c>
      <c r="S292" s="545">
        <f>INDEX(ZPREMinNSTek,[1]!NscenSobDoh,S48)</f>
        <v>183504.88205102194</v>
      </c>
      <c r="T292" s="545">
        <f>INDEX(ZPREMinNSTek,[1]!NscenSobDoh,T48)</f>
        <v>197285.63993084859</v>
      </c>
      <c r="U292" s="545">
        <f>INDEX(ZPREMinNSTek,[1]!NscenSobDoh,U48)</f>
        <v>210825.35339930272</v>
      </c>
      <c r="V292" s="545">
        <f>INDEX(ZPREMinNSTek,[1]!NscenSobDoh,V48)</f>
        <v>227916.43773600069</v>
      </c>
      <c r="W292" s="545">
        <f>INDEX(ZPREMinNSTek,[1]!NscenSobDoh,W48)</f>
        <v>248660.82210763716</v>
      </c>
      <c r="X292" s="545">
        <f>INDEX(ZPREMinNSTek,[1]!NscenSobDoh,X48)</f>
        <v>270551.05592982768</v>
      </c>
      <c r="Y292" s="545">
        <f>INDEX(ZPREMinNSTek,[1]!NscenSobDoh,Y48)</f>
        <v>294120.67932437209</v>
      </c>
      <c r="Z292" s="545">
        <f>INDEX(ZPREMinNSTek,[1]!NscenSobDoh,Z48)</f>
        <v>314159.85650843987</v>
      </c>
      <c r="AA292" s="545">
        <f>INDEX(ZPREMinNSTek,[1]!NscenSobDoh,AA48)</f>
        <v>332438.46235974209</v>
      </c>
      <c r="AB292" s="545">
        <f>INDEX(ZPREMinNSTek,[1]!NscenSobDoh,AB48)</f>
        <v>351780.56319598778</v>
      </c>
      <c r="AC292" s="545">
        <f>INDEX(ZPREMinNSTek,[1]!NscenSobDoh,AC48)</f>
        <v>372248.03581413825</v>
      </c>
      <c r="AD292" s="545">
        <f>INDEX(ZPREMinNSTek,[1]!NscenSobDoh,AD48)</f>
        <v>393906.35715789435</v>
      </c>
    </row>
    <row r="294" spans="1:36" x14ac:dyDescent="0.2">
      <c r="B294" s="550"/>
      <c r="C294" s="198" t="s">
        <v>283</v>
      </c>
      <c r="D294" s="550"/>
      <c r="E294" s="550"/>
      <c r="F294" s="550"/>
      <c r="G294" s="550"/>
      <c r="H294" s="550"/>
      <c r="I294" s="550"/>
      <c r="J294" s="550"/>
      <c r="K294" s="550"/>
      <c r="L294" s="550"/>
      <c r="N294" s="550"/>
      <c r="O294" s="550"/>
      <c r="Q294" s="658"/>
      <c r="R294" s="658"/>
      <c r="S294" s="658"/>
      <c r="T294" s="658"/>
      <c r="U294" s="550"/>
      <c r="V294" s="550"/>
      <c r="W294" s="550"/>
      <c r="X294" s="550"/>
      <c r="Y294" s="550"/>
      <c r="Z294" s="550"/>
      <c r="AA294" s="550"/>
      <c r="AB294" s="550"/>
      <c r="AC294" s="550"/>
      <c r="AD294" s="550"/>
      <c r="AE294" s="550"/>
      <c r="AF294" s="550"/>
      <c r="AG294" s="550"/>
      <c r="AH294" s="550"/>
      <c r="AI294" s="550"/>
      <c r="AJ294" s="550"/>
    </row>
    <row r="295" spans="1:36" ht="13.5" thickBot="1" x14ac:dyDescent="0.25"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N295" s="550"/>
      <c r="O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50"/>
      <c r="AB295" s="550"/>
      <c r="AC295" s="550"/>
      <c r="AD295" s="550"/>
      <c r="AE295" s="550" t="s">
        <v>245</v>
      </c>
      <c r="AF295" s="550"/>
      <c r="AG295" s="550"/>
      <c r="AH295" s="550"/>
      <c r="AI295" s="550"/>
      <c r="AJ295" s="550"/>
    </row>
    <row r="296" spans="1:36" ht="16.5" thickBot="1" x14ac:dyDescent="0.3">
      <c r="B296" s="548" t="s">
        <v>284</v>
      </c>
      <c r="C296" s="550"/>
      <c r="D296" s="259">
        <v>2005</v>
      </c>
      <c r="E296" s="260">
        <v>2006</v>
      </c>
      <c r="F296" s="260">
        <v>2007</v>
      </c>
      <c r="G296" s="260">
        <v>2008</v>
      </c>
      <c r="H296" s="260">
        <v>2009</v>
      </c>
      <c r="I296" s="260">
        <v>2010</v>
      </c>
      <c r="J296" s="260">
        <v>2011</v>
      </c>
      <c r="K296" s="260">
        <v>2012</v>
      </c>
      <c r="L296" s="260">
        <v>2013</v>
      </c>
      <c r="M296" s="354">
        <v>2014</v>
      </c>
      <c r="N296" s="260">
        <v>2015</v>
      </c>
      <c r="O296" s="260">
        <v>2016</v>
      </c>
      <c r="P296" s="574">
        <v>2017</v>
      </c>
      <c r="Q296" s="550">
        <v>2018</v>
      </c>
      <c r="R296" s="550">
        <v>2019</v>
      </c>
      <c r="S296" s="550">
        <v>2020</v>
      </c>
      <c r="T296" s="550">
        <v>2021</v>
      </c>
      <c r="U296" s="550">
        <v>2022</v>
      </c>
      <c r="V296" s="550">
        <v>2023</v>
      </c>
      <c r="W296" s="550">
        <v>2024</v>
      </c>
      <c r="X296" s="550">
        <v>2025</v>
      </c>
      <c r="Y296" s="550">
        <v>2026</v>
      </c>
      <c r="Z296" s="550">
        <v>2027</v>
      </c>
      <c r="AA296" s="550">
        <v>2028</v>
      </c>
      <c r="AB296" s="550">
        <v>2029</v>
      </c>
      <c r="AC296" s="550">
        <v>2030</v>
      </c>
      <c r="AD296" s="550">
        <v>2031</v>
      </c>
      <c r="AE296" s="550"/>
      <c r="AF296" s="550"/>
      <c r="AG296" s="550"/>
      <c r="AH296" s="550"/>
      <c r="AI296" s="550"/>
      <c r="AJ296" s="550"/>
    </row>
    <row r="297" spans="1:36" ht="13.5" thickBot="1" x14ac:dyDescent="0.25">
      <c r="B297" s="550"/>
      <c r="C297" s="550" t="s">
        <v>242</v>
      </c>
      <c r="D297" s="259">
        <f t="shared" ref="D297:P300" si="124">D$27-D$276-D$287-D$30</f>
        <v>31067.900000000005</v>
      </c>
      <c r="E297" s="259">
        <f t="shared" si="124"/>
        <v>38872.173827073428</v>
      </c>
      <c r="F297" s="259">
        <f t="shared" si="124"/>
        <v>48929.779295014247</v>
      </c>
      <c r="G297" s="259">
        <f t="shared" si="124"/>
        <v>66951.845777282229</v>
      </c>
      <c r="H297" s="259">
        <f t="shared" si="124"/>
        <v>72275.169581863433</v>
      </c>
      <c r="I297" s="259">
        <f t="shared" si="124"/>
        <v>80513.824901395914</v>
      </c>
      <c r="J297" s="259">
        <f t="shared" si="124"/>
        <v>90770.469111750877</v>
      </c>
      <c r="K297" s="259">
        <f t="shared" si="124"/>
        <v>108901.65988962441</v>
      </c>
      <c r="L297" s="259">
        <f t="shared" si="124"/>
        <v>115693.22098960466</v>
      </c>
      <c r="M297" s="357">
        <f t="shared" si="124"/>
        <v>119259.75818616492</v>
      </c>
      <c r="N297" s="259">
        <f t="shared" si="124"/>
        <v>121554.43213086081</v>
      </c>
      <c r="O297" s="259">
        <f t="shared" si="124"/>
        <v>120765.62601935625</v>
      </c>
      <c r="P297" s="575">
        <f t="shared" si="124"/>
        <v>121969.46201650106</v>
      </c>
      <c r="Q297" s="325">
        <f>Q307*Q$4</f>
        <v>151266.11770772299</v>
      </c>
      <c r="R297" s="259">
        <f t="shared" ref="R297:AD297" si="125">R307*R$4</f>
        <v>168119.43221212894</v>
      </c>
      <c r="S297" s="259">
        <f t="shared" si="125"/>
        <v>183504.88205102194</v>
      </c>
      <c r="T297" s="259">
        <f t="shared" si="125"/>
        <v>197285.63993084859</v>
      </c>
      <c r="U297" s="259">
        <f t="shared" si="125"/>
        <v>210825.35339930272</v>
      </c>
      <c r="V297" s="259">
        <f t="shared" si="125"/>
        <v>227916.43773600069</v>
      </c>
      <c r="W297" s="259">
        <f t="shared" si="125"/>
        <v>248660.82210763716</v>
      </c>
      <c r="X297" s="259">
        <f t="shared" si="125"/>
        <v>270551.05592982768</v>
      </c>
      <c r="Y297" s="259">
        <f t="shared" si="125"/>
        <v>294120.67932437209</v>
      </c>
      <c r="Z297" s="259">
        <f t="shared" si="125"/>
        <v>314159.85650843987</v>
      </c>
      <c r="AA297" s="259">
        <f t="shared" si="125"/>
        <v>332438.46235974209</v>
      </c>
      <c r="AB297" s="259">
        <f t="shared" si="125"/>
        <v>351780.56319598778</v>
      </c>
      <c r="AC297" s="259">
        <f t="shared" si="125"/>
        <v>372248.03581413825</v>
      </c>
      <c r="AD297" s="259">
        <f t="shared" si="125"/>
        <v>393906.35715789435</v>
      </c>
      <c r="AE297" s="240" t="s">
        <v>336</v>
      </c>
      <c r="AF297" s="550"/>
      <c r="AH297" s="550"/>
      <c r="AI297" s="550"/>
      <c r="AJ297" s="550"/>
    </row>
    <row r="298" spans="1:36" ht="13.5" thickBot="1" x14ac:dyDescent="0.25">
      <c r="B298" s="550"/>
      <c r="C298" s="550" t="s">
        <v>243</v>
      </c>
      <c r="D298" s="259">
        <f t="shared" si="124"/>
        <v>31067.900000000005</v>
      </c>
      <c r="E298" s="259">
        <f t="shared" si="124"/>
        <v>38872.173827073428</v>
      </c>
      <c r="F298" s="259">
        <f t="shared" si="124"/>
        <v>48929.779295014247</v>
      </c>
      <c r="G298" s="259">
        <f t="shared" si="124"/>
        <v>66951.845777282229</v>
      </c>
      <c r="H298" s="259">
        <f t="shared" si="124"/>
        <v>72275.169581863433</v>
      </c>
      <c r="I298" s="259">
        <f t="shared" si="124"/>
        <v>80513.824901395914</v>
      </c>
      <c r="J298" s="259">
        <f t="shared" si="124"/>
        <v>90770.469111750877</v>
      </c>
      <c r="K298" s="259">
        <f t="shared" si="124"/>
        <v>108901.65988962441</v>
      </c>
      <c r="L298" s="259">
        <f t="shared" si="124"/>
        <v>115693.22098960466</v>
      </c>
      <c r="M298" s="357">
        <f t="shared" si="124"/>
        <v>119259.75818616492</v>
      </c>
      <c r="N298" s="259">
        <f t="shared" si="124"/>
        <v>121554.43213086081</v>
      </c>
      <c r="O298" s="259">
        <f t="shared" si="124"/>
        <v>120765.62601935625</v>
      </c>
      <c r="P298" s="575">
        <f t="shared" si="124"/>
        <v>121969.46201650106</v>
      </c>
      <c r="Q298" s="259">
        <f t="shared" ref="Q298:AD298" si="126">Q308*Q$4</f>
        <v>166260.40020582036</v>
      </c>
      <c r="R298" s="259">
        <f t="shared" si="126"/>
        <v>184868.04576250369</v>
      </c>
      <c r="S298" s="259">
        <f t="shared" si="126"/>
        <v>203327.94945107732</v>
      </c>
      <c r="T298" s="259">
        <f t="shared" si="126"/>
        <v>218704.46425660845</v>
      </c>
      <c r="U298" s="259">
        <f t="shared" si="126"/>
        <v>233829.17072516883</v>
      </c>
      <c r="V298" s="259">
        <f t="shared" si="126"/>
        <v>252910.08526055419</v>
      </c>
      <c r="W298" s="259">
        <f t="shared" si="126"/>
        <v>276066.35661831009</v>
      </c>
      <c r="X298" s="259">
        <f t="shared" si="126"/>
        <v>299751.869327611</v>
      </c>
      <c r="Y298" s="259">
        <f t="shared" si="126"/>
        <v>326024.90402652213</v>
      </c>
      <c r="Z298" s="259">
        <f t="shared" si="126"/>
        <v>348409.04172619799</v>
      </c>
      <c r="AA298" s="259">
        <f t="shared" si="126"/>
        <v>368862.4708388279</v>
      </c>
      <c r="AB298" s="259">
        <f t="shared" si="126"/>
        <v>390504.12789426703</v>
      </c>
      <c r="AC298" s="259">
        <f t="shared" si="126"/>
        <v>413430.54687075823</v>
      </c>
      <c r="AD298" s="259">
        <f t="shared" si="126"/>
        <v>437703.95766660967</v>
      </c>
      <c r="AE298" s="240"/>
      <c r="AF298" s="550"/>
      <c r="AG298" s="550"/>
      <c r="AH298" s="550"/>
      <c r="AI298" s="550"/>
      <c r="AJ298" s="550"/>
    </row>
    <row r="299" spans="1:36" ht="13.5" thickBot="1" x14ac:dyDescent="0.25">
      <c r="B299" s="550"/>
      <c r="C299" s="550" t="s">
        <v>244</v>
      </c>
      <c r="D299" s="259">
        <f t="shared" si="124"/>
        <v>31067.900000000005</v>
      </c>
      <c r="E299" s="259">
        <f t="shared" si="124"/>
        <v>38872.173827073428</v>
      </c>
      <c r="F299" s="259">
        <f t="shared" si="124"/>
        <v>48929.779295014247</v>
      </c>
      <c r="G299" s="259">
        <f t="shared" si="124"/>
        <v>66951.845777282229</v>
      </c>
      <c r="H299" s="259">
        <f t="shared" si="124"/>
        <v>72275.169581863433</v>
      </c>
      <c r="I299" s="259">
        <f t="shared" si="124"/>
        <v>80513.824901395914</v>
      </c>
      <c r="J299" s="259">
        <f t="shared" si="124"/>
        <v>90770.469111750877</v>
      </c>
      <c r="K299" s="259">
        <f t="shared" si="124"/>
        <v>108901.65988962441</v>
      </c>
      <c r="L299" s="259">
        <f t="shared" si="124"/>
        <v>115693.22098960466</v>
      </c>
      <c r="M299" s="357">
        <f t="shared" si="124"/>
        <v>119259.75818616492</v>
      </c>
      <c r="N299" s="259">
        <f t="shared" si="124"/>
        <v>121554.43213086081</v>
      </c>
      <c r="O299" s="259">
        <f t="shared" si="124"/>
        <v>120765.62601935625</v>
      </c>
      <c r="P299" s="575">
        <f t="shared" si="124"/>
        <v>121969.46201650106</v>
      </c>
      <c r="Q299" s="259">
        <f t="shared" ref="Q299:AD299" si="127">Q309*Q$4</f>
        <v>152786.38019724784</v>
      </c>
      <c r="R299" s="259">
        <f t="shared" si="127"/>
        <v>171515.69861372744</v>
      </c>
      <c r="S299" s="259">
        <f t="shared" si="127"/>
        <v>189093.48498615529</v>
      </c>
      <c r="T299" s="259">
        <f t="shared" si="127"/>
        <v>205337.08808017848</v>
      </c>
      <c r="U299" s="259">
        <f t="shared" si="127"/>
        <v>221634.69276110223</v>
      </c>
      <c r="V299" s="259">
        <f t="shared" si="127"/>
        <v>242010.12415336227</v>
      </c>
      <c r="W299" s="259">
        <f t="shared" si="127"/>
        <v>266690.92163983249</v>
      </c>
      <c r="X299" s="259">
        <f t="shared" si="127"/>
        <v>293084.65542722261</v>
      </c>
      <c r="Y299" s="259">
        <f t="shared" si="127"/>
        <v>321819.52499080816</v>
      </c>
      <c r="Z299" s="259">
        <f t="shared" si="127"/>
        <v>347200.62637802062</v>
      </c>
      <c r="AA299" s="259">
        <f t="shared" si="127"/>
        <v>371094.10548378999</v>
      </c>
      <c r="AB299" s="259">
        <f t="shared" si="127"/>
        <v>396631.87408792065</v>
      </c>
      <c r="AC299" s="259">
        <f t="shared" si="127"/>
        <v>423927.08808296599</v>
      </c>
      <c r="AD299" s="259">
        <f t="shared" si="127"/>
        <v>453100.69046711543</v>
      </c>
      <c r="AE299" s="240"/>
      <c r="AF299" s="550"/>
      <c r="AG299" s="550"/>
      <c r="AH299" s="550"/>
      <c r="AI299" s="550"/>
      <c r="AJ299" s="550"/>
    </row>
    <row r="300" spans="1:36" x14ac:dyDescent="0.2">
      <c r="C300" s="550" t="s">
        <v>315</v>
      </c>
      <c r="D300" s="259">
        <f t="shared" si="124"/>
        <v>31067.900000000005</v>
      </c>
      <c r="E300" s="259">
        <f t="shared" si="124"/>
        <v>38872.173827073428</v>
      </c>
      <c r="F300" s="259">
        <f t="shared" si="124"/>
        <v>48929.779295014247</v>
      </c>
      <c r="G300" s="259">
        <f t="shared" si="124"/>
        <v>66951.845777282229</v>
      </c>
      <c r="H300" s="259">
        <f t="shared" si="124"/>
        <v>72275.169581863433</v>
      </c>
      <c r="I300" s="259">
        <f t="shared" si="124"/>
        <v>80513.824901395914</v>
      </c>
      <c r="J300" s="259">
        <f t="shared" si="124"/>
        <v>90770.469111750877</v>
      </c>
      <c r="K300" s="259">
        <f t="shared" si="124"/>
        <v>108901.65988962441</v>
      </c>
      <c r="L300" s="259">
        <f t="shared" si="124"/>
        <v>115693.22098960466</v>
      </c>
      <c r="M300" s="259">
        <f t="shared" si="124"/>
        <v>119259.75818616492</v>
      </c>
      <c r="N300" s="259">
        <f t="shared" si="124"/>
        <v>121554.43213086081</v>
      </c>
      <c r="O300" s="259">
        <f t="shared" si="124"/>
        <v>120765.62601935625</v>
      </c>
      <c r="P300" s="575">
        <f t="shared" si="124"/>
        <v>121969.46201650106</v>
      </c>
      <c r="Q300" s="259">
        <f t="shared" ref="Q300:AD300" si="128">Q310*Q$4</f>
        <v>151266.11770772299</v>
      </c>
      <c r="R300" s="259">
        <f t="shared" si="128"/>
        <v>168119.43221212894</v>
      </c>
      <c r="S300" s="259">
        <f t="shared" si="128"/>
        <v>183504.88205102194</v>
      </c>
      <c r="T300" s="259">
        <f t="shared" si="128"/>
        <v>197285.63993084859</v>
      </c>
      <c r="U300" s="259">
        <f t="shared" si="128"/>
        <v>210825.35339930272</v>
      </c>
      <c r="V300" s="259">
        <f t="shared" si="128"/>
        <v>227916.43773600069</v>
      </c>
      <c r="W300" s="259">
        <f t="shared" si="128"/>
        <v>248660.82210763716</v>
      </c>
      <c r="X300" s="259">
        <f t="shared" si="128"/>
        <v>270551.05592982768</v>
      </c>
      <c r="Y300" s="259">
        <f t="shared" si="128"/>
        <v>294120.67932437209</v>
      </c>
      <c r="Z300" s="259">
        <f t="shared" si="128"/>
        <v>314159.85650843987</v>
      </c>
      <c r="AA300" s="259">
        <f t="shared" si="128"/>
        <v>332438.46235974209</v>
      </c>
      <c r="AB300" s="259">
        <f t="shared" si="128"/>
        <v>351780.56319598778</v>
      </c>
      <c r="AC300" s="259">
        <f t="shared" si="128"/>
        <v>372248.03581413825</v>
      </c>
      <c r="AD300" s="259">
        <f t="shared" si="128"/>
        <v>393906.35715789435</v>
      </c>
      <c r="AE300" s="550"/>
    </row>
    <row r="301" spans="1:36" s="550" customFormat="1" x14ac:dyDescent="0.2">
      <c r="C301" s="550" t="s">
        <v>380</v>
      </c>
      <c r="D301" s="358">
        <f>D300</f>
        <v>31067.900000000005</v>
      </c>
      <c r="E301" s="358">
        <f t="shared" ref="E301:AD301" si="129">E300</f>
        <v>38872.173827073428</v>
      </c>
      <c r="F301" s="358">
        <f t="shared" si="129"/>
        <v>48929.779295014247</v>
      </c>
      <c r="G301" s="358">
        <f t="shared" si="129"/>
        <v>66951.845777282229</v>
      </c>
      <c r="H301" s="358">
        <f t="shared" si="129"/>
        <v>72275.169581863433</v>
      </c>
      <c r="I301" s="358">
        <f t="shared" si="129"/>
        <v>80513.824901395914</v>
      </c>
      <c r="J301" s="358">
        <f t="shared" si="129"/>
        <v>90770.469111750877</v>
      </c>
      <c r="K301" s="358">
        <f t="shared" si="129"/>
        <v>108901.65988962441</v>
      </c>
      <c r="L301" s="358">
        <f t="shared" si="129"/>
        <v>115693.22098960466</v>
      </c>
      <c r="M301" s="358">
        <f t="shared" si="129"/>
        <v>119259.75818616492</v>
      </c>
      <c r="N301" s="358">
        <f t="shared" si="129"/>
        <v>121554.43213086081</v>
      </c>
      <c r="O301" s="358">
        <f t="shared" si="129"/>
        <v>120765.62601935625</v>
      </c>
      <c r="P301" s="358">
        <f t="shared" si="129"/>
        <v>121969.46201650106</v>
      </c>
      <c r="Q301" s="358">
        <f t="shared" si="129"/>
        <v>151266.11770772299</v>
      </c>
      <c r="R301" s="358">
        <f t="shared" si="129"/>
        <v>168119.43221212894</v>
      </c>
      <c r="S301" s="358">
        <f t="shared" si="129"/>
        <v>183504.88205102194</v>
      </c>
      <c r="T301" s="358">
        <f t="shared" si="129"/>
        <v>197285.63993084859</v>
      </c>
      <c r="U301" s="358">
        <f t="shared" si="129"/>
        <v>210825.35339930272</v>
      </c>
      <c r="V301" s="358">
        <f t="shared" si="129"/>
        <v>227916.43773600069</v>
      </c>
      <c r="W301" s="358">
        <f t="shared" si="129"/>
        <v>248660.82210763716</v>
      </c>
      <c r="X301" s="358">
        <f t="shared" si="129"/>
        <v>270551.05592982768</v>
      </c>
      <c r="Y301" s="358">
        <f t="shared" si="129"/>
        <v>294120.67932437209</v>
      </c>
      <c r="Z301" s="358">
        <f t="shared" si="129"/>
        <v>314159.85650843987</v>
      </c>
      <c r="AA301" s="358">
        <f t="shared" si="129"/>
        <v>332438.46235974209</v>
      </c>
      <c r="AB301" s="358">
        <f t="shared" si="129"/>
        <v>351780.56319598778</v>
      </c>
      <c r="AC301" s="358">
        <f t="shared" si="129"/>
        <v>372248.03581413825</v>
      </c>
      <c r="AD301" s="358">
        <f t="shared" si="129"/>
        <v>393906.35715789435</v>
      </c>
    </row>
    <row r="304" spans="1:36" x14ac:dyDescent="0.2">
      <c r="B304" s="550"/>
      <c r="C304" s="198" t="s">
        <v>370</v>
      </c>
      <c r="D304" s="550"/>
      <c r="E304" s="550"/>
      <c r="F304" s="550"/>
      <c r="G304" s="550"/>
      <c r="H304" s="550" t="s">
        <v>312</v>
      </c>
      <c r="I304" s="550"/>
      <c r="J304" s="550"/>
      <c r="K304" s="240">
        <v>0.5</v>
      </c>
      <c r="L304" s="550"/>
      <c r="N304" s="550"/>
      <c r="O304" s="550"/>
      <c r="Q304" s="550"/>
      <c r="R304" s="550"/>
      <c r="S304" s="550"/>
      <c r="T304" s="550"/>
      <c r="U304" s="550"/>
      <c r="V304" s="550"/>
      <c r="W304" s="550"/>
      <c r="X304" s="550"/>
      <c r="Y304" s="550"/>
      <c r="Z304" s="550"/>
      <c r="AA304" s="550"/>
      <c r="AB304" s="550"/>
      <c r="AC304" s="550"/>
      <c r="AD304" s="550"/>
      <c r="AE304" s="550"/>
      <c r="AF304" s="550"/>
      <c r="AG304" s="550"/>
      <c r="AH304" s="550"/>
      <c r="AI304" s="550"/>
      <c r="AJ304" s="550"/>
    </row>
    <row r="305" spans="1:36" ht="13.5" thickBot="1" x14ac:dyDescent="0.25"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N305" s="550"/>
      <c r="O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50"/>
      <c r="AB305" s="550"/>
      <c r="AC305" s="550"/>
      <c r="AD305" s="550"/>
      <c r="AE305" s="550" t="s">
        <v>245</v>
      </c>
      <c r="AF305" s="550"/>
      <c r="AG305" s="550"/>
      <c r="AH305" s="550"/>
      <c r="AI305" s="550"/>
      <c r="AJ305" s="550"/>
    </row>
    <row r="306" spans="1:36" ht="16.5" thickBot="1" x14ac:dyDescent="0.3">
      <c r="B306" s="548" t="s">
        <v>282</v>
      </c>
      <c r="C306" s="550"/>
      <c r="D306" s="259">
        <v>2005</v>
      </c>
      <c r="E306" s="260">
        <v>2006</v>
      </c>
      <c r="F306" s="260">
        <v>2007</v>
      </c>
      <c r="G306" s="260">
        <v>2008</v>
      </c>
      <c r="H306" s="260">
        <v>2009</v>
      </c>
      <c r="I306" s="260">
        <v>2010</v>
      </c>
      <c r="J306" s="260">
        <v>2011</v>
      </c>
      <c r="K306" s="260">
        <v>2012</v>
      </c>
      <c r="L306" s="260">
        <v>2013</v>
      </c>
      <c r="M306" s="354">
        <v>2014</v>
      </c>
      <c r="N306" s="260">
        <v>2015</v>
      </c>
      <c r="O306" s="260">
        <v>2016</v>
      </c>
      <c r="P306" s="574">
        <v>2017</v>
      </c>
      <c r="Q306" s="550">
        <v>2018</v>
      </c>
      <c r="R306" s="550">
        <v>2019</v>
      </c>
      <c r="S306" s="550">
        <v>2020</v>
      </c>
      <c r="T306" s="550">
        <v>2021</v>
      </c>
      <c r="U306" s="550">
        <v>2022</v>
      </c>
      <c r="V306" s="550">
        <v>2023</v>
      </c>
      <c r="W306" s="550">
        <v>2024</v>
      </c>
      <c r="X306" s="550">
        <v>2025</v>
      </c>
      <c r="Y306" s="550">
        <v>2026</v>
      </c>
      <c r="Z306" s="550">
        <v>2027</v>
      </c>
      <c r="AA306" s="550">
        <v>2028</v>
      </c>
      <c r="AB306" s="550">
        <v>2029</v>
      </c>
      <c r="AC306" s="550">
        <v>2030</v>
      </c>
      <c r="AD306" s="550">
        <v>2031</v>
      </c>
      <c r="AE306" s="550"/>
      <c r="AF306" s="550"/>
      <c r="AG306" s="550"/>
      <c r="AH306" s="550"/>
      <c r="AI306" s="550"/>
      <c r="AJ306" s="550"/>
    </row>
    <row r="307" spans="1:36" ht="13.5" thickBot="1" x14ac:dyDescent="0.25">
      <c r="B307" s="550"/>
      <c r="C307" s="550" t="s">
        <v>242</v>
      </c>
      <c r="D307" s="259">
        <f>D297/D$8</f>
        <v>31067.900000000005</v>
      </c>
      <c r="E307" s="259">
        <f t="shared" ref="E307:O307" si="130">E297/E$8</f>
        <v>35662.544795480208</v>
      </c>
      <c r="F307" s="259">
        <f t="shared" si="130"/>
        <v>40477.642718884061</v>
      </c>
      <c r="G307" s="259">
        <f t="shared" si="130"/>
        <v>49188.787782087522</v>
      </c>
      <c r="H307" s="259">
        <f t="shared" si="130"/>
        <v>47665.866675034187</v>
      </c>
      <c r="I307" s="259">
        <f t="shared" si="130"/>
        <v>48714.958330890455</v>
      </c>
      <c r="J307" s="259">
        <f t="shared" si="130"/>
        <v>51232.042580257214</v>
      </c>
      <c r="K307" s="259">
        <f t="shared" si="130"/>
        <v>56431.807122470054</v>
      </c>
      <c r="L307" s="259">
        <f t="shared" si="130"/>
        <v>55346.316156093795</v>
      </c>
      <c r="M307" s="259">
        <f t="shared" si="130"/>
        <v>51398.654806292237</v>
      </c>
      <c r="N307" s="259">
        <f t="shared" si="130"/>
        <v>45554.447829142664</v>
      </c>
      <c r="O307" s="259">
        <f t="shared" si="130"/>
        <v>38848.78133122588</v>
      </c>
      <c r="P307" s="575">
        <f>P297/P$8</f>
        <v>33535.07710599681</v>
      </c>
      <c r="Q307" s="497">
        <f>P307*(1+$AE307*0.01)</f>
        <v>33367.401720466827</v>
      </c>
      <c r="R307" s="357">
        <f t="shared" ref="R307:AD307" si="131">Q307*(1+$AE307*0.01)</f>
        <v>33200.564711864492</v>
      </c>
      <c r="S307" s="357">
        <f t="shared" si="131"/>
        <v>33034.561888305172</v>
      </c>
      <c r="T307" s="357">
        <f t="shared" si="131"/>
        <v>32869.389078863649</v>
      </c>
      <c r="U307" s="357">
        <f t="shared" si="131"/>
        <v>32705.042133469331</v>
      </c>
      <c r="V307" s="357">
        <f t="shared" si="131"/>
        <v>32541.516922801984</v>
      </c>
      <c r="W307" s="357">
        <f t="shared" si="131"/>
        <v>32378.809338187973</v>
      </c>
      <c r="X307" s="357">
        <f t="shared" si="131"/>
        <v>32216.915291497033</v>
      </c>
      <c r="Y307" s="357">
        <f t="shared" si="131"/>
        <v>32055.830715039549</v>
      </c>
      <c r="Z307" s="357">
        <f t="shared" si="131"/>
        <v>31895.551561464352</v>
      </c>
      <c r="AA307" s="357">
        <f t="shared" si="131"/>
        <v>31736.073803657029</v>
      </c>
      <c r="AB307" s="357">
        <f t="shared" si="131"/>
        <v>31577.393434638743</v>
      </c>
      <c r="AC307" s="357">
        <f t="shared" si="131"/>
        <v>31419.506467465548</v>
      </c>
      <c r="AD307" s="357">
        <f t="shared" si="131"/>
        <v>31262.40893512822</v>
      </c>
      <c r="AE307" s="240">
        <f>'[3]ГИПЕР-Пульт'!G3</f>
        <v>-0.5</v>
      </c>
      <c r="AF307" s="550" t="s">
        <v>268</v>
      </c>
      <c r="AG307" s="550"/>
      <c r="AH307" s="550"/>
      <c r="AI307" s="550"/>
      <c r="AJ307" s="550"/>
    </row>
    <row r="308" spans="1:36" ht="13.5" thickBot="1" x14ac:dyDescent="0.25">
      <c r="B308" s="550"/>
      <c r="C308" s="550" t="s">
        <v>243</v>
      </c>
      <c r="D308" s="587">
        <f>D298/D$8</f>
        <v>31067.900000000005</v>
      </c>
      <c r="E308" s="587">
        <f t="shared" ref="E308:P308" si="132">E298/E$8</f>
        <v>35662.544795480208</v>
      </c>
      <c r="F308" s="587">
        <f t="shared" si="132"/>
        <v>40477.642718884061</v>
      </c>
      <c r="G308" s="587">
        <f t="shared" si="132"/>
        <v>49188.787782087522</v>
      </c>
      <c r="H308" s="587">
        <f t="shared" si="132"/>
        <v>47665.866675034187</v>
      </c>
      <c r="I308" s="587">
        <f t="shared" si="132"/>
        <v>48714.958330890455</v>
      </c>
      <c r="J308" s="587">
        <f t="shared" si="132"/>
        <v>51232.042580257214</v>
      </c>
      <c r="K308" s="587">
        <f t="shared" si="132"/>
        <v>56431.807122470054</v>
      </c>
      <c r="L308" s="587">
        <f t="shared" si="132"/>
        <v>55346.316156093795</v>
      </c>
      <c r="M308" s="587">
        <f t="shared" si="132"/>
        <v>51398.654806292237</v>
      </c>
      <c r="N308" s="587">
        <f t="shared" si="132"/>
        <v>45554.447829142664</v>
      </c>
      <c r="O308" s="587">
        <f t="shared" si="132"/>
        <v>38848.78133122588</v>
      </c>
      <c r="P308" s="575">
        <f t="shared" si="132"/>
        <v>33535.07710599681</v>
      </c>
      <c r="Q308" s="589">
        <f>Q307+Q351*$K$304</f>
        <v>36674.95172046683</v>
      </c>
      <c r="R308" s="589">
        <f t="shared" ref="R308:AD308" si="133">R307+R351*$K$304</f>
        <v>36508.114711864495</v>
      </c>
      <c r="S308" s="589">
        <f t="shared" si="133"/>
        <v>36603.111888305175</v>
      </c>
      <c r="T308" s="589">
        <f t="shared" si="133"/>
        <v>36437.939078863652</v>
      </c>
      <c r="U308" s="589">
        <f t="shared" si="133"/>
        <v>36273.592133469334</v>
      </c>
      <c r="V308" s="589">
        <f t="shared" si="133"/>
        <v>36110.066922801983</v>
      </c>
      <c r="W308" s="589">
        <f t="shared" si="133"/>
        <v>35947.359338187976</v>
      </c>
      <c r="X308" s="589">
        <f t="shared" si="133"/>
        <v>35694.11529149703</v>
      </c>
      <c r="Y308" s="589">
        <f t="shared" si="133"/>
        <v>35533.030715039546</v>
      </c>
      <c r="Z308" s="589">
        <f t="shared" si="133"/>
        <v>35372.751561464349</v>
      </c>
      <c r="AA308" s="589">
        <f t="shared" si="133"/>
        <v>35213.27380365703</v>
      </c>
      <c r="AB308" s="589">
        <f t="shared" si="133"/>
        <v>35053.39343463874</v>
      </c>
      <c r="AC308" s="589">
        <f t="shared" si="133"/>
        <v>34895.506467465544</v>
      </c>
      <c r="AD308" s="589">
        <f t="shared" si="133"/>
        <v>34738.408935128216</v>
      </c>
      <c r="AE308" s="240" t="s">
        <v>330</v>
      </c>
      <c r="AF308" s="550"/>
      <c r="AG308" s="550"/>
      <c r="AH308" s="550"/>
      <c r="AI308" s="550"/>
      <c r="AJ308" s="550"/>
    </row>
    <row r="309" spans="1:36" ht="13.5" thickBot="1" x14ac:dyDescent="0.25">
      <c r="B309" s="550"/>
      <c r="C309" s="550" t="s">
        <v>244</v>
      </c>
      <c r="D309" s="259">
        <f>D299/D$8</f>
        <v>31067.900000000005</v>
      </c>
      <c r="E309" s="259">
        <f t="shared" ref="E309:O309" si="134">E299/E$8</f>
        <v>35662.544795480208</v>
      </c>
      <c r="F309" s="259">
        <f t="shared" si="134"/>
        <v>40477.642718884061</v>
      </c>
      <c r="G309" s="259">
        <f t="shared" si="134"/>
        <v>49188.787782087522</v>
      </c>
      <c r="H309" s="259">
        <f t="shared" si="134"/>
        <v>47665.866675034187</v>
      </c>
      <c r="I309" s="259">
        <f t="shared" si="134"/>
        <v>48714.958330890455</v>
      </c>
      <c r="J309" s="259">
        <f t="shared" si="134"/>
        <v>51232.042580257214</v>
      </c>
      <c r="K309" s="259">
        <f t="shared" si="134"/>
        <v>56431.807122470054</v>
      </c>
      <c r="L309" s="259">
        <f t="shared" si="134"/>
        <v>55346.316156093795</v>
      </c>
      <c r="M309" s="259">
        <f t="shared" si="134"/>
        <v>51398.654806292237</v>
      </c>
      <c r="N309" s="259">
        <f t="shared" si="134"/>
        <v>45554.447829142664</v>
      </c>
      <c r="O309" s="259">
        <f t="shared" si="134"/>
        <v>38848.78133122588</v>
      </c>
      <c r="P309" s="575">
        <f>P299/P$8</f>
        <v>33535.07710599681</v>
      </c>
      <c r="Q309" s="357">
        <f t="shared" ref="Q309:AD310" si="135">P309*(1+$AE309*0.01)</f>
        <v>33702.752491526793</v>
      </c>
      <c r="R309" s="357">
        <f t="shared" si="135"/>
        <v>33871.266253984424</v>
      </c>
      <c r="S309" s="357">
        <f t="shared" si="135"/>
        <v>34040.622585254343</v>
      </c>
      <c r="T309" s="357">
        <f t="shared" si="135"/>
        <v>34210.825698180612</v>
      </c>
      <c r="U309" s="357">
        <f t="shared" si="135"/>
        <v>34381.879826671509</v>
      </c>
      <c r="V309" s="357">
        <f t="shared" si="135"/>
        <v>34553.789225804867</v>
      </c>
      <c r="W309" s="357">
        <f t="shared" si="135"/>
        <v>34726.558171933888</v>
      </c>
      <c r="X309" s="357">
        <f t="shared" si="135"/>
        <v>34900.190962793553</v>
      </c>
      <c r="Y309" s="357">
        <f t="shared" si="135"/>
        <v>35074.691917607517</v>
      </c>
      <c r="Z309" s="357">
        <f t="shared" si="135"/>
        <v>35250.065377195548</v>
      </c>
      <c r="AA309" s="357">
        <f t="shared" si="135"/>
        <v>35426.31570408152</v>
      </c>
      <c r="AB309" s="357">
        <f t="shared" si="135"/>
        <v>35603.447282601926</v>
      </c>
      <c r="AC309" s="357">
        <f t="shared" si="135"/>
        <v>35781.464519014931</v>
      </c>
      <c r="AD309" s="357">
        <f t="shared" si="135"/>
        <v>35960.371841610002</v>
      </c>
      <c r="AE309" s="240">
        <v>0.5</v>
      </c>
      <c r="AF309" s="550"/>
      <c r="AG309" s="550"/>
      <c r="AH309" s="550"/>
      <c r="AI309" s="550"/>
      <c r="AJ309" s="550"/>
    </row>
    <row r="310" spans="1:36" x14ac:dyDescent="0.2">
      <c r="C310" s="550" t="s">
        <v>315</v>
      </c>
      <c r="D310" s="259">
        <f>D300/D$8</f>
        <v>31067.900000000005</v>
      </c>
      <c r="E310" s="259">
        <f t="shared" ref="E310:P310" si="136">E300/E$8</f>
        <v>35662.544795480208</v>
      </c>
      <c r="F310" s="259">
        <f t="shared" si="136"/>
        <v>40477.642718884061</v>
      </c>
      <c r="G310" s="259">
        <f t="shared" si="136"/>
        <v>49188.787782087522</v>
      </c>
      <c r="H310" s="259">
        <f t="shared" si="136"/>
        <v>47665.866675034187</v>
      </c>
      <c r="I310" s="259">
        <f t="shared" si="136"/>
        <v>48714.958330890455</v>
      </c>
      <c r="J310" s="259">
        <f t="shared" si="136"/>
        <v>51232.042580257214</v>
      </c>
      <c r="K310" s="259">
        <f t="shared" si="136"/>
        <v>56431.807122470054</v>
      </c>
      <c r="L310" s="259">
        <f t="shared" si="136"/>
        <v>55346.316156093795</v>
      </c>
      <c r="M310" s="259">
        <f t="shared" si="136"/>
        <v>51398.654806292237</v>
      </c>
      <c r="N310" s="259">
        <f t="shared" si="136"/>
        <v>45554.447829142664</v>
      </c>
      <c r="O310" s="259">
        <f t="shared" si="136"/>
        <v>38848.78133122588</v>
      </c>
      <c r="P310" s="575">
        <f t="shared" si="136"/>
        <v>33535.07710599681</v>
      </c>
      <c r="Q310" s="357">
        <f t="shared" si="135"/>
        <v>33367.401720466827</v>
      </c>
      <c r="R310" s="357">
        <f t="shared" ref="R310" si="137">Q310*(1+$AE310*0.01)</f>
        <v>33200.564711864492</v>
      </c>
      <c r="S310" s="357">
        <f t="shared" ref="S310" si="138">R310*(1+$AE310*0.01)</f>
        <v>33034.561888305172</v>
      </c>
      <c r="T310" s="357">
        <f t="shared" ref="T310" si="139">S310*(1+$AE310*0.01)</f>
        <v>32869.389078863649</v>
      </c>
      <c r="U310" s="357">
        <f t="shared" ref="U310" si="140">T310*(1+$AE310*0.01)</f>
        <v>32705.042133469331</v>
      </c>
      <c r="V310" s="357">
        <f t="shared" ref="V310" si="141">U310*(1+$AE310*0.01)</f>
        <v>32541.516922801984</v>
      </c>
      <c r="W310" s="357">
        <f t="shared" ref="W310" si="142">V310*(1+$AE310*0.01)</f>
        <v>32378.809338187973</v>
      </c>
      <c r="X310" s="357">
        <f t="shared" ref="X310" si="143">W310*(1+$AE310*0.01)</f>
        <v>32216.915291497033</v>
      </c>
      <c r="Y310" s="357">
        <f t="shared" ref="Y310" si="144">X310*(1+$AE310*0.01)</f>
        <v>32055.830715039549</v>
      </c>
      <c r="Z310" s="357">
        <f t="shared" ref="Z310" si="145">Y310*(1+$AE310*0.01)</f>
        <v>31895.551561464352</v>
      </c>
      <c r="AA310" s="357">
        <f t="shared" ref="AA310" si="146">Z310*(1+$AE310*0.01)</f>
        <v>31736.073803657029</v>
      </c>
      <c r="AB310" s="357">
        <f t="shared" ref="AB310" si="147">AA310*(1+$AE310*0.01)</f>
        <v>31577.393434638743</v>
      </c>
      <c r="AC310" s="357">
        <f t="shared" ref="AC310" si="148">AB310*(1+$AE310*0.01)</f>
        <v>31419.506467465548</v>
      </c>
      <c r="AD310" s="357">
        <f t="shared" ref="AD310" si="149">AC310*(1+$AE310*0.01)</f>
        <v>31262.40893512822</v>
      </c>
      <c r="AE310">
        <v>-0.5</v>
      </c>
    </row>
    <row r="311" spans="1:36" s="550" customFormat="1" x14ac:dyDescent="0.2">
      <c r="C311" s="550" t="s">
        <v>380</v>
      </c>
      <c r="D311" s="358">
        <f>D310</f>
        <v>31067.900000000005</v>
      </c>
      <c r="E311" s="358">
        <f t="shared" ref="E311:AD311" si="150">E310</f>
        <v>35662.544795480208</v>
      </c>
      <c r="F311" s="358">
        <f t="shared" si="150"/>
        <v>40477.642718884061</v>
      </c>
      <c r="G311" s="358">
        <f t="shared" si="150"/>
        <v>49188.787782087522</v>
      </c>
      <c r="H311" s="358">
        <f t="shared" si="150"/>
        <v>47665.866675034187</v>
      </c>
      <c r="I311" s="358">
        <f t="shared" si="150"/>
        <v>48714.958330890455</v>
      </c>
      <c r="J311" s="358">
        <f t="shared" si="150"/>
        <v>51232.042580257214</v>
      </c>
      <c r="K311" s="358">
        <f t="shared" si="150"/>
        <v>56431.807122470054</v>
      </c>
      <c r="L311" s="358">
        <f t="shared" si="150"/>
        <v>55346.316156093795</v>
      </c>
      <c r="M311" s="358">
        <f t="shared" si="150"/>
        <v>51398.654806292237</v>
      </c>
      <c r="N311" s="358">
        <f t="shared" si="150"/>
        <v>45554.447829142664</v>
      </c>
      <c r="O311" s="358">
        <f t="shared" si="150"/>
        <v>38848.78133122588</v>
      </c>
      <c r="P311" s="358">
        <f t="shared" si="150"/>
        <v>33535.07710599681</v>
      </c>
      <c r="Q311" s="358">
        <f t="shared" si="150"/>
        <v>33367.401720466827</v>
      </c>
      <c r="R311" s="358">
        <f t="shared" si="150"/>
        <v>33200.564711864492</v>
      </c>
      <c r="S311" s="358">
        <f t="shared" si="150"/>
        <v>33034.561888305172</v>
      </c>
      <c r="T311" s="358">
        <f t="shared" si="150"/>
        <v>32869.389078863649</v>
      </c>
      <c r="U311" s="358">
        <f t="shared" si="150"/>
        <v>32705.042133469331</v>
      </c>
      <c r="V311" s="358">
        <f t="shared" si="150"/>
        <v>32541.516922801984</v>
      </c>
      <c r="W311" s="358">
        <f t="shared" si="150"/>
        <v>32378.809338187973</v>
      </c>
      <c r="X311" s="358">
        <f t="shared" si="150"/>
        <v>32216.915291497033</v>
      </c>
      <c r="Y311" s="358">
        <f t="shared" si="150"/>
        <v>32055.830715039549</v>
      </c>
      <c r="Z311" s="358">
        <f t="shared" si="150"/>
        <v>31895.551561464352</v>
      </c>
      <c r="AA311" s="358">
        <f t="shared" si="150"/>
        <v>31736.073803657029</v>
      </c>
      <c r="AB311" s="358">
        <f t="shared" si="150"/>
        <v>31577.393434638743</v>
      </c>
      <c r="AC311" s="358">
        <f t="shared" si="150"/>
        <v>31419.506467465548</v>
      </c>
      <c r="AD311" s="358">
        <f t="shared" si="150"/>
        <v>31262.40893512822</v>
      </c>
    </row>
    <row r="313" spans="1:36" s="559" customFormat="1" x14ac:dyDescent="0.2">
      <c r="M313" s="112"/>
      <c r="P313" s="278"/>
    </row>
    <row r="315" spans="1:36" x14ac:dyDescent="0.2">
      <c r="D315" s="585"/>
      <c r="E315" s="585"/>
      <c r="F315" s="585"/>
      <c r="G315" s="585"/>
      <c r="H315" s="585"/>
    </row>
    <row r="316" spans="1:36" ht="20.25" x14ac:dyDescent="0.3">
      <c r="B316" s="556" t="s">
        <v>285</v>
      </c>
    </row>
    <row r="317" spans="1:36" ht="13.5" thickBot="1" x14ac:dyDescent="0.25"/>
    <row r="318" spans="1:36" ht="21" thickBot="1" x14ac:dyDescent="0.35">
      <c r="A318" s="630" t="s">
        <v>278</v>
      </c>
      <c r="B318" s="550"/>
      <c r="C318" s="550" t="s">
        <v>302</v>
      </c>
      <c r="D318" s="545">
        <f>INDEX(PrDohNasREMinNS,[1]!NscenSobDoh,D48)</f>
        <v>32735.899999999998</v>
      </c>
      <c r="E318" s="545">
        <f>INDEX(PrDohNasREMinNS,[1]!NscenSobDoh,E48)</f>
        <v>38588.1</v>
      </c>
      <c r="F318" s="545">
        <f>INDEX(PrDohNasREMinNS,[1]!NscenSobDoh,F48)</f>
        <v>40299.800000000003</v>
      </c>
      <c r="G318" s="545">
        <f>INDEX(PrDohNasREMinNS,[1]!NscenSobDoh,G48)</f>
        <v>51394.500000000007</v>
      </c>
      <c r="H318" s="545">
        <f>INDEX(PrDohNasREMinNS,[1]!NscenSobDoh,H48)</f>
        <v>61861.7</v>
      </c>
      <c r="I318" s="545">
        <f>INDEX(PrDohNasREMinNS,[1]!NscenSobDoh,I48)</f>
        <v>80129.468306668176</v>
      </c>
      <c r="J318" s="545">
        <f>INDEX(PrDohNasREMinNS,[1]!NscenSobDoh,J48)</f>
        <v>88127.112424748295</v>
      </c>
      <c r="K318" s="545">
        <f>INDEX(PrDohNasREMinNS,[1]!NscenSobDoh,K48)</f>
        <v>87010.000493035841</v>
      </c>
      <c r="L318" s="545">
        <f>INDEX(PrDohNasREMinNS,[1]!NscenSobDoh,L48)</f>
        <v>100467.90709405643</v>
      </c>
      <c r="M318" s="545">
        <f>INDEX(PrDohNasREMinNS,[1]!NscenSobDoh,M48)</f>
        <v>103910.84587440263</v>
      </c>
      <c r="N318" s="545">
        <f>INDEX(PrDohNasREMinNS,[1]!NscenSobDoh,N48)</f>
        <v>128453.16275556304</v>
      </c>
      <c r="O318" s="545">
        <f>INDEX(PrDohNasREMinNS,[1]!NscenSobDoh,O48)</f>
        <v>124715.27561023092</v>
      </c>
      <c r="P318" s="278">
        <f>INDEX(PrDohNasREMinNS,[1]!NscenSobDoh,P48)</f>
        <v>129545.43046397019</v>
      </c>
      <c r="Q318" s="545">
        <f>INDEX(PrDohNasREMinNS,[1]!NscenSobDoh,Q48)</f>
        <v>147681.79072892605</v>
      </c>
      <c r="R318" s="545">
        <f>INDEX(PrDohNasREMinNS,[1]!NscenSobDoh,R48)</f>
        <v>163926.78770910791</v>
      </c>
      <c r="S318" s="545">
        <f>INDEX(PrDohNasREMinNS,[1]!NscenSobDoh,S48)</f>
        <v>178680.19860292764</v>
      </c>
      <c r="T318" s="545">
        <f>INDEX(PrDohNasREMinNS,[1]!NscenSobDoh,T48)</f>
        <v>191187.81250513258</v>
      </c>
      <c r="U318" s="545">
        <f>INDEX(PrDohNasREMinNS,[1]!NscenSobDoh,U48)</f>
        <v>202659.08125544054</v>
      </c>
      <c r="V318" s="545">
        <f>INDEX(PrDohNasREMinNS,[1]!NscenSobDoh,V48)</f>
        <v>220898.39856843019</v>
      </c>
      <c r="W318" s="545">
        <f>INDEX(PrDohNasREMinNS,[1]!NscenSobDoh,W48)</f>
        <v>242988.23842527324</v>
      </c>
      <c r="X318" s="545">
        <f>INDEX(PrDohNasREMinNS,[1]!NscenSobDoh,X48)</f>
        <v>264857.17988354788</v>
      </c>
      <c r="Y318" s="545">
        <f>INDEX(PrDohNasREMinNS,[1]!NscenSobDoh,Y48)</f>
        <v>286893.29724985902</v>
      </c>
      <c r="Z318" s="545">
        <f>INDEX(PrDohNasREMinNS,[1]!NscenSobDoh,Z48)</f>
        <v>306975.82805734914</v>
      </c>
      <c r="AA318" s="545">
        <f>INDEX(PrDohNasREMinNS,[1]!NscenSobDoh,AA48)</f>
        <v>325394.37774079014</v>
      </c>
      <c r="AB318" s="545">
        <f>INDEX(PrDohNasREMinNS,[1]!NscenSobDoh,AB48)</f>
        <v>344918.04040523758</v>
      </c>
      <c r="AC318" s="545">
        <f>INDEX(PrDohNasREMinNS,[1]!NscenSobDoh,AC48)</f>
        <v>365613.12282955181</v>
      </c>
      <c r="AD318" s="545">
        <f>INDEX(PrDohNasREMinNS,[1]!NscenSobDoh,AD48)</f>
        <v>387549.91019932495</v>
      </c>
      <c r="AE318" s="550"/>
    </row>
    <row r="319" spans="1:36" x14ac:dyDescent="0.2"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N319" s="550"/>
      <c r="O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50"/>
      <c r="AB319" s="550"/>
      <c r="AC319" s="550"/>
      <c r="AD319" s="550"/>
      <c r="AE319" s="550"/>
    </row>
    <row r="320" spans="1:36" x14ac:dyDescent="0.2">
      <c r="B320" s="550"/>
      <c r="C320" s="198" t="s">
        <v>286</v>
      </c>
      <c r="D320" s="550"/>
      <c r="E320" s="550"/>
      <c r="F320" s="550"/>
      <c r="G320" s="550"/>
      <c r="H320" s="550"/>
      <c r="I320" s="550"/>
      <c r="J320" s="550"/>
      <c r="K320" s="550"/>
      <c r="L320" s="550"/>
      <c r="N320" s="550"/>
      <c r="O320" s="550"/>
      <c r="Q320" s="61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550"/>
    </row>
    <row r="321" spans="2:35" ht="13.5" thickBot="1" x14ac:dyDescent="0.25"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N321" s="550"/>
      <c r="O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50"/>
      <c r="AB321" s="550"/>
      <c r="AC321" s="550"/>
      <c r="AD321" s="550"/>
      <c r="AE321" s="550" t="s">
        <v>245</v>
      </c>
    </row>
    <row r="322" spans="2:35" ht="16.5" thickBot="1" x14ac:dyDescent="0.3">
      <c r="B322" s="548" t="s">
        <v>288</v>
      </c>
      <c r="C322" s="550"/>
      <c r="D322" s="259">
        <v>2005</v>
      </c>
      <c r="E322" s="260">
        <v>2006</v>
      </c>
      <c r="F322" s="260">
        <v>2007</v>
      </c>
      <c r="G322" s="260">
        <v>2008</v>
      </c>
      <c r="H322" s="260">
        <v>2009</v>
      </c>
      <c r="I322" s="260">
        <v>2010</v>
      </c>
      <c r="J322" s="260">
        <v>2011</v>
      </c>
      <c r="K322" s="260">
        <v>2012</v>
      </c>
      <c r="L322" s="260">
        <v>2013</v>
      </c>
      <c r="M322" s="354">
        <v>2014</v>
      </c>
      <c r="N322" s="260">
        <v>2015</v>
      </c>
      <c r="O322" s="260">
        <v>2016</v>
      </c>
      <c r="P322" s="574">
        <v>2017</v>
      </c>
      <c r="Q322" s="550">
        <v>2018</v>
      </c>
      <c r="R322" s="550">
        <v>2019</v>
      </c>
      <c r="S322" s="550">
        <v>2020</v>
      </c>
      <c r="T322" s="550">
        <v>2021</v>
      </c>
      <c r="U322" s="550">
        <v>2022</v>
      </c>
      <c r="V322" s="550">
        <v>2023</v>
      </c>
      <c r="W322" s="550">
        <v>2024</v>
      </c>
      <c r="X322" s="550">
        <v>2025</v>
      </c>
      <c r="Y322" s="550">
        <v>2026</v>
      </c>
      <c r="Z322" s="550">
        <v>2027</v>
      </c>
      <c r="AA322" s="550">
        <v>2028</v>
      </c>
      <c r="AB322" s="550">
        <v>2029</v>
      </c>
      <c r="AC322" s="550">
        <v>2030</v>
      </c>
      <c r="AD322" s="550">
        <v>2031</v>
      </c>
      <c r="AE322" s="550"/>
    </row>
    <row r="323" spans="2:35" ht="13.5" thickBot="1" x14ac:dyDescent="0.25">
      <c r="B323" s="550"/>
      <c r="C323" s="550" t="s">
        <v>242</v>
      </c>
      <c r="D323" s="587">
        <f>D332*D$8</f>
        <v>32735.899999999998</v>
      </c>
      <c r="E323" s="587">
        <f t="shared" ref="E323:O323" si="151">E332*E$8</f>
        <v>38588.1</v>
      </c>
      <c r="F323" s="587">
        <f t="shared" si="151"/>
        <v>40299.800000000003</v>
      </c>
      <c r="G323" s="587">
        <f t="shared" si="151"/>
        <v>51394.500000000007</v>
      </c>
      <c r="H323" s="587">
        <f t="shared" si="151"/>
        <v>61861.7</v>
      </c>
      <c r="I323" s="587">
        <f t="shared" si="151"/>
        <v>65023.299999999996</v>
      </c>
      <c r="J323" s="587">
        <f t="shared" si="151"/>
        <v>71933.3</v>
      </c>
      <c r="K323" s="587">
        <f t="shared" si="151"/>
        <v>69371.7</v>
      </c>
      <c r="L323" s="587">
        <f t="shared" si="151"/>
        <v>81362.100000000006</v>
      </c>
      <c r="M323" s="587">
        <f t="shared" si="151"/>
        <v>82703.399999999994</v>
      </c>
      <c r="N323" s="587">
        <f t="shared" si="151"/>
        <v>104064.6</v>
      </c>
      <c r="O323" s="587">
        <f t="shared" si="151"/>
        <v>96302.6</v>
      </c>
      <c r="P323" s="588">
        <f t="shared" ref="P323:Q325" si="152">P332*P$8</f>
        <v>96302.6</v>
      </c>
      <c r="Q323" s="587">
        <f t="shared" si="152"/>
        <v>109784.96400000002</v>
      </c>
      <c r="R323" s="587">
        <f t="shared" ref="R323:AD323" si="153">R332*R$8</f>
        <v>121861.31004000004</v>
      </c>
      <c r="S323" s="587">
        <f t="shared" si="153"/>
        <v>132828.82794360004</v>
      </c>
      <c r="T323" s="587">
        <f t="shared" si="153"/>
        <v>142126.84589965205</v>
      </c>
      <c r="U323" s="587">
        <f t="shared" si="153"/>
        <v>150654.45665363118</v>
      </c>
      <c r="V323" s="587">
        <f t="shared" si="153"/>
        <v>164213.35775245799</v>
      </c>
      <c r="W323" s="587">
        <f t="shared" si="153"/>
        <v>180634.69352770381</v>
      </c>
      <c r="X323" s="587">
        <f t="shared" si="153"/>
        <v>196891.81594519719</v>
      </c>
      <c r="Y323" s="587">
        <f t="shared" si="153"/>
        <v>213273.21503183755</v>
      </c>
      <c r="Z323" s="587">
        <f t="shared" si="153"/>
        <v>228202.34008406621</v>
      </c>
      <c r="AA323" s="587">
        <f t="shared" si="153"/>
        <v>241894.4804891102</v>
      </c>
      <c r="AB323" s="587">
        <f t="shared" si="153"/>
        <v>256408.14931845682</v>
      </c>
      <c r="AC323" s="587">
        <f t="shared" si="153"/>
        <v>271792.63827756426</v>
      </c>
      <c r="AD323" s="587">
        <f t="shared" si="153"/>
        <v>288100.19657421811</v>
      </c>
      <c r="AE323" s="550" t="s">
        <v>268</v>
      </c>
      <c r="AI323" s="468">
        <f>SUM(D323:AH323)</f>
        <v>3590610.891537495</v>
      </c>
    </row>
    <row r="324" spans="2:35" ht="13.5" thickBot="1" x14ac:dyDescent="0.25">
      <c r="B324" s="550"/>
      <c r="C324" s="550" t="s">
        <v>243</v>
      </c>
      <c r="D324" s="587">
        <f>D333*D$8</f>
        <v>32735.899999999998</v>
      </c>
      <c r="E324" s="587">
        <f t="shared" ref="E324:O324" si="154">E333*E$8</f>
        <v>38588.1</v>
      </c>
      <c r="F324" s="587">
        <f t="shared" si="154"/>
        <v>40299.800000000003</v>
      </c>
      <c r="G324" s="587">
        <f t="shared" si="154"/>
        <v>51394.500000000007</v>
      </c>
      <c r="H324" s="587">
        <f t="shared" si="154"/>
        <v>61861.7</v>
      </c>
      <c r="I324" s="587">
        <f t="shared" si="154"/>
        <v>65271.213046608333</v>
      </c>
      <c r="J324" s="587">
        <f t="shared" si="154"/>
        <v>72199.062785964139</v>
      </c>
      <c r="K324" s="587">
        <f t="shared" si="154"/>
        <v>69899.305181049887</v>
      </c>
      <c r="L324" s="587">
        <f t="shared" si="154"/>
        <v>82857.967071420091</v>
      </c>
      <c r="M324" s="587">
        <f t="shared" si="154"/>
        <v>86499.319673876002</v>
      </c>
      <c r="N324" s="587">
        <f t="shared" si="154"/>
        <v>111184.7755965391</v>
      </c>
      <c r="O324" s="587">
        <f t="shared" si="154"/>
        <v>106634.9087828159</v>
      </c>
      <c r="P324" s="588">
        <f t="shared" si="152"/>
        <v>111055.51953910902</v>
      </c>
      <c r="Q324" s="587">
        <f t="shared" si="152"/>
        <v>166966.11694289773</v>
      </c>
      <c r="R324" s="587">
        <f t="shared" ref="R324:AD324" si="155">R333*R$8</f>
        <v>253178.84874728299</v>
      </c>
      <c r="S324" s="587">
        <f t="shared" si="155"/>
        <v>312740.43681343982</v>
      </c>
      <c r="T324" s="587">
        <f t="shared" si="155"/>
        <v>297467.98006664275</v>
      </c>
      <c r="U324" s="587">
        <f t="shared" si="155"/>
        <v>279213.78701216209</v>
      </c>
      <c r="V324" s="587">
        <f t="shared" si="155"/>
        <v>276567.09653533692</v>
      </c>
      <c r="W324" s="587">
        <f t="shared" si="155"/>
        <v>300296.71719414857</v>
      </c>
      <c r="X324" s="587">
        <f t="shared" si="155"/>
        <v>347714.26441540208</v>
      </c>
      <c r="Y324" s="587">
        <f t="shared" si="155"/>
        <v>432863.36233289592</v>
      </c>
      <c r="Z324" s="587">
        <f t="shared" si="155"/>
        <v>537874.08212017047</v>
      </c>
      <c r="AA324" s="587">
        <f t="shared" si="155"/>
        <v>644973.51000249514</v>
      </c>
      <c r="AB324" s="587">
        <f t="shared" si="155"/>
        <v>741603.11441467411</v>
      </c>
      <c r="AC324" s="587">
        <f t="shared" si="155"/>
        <v>786099.30127955449</v>
      </c>
      <c r="AD324" s="587">
        <f t="shared" si="155"/>
        <v>833265.25935632794</v>
      </c>
      <c r="AE324" s="550" t="s">
        <v>261</v>
      </c>
      <c r="AI324" s="468">
        <f t="shared" ref="AI324:AI325" si="156">SUM(D324:AH324)</f>
        <v>7141305.9489108128</v>
      </c>
    </row>
    <row r="325" spans="2:35" ht="13.5" thickBot="1" x14ac:dyDescent="0.25">
      <c r="B325" s="550"/>
      <c r="C325" s="550" t="s">
        <v>244</v>
      </c>
      <c r="D325" s="587">
        <f>D334*D$8</f>
        <v>32735.899999999998</v>
      </c>
      <c r="E325" s="587">
        <f t="shared" ref="E325:O325" si="157">E334*E$8</f>
        <v>38588.1</v>
      </c>
      <c r="F325" s="587">
        <f t="shared" si="157"/>
        <v>40299.800000000003</v>
      </c>
      <c r="G325" s="587">
        <f t="shared" si="157"/>
        <v>51394.500000000007</v>
      </c>
      <c r="H325" s="587">
        <f t="shared" si="157"/>
        <v>61861.7</v>
      </c>
      <c r="I325" s="587">
        <f t="shared" si="157"/>
        <v>72576.384153334089</v>
      </c>
      <c r="J325" s="587">
        <f t="shared" si="157"/>
        <v>80030.206212374149</v>
      </c>
      <c r="K325" s="587">
        <f t="shared" si="157"/>
        <v>78190.850246517919</v>
      </c>
      <c r="L325" s="587">
        <f t="shared" si="157"/>
        <v>90915.003547028216</v>
      </c>
      <c r="M325" s="587">
        <f t="shared" si="157"/>
        <v>93307.122937201304</v>
      </c>
      <c r="N325" s="587">
        <f t="shared" si="157"/>
        <v>116258.88137778152</v>
      </c>
      <c r="O325" s="587">
        <f t="shared" si="157"/>
        <v>110508.93780511546</v>
      </c>
      <c r="P325" s="588">
        <f t="shared" si="152"/>
        <v>112924.01523198509</v>
      </c>
      <c r="Q325" s="587">
        <f t="shared" si="152"/>
        <v>128733.37736446303</v>
      </c>
      <c r="R325" s="587">
        <f t="shared" ref="R325:AD325" si="158">R334*R$8</f>
        <v>142894.04887455396</v>
      </c>
      <c r="S325" s="587">
        <f t="shared" si="158"/>
        <v>155754.51327326384</v>
      </c>
      <c r="T325" s="587">
        <f t="shared" si="158"/>
        <v>166657.32920239231</v>
      </c>
      <c r="U325" s="587">
        <f t="shared" si="158"/>
        <v>176656.76895453586</v>
      </c>
      <c r="V325" s="587">
        <f t="shared" si="158"/>
        <v>192555.87816044409</v>
      </c>
      <c r="W325" s="587">
        <f t="shared" si="158"/>
        <v>211811.46597648854</v>
      </c>
      <c r="X325" s="587">
        <f t="shared" si="158"/>
        <v>230874.49791437251</v>
      </c>
      <c r="Y325" s="587">
        <f t="shared" si="158"/>
        <v>250083.25614084827</v>
      </c>
      <c r="Z325" s="587">
        <f t="shared" si="158"/>
        <v>267589.08407070767</v>
      </c>
      <c r="AA325" s="587">
        <f t="shared" si="158"/>
        <v>283644.42911495018</v>
      </c>
      <c r="AB325" s="587">
        <f t="shared" si="158"/>
        <v>300663.09486184717</v>
      </c>
      <c r="AC325" s="587">
        <f t="shared" si="158"/>
        <v>318702.880553558</v>
      </c>
      <c r="AD325" s="587">
        <f t="shared" si="158"/>
        <v>337825.05338677153</v>
      </c>
      <c r="AE325" s="550" t="s">
        <v>314</v>
      </c>
      <c r="AI325" s="468">
        <f t="shared" si="156"/>
        <v>4144037.0793605349</v>
      </c>
    </row>
    <row r="326" spans="2:35" x14ac:dyDescent="0.2">
      <c r="B326" s="550"/>
      <c r="C326" s="550" t="s">
        <v>315</v>
      </c>
      <c r="D326" s="587">
        <f>D335*D$8</f>
        <v>32735.899999999998</v>
      </c>
      <c r="E326" s="587">
        <f t="shared" ref="E326:AD326" si="159">E335*E$8</f>
        <v>38588.1</v>
      </c>
      <c r="F326" s="587">
        <f t="shared" si="159"/>
        <v>40299.800000000003</v>
      </c>
      <c r="G326" s="587">
        <f t="shared" si="159"/>
        <v>51394.500000000007</v>
      </c>
      <c r="H326" s="587">
        <f t="shared" si="159"/>
        <v>61861.7</v>
      </c>
      <c r="I326" s="587">
        <f t="shared" si="159"/>
        <v>80129.468306668176</v>
      </c>
      <c r="J326" s="587">
        <f t="shared" si="159"/>
        <v>88127.112424748295</v>
      </c>
      <c r="K326" s="587">
        <f t="shared" si="159"/>
        <v>87010.000493035841</v>
      </c>
      <c r="L326" s="587">
        <f t="shared" si="159"/>
        <v>100467.90709405643</v>
      </c>
      <c r="M326" s="587">
        <f t="shared" si="159"/>
        <v>103910.84587440263</v>
      </c>
      <c r="N326" s="587">
        <f t="shared" si="159"/>
        <v>128453.16275556304</v>
      </c>
      <c r="O326" s="587">
        <f t="shared" si="159"/>
        <v>124715.27561023092</v>
      </c>
      <c r="P326" s="588">
        <f t="shared" si="159"/>
        <v>129545.43046397019</v>
      </c>
      <c r="Q326" s="587">
        <f t="shared" si="159"/>
        <v>147681.79072892605</v>
      </c>
      <c r="R326" s="587">
        <f t="shared" si="159"/>
        <v>163926.78770910791</v>
      </c>
      <c r="S326" s="587">
        <f t="shared" si="159"/>
        <v>178680.19860292764</v>
      </c>
      <c r="T326" s="587">
        <f t="shared" si="159"/>
        <v>191187.81250513258</v>
      </c>
      <c r="U326" s="587">
        <f t="shared" si="159"/>
        <v>202659.08125544054</v>
      </c>
      <c r="V326" s="587">
        <f t="shared" si="159"/>
        <v>220898.39856843019</v>
      </c>
      <c r="W326" s="587">
        <f t="shared" si="159"/>
        <v>242988.23842527324</v>
      </c>
      <c r="X326" s="587">
        <f t="shared" si="159"/>
        <v>264857.17988354788</v>
      </c>
      <c r="Y326" s="587">
        <f t="shared" si="159"/>
        <v>286893.29724985902</v>
      </c>
      <c r="Z326" s="587">
        <f t="shared" si="159"/>
        <v>306975.82805734914</v>
      </c>
      <c r="AA326" s="587">
        <f t="shared" si="159"/>
        <v>325394.37774079014</v>
      </c>
      <c r="AB326" s="587">
        <f t="shared" si="159"/>
        <v>344918.04040523758</v>
      </c>
      <c r="AC326" s="587">
        <f t="shared" si="159"/>
        <v>365613.12282955181</v>
      </c>
      <c r="AD326" s="587">
        <f t="shared" si="159"/>
        <v>387549.91019932495</v>
      </c>
      <c r="AE326" s="550" t="s">
        <v>317</v>
      </c>
    </row>
    <row r="327" spans="2:35" x14ac:dyDescent="0.2">
      <c r="B327" s="550"/>
      <c r="C327" s="550" t="s">
        <v>380</v>
      </c>
      <c r="D327" s="468">
        <f>D326</f>
        <v>32735.899999999998</v>
      </c>
      <c r="E327" s="468">
        <f t="shared" ref="E327:AD327" si="160">E326</f>
        <v>38588.1</v>
      </c>
      <c r="F327" s="468">
        <f t="shared" si="160"/>
        <v>40299.800000000003</v>
      </c>
      <c r="G327" s="468">
        <f t="shared" si="160"/>
        <v>51394.500000000007</v>
      </c>
      <c r="H327" s="468">
        <f t="shared" si="160"/>
        <v>61861.7</v>
      </c>
      <c r="I327" s="468">
        <f t="shared" si="160"/>
        <v>80129.468306668176</v>
      </c>
      <c r="J327" s="468">
        <f t="shared" si="160"/>
        <v>88127.112424748295</v>
      </c>
      <c r="K327" s="468">
        <f t="shared" si="160"/>
        <v>87010.000493035841</v>
      </c>
      <c r="L327" s="468">
        <f t="shared" si="160"/>
        <v>100467.90709405643</v>
      </c>
      <c r="M327" s="468">
        <f t="shared" si="160"/>
        <v>103910.84587440263</v>
      </c>
      <c r="N327" s="468">
        <f t="shared" si="160"/>
        <v>128453.16275556304</v>
      </c>
      <c r="O327" s="468">
        <f t="shared" si="160"/>
        <v>124715.27561023092</v>
      </c>
      <c r="P327" s="468">
        <f t="shared" si="160"/>
        <v>129545.43046397019</v>
      </c>
      <c r="Q327" s="468">
        <f t="shared" si="160"/>
        <v>147681.79072892605</v>
      </c>
      <c r="R327" s="468">
        <f t="shared" si="160"/>
        <v>163926.78770910791</v>
      </c>
      <c r="S327" s="468">
        <f t="shared" si="160"/>
        <v>178680.19860292764</v>
      </c>
      <c r="T327" s="468">
        <f t="shared" si="160"/>
        <v>191187.81250513258</v>
      </c>
      <c r="U327" s="468">
        <f t="shared" si="160"/>
        <v>202659.08125544054</v>
      </c>
      <c r="V327" s="468">
        <f t="shared" si="160"/>
        <v>220898.39856843019</v>
      </c>
      <c r="W327" s="468">
        <f t="shared" si="160"/>
        <v>242988.23842527324</v>
      </c>
      <c r="X327" s="468">
        <f t="shared" si="160"/>
        <v>264857.17988354788</v>
      </c>
      <c r="Y327" s="468">
        <f t="shared" si="160"/>
        <v>286893.29724985902</v>
      </c>
      <c r="Z327" s="468">
        <f t="shared" si="160"/>
        <v>306975.82805734914</v>
      </c>
      <c r="AA327" s="468">
        <f t="shared" si="160"/>
        <v>325394.37774079014</v>
      </c>
      <c r="AB327" s="468">
        <f t="shared" si="160"/>
        <v>344918.04040523758</v>
      </c>
      <c r="AC327" s="468">
        <f t="shared" si="160"/>
        <v>365613.12282955181</v>
      </c>
      <c r="AD327" s="468">
        <f t="shared" si="160"/>
        <v>387549.91019932495</v>
      </c>
      <c r="AE327" s="550"/>
    </row>
    <row r="328" spans="2:35" x14ac:dyDescent="0.2"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N328" s="550"/>
      <c r="O328" s="550"/>
      <c r="U328" s="550"/>
      <c r="V328" s="550"/>
      <c r="W328" s="550"/>
      <c r="X328" s="550"/>
      <c r="Y328" s="550"/>
      <c r="Z328" s="550"/>
      <c r="AA328" s="550"/>
      <c r="AB328" s="550"/>
      <c r="AC328" s="550"/>
      <c r="AD328" s="550"/>
      <c r="AE328" s="550"/>
    </row>
    <row r="329" spans="2:35" x14ac:dyDescent="0.2">
      <c r="B329" s="550"/>
      <c r="C329" s="198" t="s">
        <v>287</v>
      </c>
      <c r="D329" s="550"/>
      <c r="E329" s="550"/>
      <c r="F329" s="550"/>
      <c r="G329" s="550"/>
      <c r="H329" s="550"/>
      <c r="I329" s="550"/>
      <c r="J329" s="550"/>
      <c r="K329" s="550"/>
      <c r="L329" s="550"/>
      <c r="N329" s="550"/>
      <c r="O329" s="550"/>
      <c r="U329" s="550"/>
      <c r="V329" s="550"/>
      <c r="W329" s="550"/>
      <c r="X329" s="550"/>
      <c r="Y329" s="550"/>
      <c r="Z329" s="550"/>
      <c r="AA329" s="550"/>
      <c r="AB329" s="550"/>
      <c r="AC329" s="550"/>
      <c r="AD329" s="550"/>
      <c r="AE329" s="550"/>
    </row>
    <row r="330" spans="2:35" ht="13.5" thickBot="1" x14ac:dyDescent="0.25"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N330" s="550"/>
      <c r="O330" s="550"/>
      <c r="Q330" s="550"/>
      <c r="R330" s="550"/>
      <c r="S330" s="550"/>
      <c r="T330" s="550"/>
      <c r="U330" s="550"/>
      <c r="V330" s="550"/>
      <c r="W330" s="550"/>
      <c r="X330" s="550"/>
      <c r="Y330" s="550"/>
      <c r="Z330" s="550"/>
      <c r="AA330" s="550"/>
      <c r="AB330" s="550"/>
      <c r="AC330" s="550"/>
      <c r="AD330" s="550"/>
      <c r="AE330" s="550" t="s">
        <v>245</v>
      </c>
    </row>
    <row r="331" spans="2:35" ht="16.5" thickBot="1" x14ac:dyDescent="0.3">
      <c r="B331" s="548"/>
      <c r="C331" s="550"/>
      <c r="D331" s="259">
        <v>2005</v>
      </c>
      <c r="E331" s="260">
        <v>2006</v>
      </c>
      <c r="F331" s="260">
        <v>2007</v>
      </c>
      <c r="G331" s="260">
        <v>2008</v>
      </c>
      <c r="H331" s="260">
        <v>2009</v>
      </c>
      <c r="I331" s="260">
        <v>2010</v>
      </c>
      <c r="J331" s="260">
        <v>2011</v>
      </c>
      <c r="K331" s="260">
        <v>2012</v>
      </c>
      <c r="L331" s="260">
        <v>2013</v>
      </c>
      <c r="M331" s="354">
        <v>2014</v>
      </c>
      <c r="N331" s="260">
        <v>2015</v>
      </c>
      <c r="O331" s="260">
        <v>2016</v>
      </c>
      <c r="P331" s="574">
        <v>2017</v>
      </c>
      <c r="Q331" s="550">
        <v>2018</v>
      </c>
      <c r="R331" s="550">
        <v>2019</v>
      </c>
      <c r="S331" s="550">
        <v>2020</v>
      </c>
      <c r="T331" s="550">
        <v>2021</v>
      </c>
      <c r="U331" s="550">
        <v>2022</v>
      </c>
      <c r="V331" s="550">
        <v>2023</v>
      </c>
      <c r="W331" s="550">
        <v>2024</v>
      </c>
      <c r="X331" s="550">
        <v>2025</v>
      </c>
      <c r="Y331" s="550">
        <v>2026</v>
      </c>
      <c r="Z331" s="550">
        <v>2027</v>
      </c>
      <c r="AA331" s="550">
        <v>2028</v>
      </c>
      <c r="AB331" s="550">
        <v>2029</v>
      </c>
      <c r="AC331" s="550">
        <v>2030</v>
      </c>
      <c r="AD331" s="550">
        <v>2031</v>
      </c>
      <c r="AE331" s="550"/>
    </row>
    <row r="332" spans="2:35" ht="13.5" thickBot="1" x14ac:dyDescent="0.25">
      <c r="B332" s="550"/>
      <c r="C332" s="550" t="s">
        <v>242</v>
      </c>
      <c r="D332" s="587">
        <f>D$30/D$8</f>
        <v>32735.899999999998</v>
      </c>
      <c r="E332" s="587">
        <f t="shared" ref="E332:O334" si="161">E$30/E$8</f>
        <v>35401.926605504581</v>
      </c>
      <c r="F332" s="587">
        <f t="shared" si="161"/>
        <v>33338.407193851803</v>
      </c>
      <c r="G332" s="587">
        <f t="shared" si="161"/>
        <v>37758.97623608604</v>
      </c>
      <c r="H332" s="587">
        <f t="shared" si="161"/>
        <v>40798.12695771108</v>
      </c>
      <c r="I332" s="619">
        <f t="shared" si="161"/>
        <v>39342.4030458907</v>
      </c>
      <c r="J332" s="587">
        <f t="shared" si="161"/>
        <v>40600.097417160199</v>
      </c>
      <c r="K332" s="587">
        <f t="shared" si="161"/>
        <v>35947.756885667404</v>
      </c>
      <c r="L332" s="587">
        <f t="shared" si="161"/>
        <v>38922.699802163297</v>
      </c>
      <c r="M332" s="587">
        <f t="shared" si="161"/>
        <v>35643.569738512524</v>
      </c>
      <c r="N332" s="587">
        <f t="shared" si="161"/>
        <v>38999.856347953217</v>
      </c>
      <c r="O332" s="587">
        <f t="shared" si="161"/>
        <v>30979.333874598309</v>
      </c>
      <c r="P332" s="588">
        <f>P$30/P$8</f>
        <v>26478.063140682316</v>
      </c>
      <c r="Q332" s="497">
        <f t="shared" ref="Q332:AD332" si="162">P332*(1+0.01*$AF210)</f>
        <v>26478.063140682316</v>
      </c>
      <c r="R332" s="497">
        <f t="shared" si="162"/>
        <v>26478.063140682316</v>
      </c>
      <c r="S332" s="497">
        <f t="shared" si="162"/>
        <v>26478.063140682316</v>
      </c>
      <c r="T332" s="497">
        <f t="shared" si="162"/>
        <v>26478.063140682316</v>
      </c>
      <c r="U332" s="497">
        <f t="shared" si="162"/>
        <v>26478.063140682316</v>
      </c>
      <c r="V332" s="497">
        <f t="shared" si="162"/>
        <v>26478.063140682316</v>
      </c>
      <c r="W332" s="497">
        <f t="shared" si="162"/>
        <v>26478.063140682316</v>
      </c>
      <c r="X332" s="497">
        <f t="shared" si="162"/>
        <v>26478.063140682316</v>
      </c>
      <c r="Y332" s="497">
        <f t="shared" si="162"/>
        <v>26478.063140682316</v>
      </c>
      <c r="Z332" s="497">
        <f t="shared" si="162"/>
        <v>26478.063140682316</v>
      </c>
      <c r="AA332" s="497">
        <f t="shared" si="162"/>
        <v>26478.063140682316</v>
      </c>
      <c r="AB332" s="497">
        <f t="shared" si="162"/>
        <v>26478.063140682316</v>
      </c>
      <c r="AC332" s="497">
        <f t="shared" si="162"/>
        <v>26478.063140682316</v>
      </c>
      <c r="AD332" s="497">
        <f t="shared" si="162"/>
        <v>26478.063140682316</v>
      </c>
    </row>
    <row r="333" spans="2:35" ht="13.5" thickBot="1" x14ac:dyDescent="0.25">
      <c r="B333" s="550"/>
      <c r="C333" s="550" t="s">
        <v>243</v>
      </c>
      <c r="D333" s="587">
        <f>D$30/D$8</f>
        <v>32735.899999999998</v>
      </c>
      <c r="E333" s="587">
        <f t="shared" si="161"/>
        <v>35401.926605504581</v>
      </c>
      <c r="F333" s="587">
        <f t="shared" si="161"/>
        <v>33338.407193851803</v>
      </c>
      <c r="G333" s="587">
        <f t="shared" si="161"/>
        <v>37758.97623608604</v>
      </c>
      <c r="H333" s="587">
        <f t="shared" si="161"/>
        <v>40798.12695771108</v>
      </c>
      <c r="I333" s="619">
        <f>I332+I350</f>
        <v>39492.4030458907</v>
      </c>
      <c r="J333" s="587">
        <f t="shared" ref="J333:AD333" si="163">J332+J350</f>
        <v>40750.097417160199</v>
      </c>
      <c r="K333" s="587">
        <f t="shared" si="163"/>
        <v>36221.156885667406</v>
      </c>
      <c r="L333" s="587">
        <f t="shared" si="163"/>
        <v>39638.305532163198</v>
      </c>
      <c r="M333" s="587">
        <f t="shared" si="163"/>
        <v>37279.537880301024</v>
      </c>
      <c r="N333" s="587">
        <f t="shared" si="163"/>
        <v>41668.254875764083</v>
      </c>
      <c r="O333" s="587">
        <f t="shared" si="163"/>
        <v>34303.107515998418</v>
      </c>
      <c r="P333" s="588">
        <f t="shared" si="163"/>
        <v>30534.326783262419</v>
      </c>
      <c r="Q333" s="587">
        <f t="shared" si="163"/>
        <v>40269.078985794382</v>
      </c>
      <c r="R333" s="587">
        <f t="shared" si="163"/>
        <v>55010.778571274044</v>
      </c>
      <c r="S333" s="587">
        <f t="shared" si="163"/>
        <v>62341.595275589498</v>
      </c>
      <c r="T333" s="587">
        <f t="shared" si="163"/>
        <v>55417.932542433758</v>
      </c>
      <c r="U333" s="587">
        <f t="shared" si="163"/>
        <v>49072.828288474389</v>
      </c>
      <c r="V333" s="587">
        <f t="shared" si="163"/>
        <v>44594.186154677911</v>
      </c>
      <c r="W333" s="587">
        <f t="shared" si="163"/>
        <v>44018.539758458995</v>
      </c>
      <c r="X333" s="587">
        <f t="shared" si="163"/>
        <v>46760.70563882422</v>
      </c>
      <c r="Y333" s="587">
        <f t="shared" si="163"/>
        <v>53740.379153694957</v>
      </c>
      <c r="Z333" s="587">
        <f t="shared" si="163"/>
        <v>62408.930175159192</v>
      </c>
      <c r="AA333" s="587">
        <f t="shared" si="163"/>
        <v>70599.582460015576</v>
      </c>
      <c r="AB333" s="587">
        <f t="shared" si="163"/>
        <v>76581.864269884711</v>
      </c>
      <c r="AC333" s="587">
        <f t="shared" si="163"/>
        <v>76581.864269884711</v>
      </c>
      <c r="AD333" s="587">
        <f t="shared" si="163"/>
        <v>76581.864269884711</v>
      </c>
    </row>
    <row r="334" spans="2:35" ht="13.5" thickBot="1" x14ac:dyDescent="0.25">
      <c r="B334" s="550"/>
      <c r="C334" s="550" t="s">
        <v>244</v>
      </c>
      <c r="D334" s="587">
        <f>D$30/D$8</f>
        <v>32735.899999999998</v>
      </c>
      <c r="E334" s="587">
        <f t="shared" si="161"/>
        <v>35401.926605504581</v>
      </c>
      <c r="F334" s="587">
        <f t="shared" si="161"/>
        <v>33338.407193851803</v>
      </c>
      <c r="G334" s="587">
        <f t="shared" si="161"/>
        <v>37758.97623608604</v>
      </c>
      <c r="H334" s="587">
        <f t="shared" si="161"/>
        <v>40798.12695771108</v>
      </c>
      <c r="I334" s="619">
        <f t="shared" ref="I334:AD334" si="164">I332+$K$218</f>
        <v>43912.4030458907</v>
      </c>
      <c r="J334" s="587">
        <f t="shared" si="164"/>
        <v>45170.097417160199</v>
      </c>
      <c r="K334" s="587">
        <f t="shared" si="164"/>
        <v>40517.756885667404</v>
      </c>
      <c r="L334" s="587">
        <f t="shared" si="164"/>
        <v>43492.699802163297</v>
      </c>
      <c r="M334" s="587">
        <f t="shared" si="164"/>
        <v>40213.569738512524</v>
      </c>
      <c r="N334" s="587">
        <f t="shared" si="164"/>
        <v>43569.856347953217</v>
      </c>
      <c r="O334" s="587">
        <f t="shared" si="164"/>
        <v>35549.333874598306</v>
      </c>
      <c r="P334" s="588">
        <f t="shared" si="164"/>
        <v>31048.063140682316</v>
      </c>
      <c r="Q334" s="587">
        <f t="shared" si="164"/>
        <v>31048.063140682316</v>
      </c>
      <c r="R334" s="587">
        <f t="shared" si="164"/>
        <v>31048.063140682316</v>
      </c>
      <c r="S334" s="587">
        <f t="shared" si="164"/>
        <v>31048.063140682316</v>
      </c>
      <c r="T334" s="587">
        <f t="shared" si="164"/>
        <v>31048.063140682316</v>
      </c>
      <c r="U334" s="587">
        <f t="shared" si="164"/>
        <v>31048.063140682316</v>
      </c>
      <c r="V334" s="587">
        <f t="shared" si="164"/>
        <v>31048.063140682316</v>
      </c>
      <c r="W334" s="587">
        <f t="shared" si="164"/>
        <v>31048.063140682316</v>
      </c>
      <c r="X334" s="587">
        <f t="shared" si="164"/>
        <v>31048.063140682316</v>
      </c>
      <c r="Y334" s="587">
        <f t="shared" si="164"/>
        <v>31048.063140682316</v>
      </c>
      <c r="Z334" s="587">
        <f t="shared" si="164"/>
        <v>31048.063140682316</v>
      </c>
      <c r="AA334" s="587">
        <f t="shared" si="164"/>
        <v>31048.063140682316</v>
      </c>
      <c r="AB334" s="587">
        <f t="shared" si="164"/>
        <v>31048.063140682316</v>
      </c>
      <c r="AC334" s="587">
        <f t="shared" si="164"/>
        <v>31048.063140682316</v>
      </c>
      <c r="AD334" s="587">
        <f t="shared" si="164"/>
        <v>31048.063140682316</v>
      </c>
    </row>
    <row r="335" spans="2:35" x14ac:dyDescent="0.2">
      <c r="C335" s="550" t="s">
        <v>315</v>
      </c>
      <c r="D335" s="468">
        <f>D332</f>
        <v>32735.899999999998</v>
      </c>
      <c r="E335" s="468">
        <f t="shared" ref="E335:H335" si="165">E332</f>
        <v>35401.926605504581</v>
      </c>
      <c r="F335" s="468">
        <f t="shared" si="165"/>
        <v>33338.407193851803</v>
      </c>
      <c r="G335" s="468">
        <f t="shared" si="165"/>
        <v>37758.97623608604</v>
      </c>
      <c r="H335" s="468">
        <f t="shared" si="165"/>
        <v>40798.12695771108</v>
      </c>
      <c r="I335" s="591">
        <f t="shared" ref="I335:S335" si="166">I332+$J$217</f>
        <v>48482.4030458907</v>
      </c>
      <c r="J335" s="591">
        <f t="shared" si="166"/>
        <v>49740.097417160199</v>
      </c>
      <c r="K335" s="591">
        <f t="shared" si="166"/>
        <v>45087.756885667404</v>
      </c>
      <c r="L335" s="591">
        <f t="shared" si="166"/>
        <v>48062.699802163297</v>
      </c>
      <c r="M335" s="591">
        <f t="shared" si="166"/>
        <v>44783.569738512524</v>
      </c>
      <c r="N335" s="591">
        <f t="shared" si="166"/>
        <v>48139.856347953217</v>
      </c>
      <c r="O335" s="591">
        <f t="shared" si="166"/>
        <v>40119.333874598306</v>
      </c>
      <c r="P335" s="623">
        <f t="shared" si="166"/>
        <v>35618.063140682316</v>
      </c>
      <c r="Q335" s="591">
        <f t="shared" si="166"/>
        <v>35618.063140682316</v>
      </c>
      <c r="R335" s="591">
        <f t="shared" si="166"/>
        <v>35618.063140682316</v>
      </c>
      <c r="S335" s="591">
        <f t="shared" si="166"/>
        <v>35618.063140682316</v>
      </c>
      <c r="T335" s="497">
        <f t="shared" ref="T335:AD335" si="167">S335*(1+0.01*$AF213)</f>
        <v>35618.063140682316</v>
      </c>
      <c r="U335" s="497">
        <f t="shared" si="167"/>
        <v>35618.063140682316</v>
      </c>
      <c r="V335" s="497">
        <f t="shared" si="167"/>
        <v>35618.063140682316</v>
      </c>
      <c r="W335" s="497">
        <f t="shared" si="167"/>
        <v>35618.063140682316</v>
      </c>
      <c r="X335" s="497">
        <f t="shared" si="167"/>
        <v>35618.063140682316</v>
      </c>
      <c r="Y335" s="497">
        <f t="shared" si="167"/>
        <v>35618.063140682316</v>
      </c>
      <c r="Z335" s="497">
        <f t="shared" si="167"/>
        <v>35618.063140682316</v>
      </c>
      <c r="AA335" s="497">
        <f t="shared" si="167"/>
        <v>35618.063140682316</v>
      </c>
      <c r="AB335" s="497">
        <f t="shared" si="167"/>
        <v>35618.063140682316</v>
      </c>
      <c r="AC335" s="497">
        <f t="shared" si="167"/>
        <v>35618.063140682316</v>
      </c>
      <c r="AD335" s="497">
        <f t="shared" si="167"/>
        <v>35618.063140682316</v>
      </c>
    </row>
    <row r="336" spans="2:35" x14ac:dyDescent="0.2">
      <c r="C336" s="550" t="s">
        <v>380</v>
      </c>
      <c r="D336" s="468">
        <f>D335</f>
        <v>32735.899999999998</v>
      </c>
      <c r="E336" s="468">
        <f t="shared" ref="E336:AD336" si="168">E335</f>
        <v>35401.926605504581</v>
      </c>
      <c r="F336" s="468">
        <f t="shared" si="168"/>
        <v>33338.407193851803</v>
      </c>
      <c r="G336" s="468">
        <f t="shared" si="168"/>
        <v>37758.97623608604</v>
      </c>
      <c r="H336" s="468">
        <f t="shared" si="168"/>
        <v>40798.12695771108</v>
      </c>
      <c r="I336" s="468">
        <f t="shared" si="168"/>
        <v>48482.4030458907</v>
      </c>
      <c r="J336" s="468">
        <f t="shared" si="168"/>
        <v>49740.097417160199</v>
      </c>
      <c r="K336" s="468">
        <f t="shared" si="168"/>
        <v>45087.756885667404</v>
      </c>
      <c r="L336" s="468">
        <f t="shared" si="168"/>
        <v>48062.699802163297</v>
      </c>
      <c r="M336" s="468">
        <f t="shared" si="168"/>
        <v>44783.569738512524</v>
      </c>
      <c r="N336" s="468">
        <f t="shared" si="168"/>
        <v>48139.856347953217</v>
      </c>
      <c r="O336" s="468">
        <f t="shared" si="168"/>
        <v>40119.333874598306</v>
      </c>
      <c r="P336" s="468">
        <f t="shared" si="168"/>
        <v>35618.063140682316</v>
      </c>
      <c r="Q336" s="468">
        <f t="shared" si="168"/>
        <v>35618.063140682316</v>
      </c>
      <c r="R336" s="468">
        <f t="shared" si="168"/>
        <v>35618.063140682316</v>
      </c>
      <c r="S336" s="468">
        <f t="shared" si="168"/>
        <v>35618.063140682316</v>
      </c>
      <c r="T336" s="468">
        <f t="shared" si="168"/>
        <v>35618.063140682316</v>
      </c>
      <c r="U336" s="468">
        <f t="shared" si="168"/>
        <v>35618.063140682316</v>
      </c>
      <c r="V336" s="468">
        <f t="shared" si="168"/>
        <v>35618.063140682316</v>
      </c>
      <c r="W336" s="468">
        <f t="shared" si="168"/>
        <v>35618.063140682316</v>
      </c>
      <c r="X336" s="468">
        <f t="shared" si="168"/>
        <v>35618.063140682316</v>
      </c>
      <c r="Y336" s="468">
        <f t="shared" si="168"/>
        <v>35618.063140682316</v>
      </c>
      <c r="Z336" s="468">
        <f t="shared" si="168"/>
        <v>35618.063140682316</v>
      </c>
      <c r="AA336" s="468">
        <f t="shared" si="168"/>
        <v>35618.063140682316</v>
      </c>
      <c r="AB336" s="468">
        <f t="shared" si="168"/>
        <v>35618.063140682316</v>
      </c>
      <c r="AC336" s="468">
        <f t="shared" si="168"/>
        <v>35618.063140682316</v>
      </c>
      <c r="AD336" s="468">
        <f t="shared" si="168"/>
        <v>35618.063140682316</v>
      </c>
    </row>
    <row r="338" spans="1:35" s="384" customFormat="1" x14ac:dyDescent="0.2">
      <c r="P338" s="278"/>
    </row>
    <row r="339" spans="1:35" x14ac:dyDescent="0.2">
      <c r="A339" t="s">
        <v>337</v>
      </c>
      <c r="D339" s="206">
        <f>D318+D287+D292+D276</f>
        <v>79969.100000000006</v>
      </c>
      <c r="E339" s="206">
        <f t="shared" ref="E339:AD339" si="169">E318+E287+E292+E276</f>
        <v>95616.1</v>
      </c>
      <c r="F339" s="206">
        <f t="shared" si="169"/>
        <v>110421</v>
      </c>
      <c r="G339" s="206">
        <f t="shared" si="169"/>
        <v>147191</v>
      </c>
      <c r="H339" s="206">
        <f t="shared" si="169"/>
        <v>169088.5</v>
      </c>
      <c r="I339" s="206">
        <f t="shared" si="169"/>
        <v>203894.96830666816</v>
      </c>
      <c r="J339" s="206">
        <f t="shared" si="169"/>
        <v>227513.9124247483</v>
      </c>
      <c r="K339" s="206">
        <f t="shared" si="169"/>
        <v>248668.00049303586</v>
      </c>
      <c r="L339" s="206">
        <f t="shared" si="169"/>
        <v>279873.80709405645</v>
      </c>
      <c r="M339" s="206">
        <f t="shared" si="169"/>
        <v>289337.94587440259</v>
      </c>
      <c r="N339" s="206">
        <f t="shared" si="169"/>
        <v>323655.26275556302</v>
      </c>
      <c r="O339" s="206">
        <f t="shared" si="169"/>
        <v>324775.97561023087</v>
      </c>
      <c r="P339" s="324">
        <f t="shared" si="169"/>
        <v>329606.13046397018</v>
      </c>
      <c r="Q339" s="629">
        <f t="shared" si="169"/>
        <v>395907.35669531213</v>
      </c>
      <c r="R339" s="629">
        <f t="shared" si="169"/>
        <v>447057.618610362</v>
      </c>
      <c r="S339" s="629">
        <f t="shared" si="169"/>
        <v>477398.76502193889</v>
      </c>
      <c r="T339" s="629">
        <f t="shared" si="169"/>
        <v>517019.36777795781</v>
      </c>
      <c r="U339" s="629">
        <f t="shared" si="169"/>
        <v>556308.95299344393</v>
      </c>
      <c r="V339" s="629">
        <f t="shared" si="169"/>
        <v>609950.16297975602</v>
      </c>
      <c r="W339" s="629">
        <f t="shared" si="169"/>
        <v>675221.02467270242</v>
      </c>
      <c r="X339" s="629">
        <f t="shared" si="169"/>
        <v>743990.72426181904</v>
      </c>
      <c r="Y339" s="629">
        <f t="shared" si="169"/>
        <v>817657.07981336745</v>
      </c>
      <c r="Z339" s="629">
        <f t="shared" si="169"/>
        <v>885160.28882193181</v>
      </c>
      <c r="AA339" s="629">
        <f t="shared" si="169"/>
        <v>949654.20566788956</v>
      </c>
      <c r="AB339" s="629">
        <f t="shared" si="169"/>
        <v>1019611.5913781617</v>
      </c>
      <c r="AC339" s="629">
        <f t="shared" si="169"/>
        <v>1095602.4947322633</v>
      </c>
      <c r="AD339" s="629">
        <f t="shared" si="169"/>
        <v>1178135.1969380383</v>
      </c>
    </row>
    <row r="341" spans="1:35" x14ac:dyDescent="0.2">
      <c r="C341" t="s">
        <v>304</v>
      </c>
    </row>
    <row r="342" spans="1:35" s="550" customFormat="1" x14ac:dyDescent="0.2">
      <c r="D342" s="550">
        <v>1</v>
      </c>
      <c r="E342" s="550">
        <v>2</v>
      </c>
      <c r="F342" s="550">
        <v>3</v>
      </c>
      <c r="G342" s="550">
        <v>4</v>
      </c>
      <c r="H342" s="550">
        <v>5</v>
      </c>
      <c r="I342" s="550">
        <v>6</v>
      </c>
      <c r="J342" s="550">
        <v>7</v>
      </c>
      <c r="K342" s="550">
        <v>8</v>
      </c>
      <c r="L342" s="550">
        <v>9</v>
      </c>
      <c r="M342" s="550">
        <v>10</v>
      </c>
      <c r="N342" s="550">
        <v>11</v>
      </c>
      <c r="O342" s="550">
        <v>12</v>
      </c>
      <c r="P342" s="278">
        <v>13</v>
      </c>
      <c r="Q342" s="550">
        <v>14</v>
      </c>
      <c r="R342" s="550">
        <v>15</v>
      </c>
      <c r="S342" s="550">
        <v>16</v>
      </c>
      <c r="T342" s="550">
        <v>17</v>
      </c>
      <c r="U342" s="550">
        <v>18</v>
      </c>
      <c r="V342" s="550">
        <v>19</v>
      </c>
      <c r="W342" s="550">
        <v>20</v>
      </c>
    </row>
    <row r="343" spans="1:35" s="550" customFormat="1" x14ac:dyDescent="0.2">
      <c r="C343" s="550" t="s">
        <v>305</v>
      </c>
      <c r="D343" s="550">
        <f>INDEX([4]!RezShtak,('[3]ГИПЕР-Пульт'!$D$5-1)*2+1,D342)</f>
        <v>150</v>
      </c>
      <c r="E343" s="550">
        <f>INDEX([4]!RezShtak,('[3]ГИПЕР-Пульт'!$D$5-1)*2+1,E342)</f>
        <v>150</v>
      </c>
      <c r="F343" s="550">
        <f>INDEX([4]!RezShtak,('[3]ГИПЕР-Пульт'!$D$5-1)*2+1,F342)</f>
        <v>273.39999999999998</v>
      </c>
      <c r="G343" s="550">
        <f>INDEX([4]!RezShtak,('[3]ГИПЕР-Пульт'!$D$5-1)*2+1,G342)</f>
        <v>715.60572999990291</v>
      </c>
      <c r="H343" s="550">
        <f>INDEX([4]!RezShtak,('[3]ГИПЕР-Пульт'!$D$5-1)*2+1,H342)</f>
        <v>1635.9681417884999</v>
      </c>
      <c r="I343" s="550">
        <f>INDEX([4]!RezShtak,('[3]ГИПЕР-Пульт'!$D$5-1)*2+1,I342)</f>
        <v>2668.3985278108644</v>
      </c>
      <c r="J343" s="550">
        <f>INDEX([4]!RezShtak,('[3]ГИПЕР-Пульт'!$D$5-1)*2+1,J342)</f>
        <v>3323.7736414001101</v>
      </c>
      <c r="K343" s="550">
        <f>INDEX([4]!RezShtak,('[3]ГИПЕР-Пульт'!$D$5-1)*2+1,K342)</f>
        <v>4056.263642580102</v>
      </c>
      <c r="L343" s="550">
        <f>INDEX([4]!RezShtak,('[3]ГИПЕР-Пульт'!$D$5-1)*2+1,L342)</f>
        <v>13791.015845112064</v>
      </c>
      <c r="M343" s="550">
        <f>INDEX([4]!RezShtak,('[3]ГИПЕР-Пульт'!$D$5-1)*2+1,M342)</f>
        <v>28532.715430591728</v>
      </c>
      <c r="N343" s="550">
        <f>INDEX([4]!RezShtak,('[3]ГИПЕР-Пульт'!$D$5-1)*2+1,N342)</f>
        <v>35863.532134907182</v>
      </c>
      <c r="O343" s="550">
        <f>INDEX([4]!RezShtak,('[3]ГИПЕР-Пульт'!$D$5-1)*2+1,O342)</f>
        <v>28939.869401751446</v>
      </c>
      <c r="P343" s="278">
        <f>INDEX([4]!RezShtak,('[3]ГИПЕР-Пульт'!$D$5-1)*2+1,P342)</f>
        <v>22594.765147792074</v>
      </c>
      <c r="Q343" s="550">
        <f>INDEX([4]!RezShtak,('[3]ГИПЕР-Пульт'!$D$5-1)*2+1,Q342)</f>
        <v>18116.123013995595</v>
      </c>
      <c r="R343" s="550">
        <f>INDEX([4]!RezShtak,('[3]ГИПЕР-Пульт'!$D$5-1)*2+1,R342)</f>
        <v>17540.47661777668</v>
      </c>
      <c r="S343" s="550">
        <f>INDEX([4]!RezShtak,('[3]ГИПЕР-Пульт'!$D$5-1)*2+1,S342)</f>
        <v>20282.6424981419</v>
      </c>
      <c r="T343" s="550">
        <f>INDEX([4]!RezShtak,('[3]ГИПЕР-Пульт'!$D$5-1)*2+1,T342)</f>
        <v>27262.316013012638</v>
      </c>
      <c r="U343" s="550">
        <f>INDEX([4]!RezShtak,('[3]ГИПЕР-Пульт'!$D$5-1)*2+1,U342)</f>
        <v>35930.867034476876</v>
      </c>
      <c r="V343" s="550">
        <f>INDEX([4]!RezShtak,('[3]ГИПЕР-Пульт'!$D$5-1)*2+1,V342)</f>
        <v>44121.519319333267</v>
      </c>
      <c r="W343" s="550">
        <f>INDEX([4]!RezShtak,('[3]ГИПЕР-Пульт'!$D$5-1)*2+1,W342)</f>
        <v>50103.801129202395</v>
      </c>
    </row>
    <row r="344" spans="1:35" s="550" customFormat="1" x14ac:dyDescent="0.2">
      <c r="C344" s="550" t="s">
        <v>310</v>
      </c>
      <c r="D344" s="550">
        <f>INDEX([4]!RezShtak,('[3]ГИПЕР-Пульт'!$D$5-1)*2+2,D342)</f>
        <v>2135</v>
      </c>
      <c r="E344" s="550">
        <f>INDEX([4]!RezShtak,('[3]ГИПЕР-Пульт'!$D$5-1)*2+2,E342)</f>
        <v>2225</v>
      </c>
      <c r="F344" s="550">
        <f>INDEX([4]!RezShtak,('[3]ГИПЕР-Пульт'!$D$5-1)*2+2,F342)</f>
        <v>3042.8</v>
      </c>
      <c r="G344" s="550">
        <f>INDEX([4]!RezShtak,('[3]ГИПЕР-Пульт'!$D$5-1)*2+2,G342)</f>
        <v>4633.5</v>
      </c>
      <c r="H344" s="550">
        <f>INDEX([4]!RezShtak,('[3]ГИПЕР-Пульт'!$D$5-1)*2+2,H342)</f>
        <v>7239.9</v>
      </c>
      <c r="I344" s="550">
        <f>INDEX([4]!RezShtak,('[3]ГИПЕР-Пульт'!$D$5-1)*2+2,I342)</f>
        <v>7693.9</v>
      </c>
      <c r="J344" s="550">
        <f>INDEX([4]!RezShtak,('[3]ГИПЕР-Пульт'!$D$5-1)*2+2,J342)</f>
        <v>7693.9</v>
      </c>
      <c r="K344" s="550">
        <f>INDEX([4]!RezShtak,('[3]ГИПЕР-Пульт'!$D$5-1)*2+2,K342)</f>
        <v>7920.1</v>
      </c>
      <c r="L344" s="550">
        <f>INDEX([4]!RezShtak,('[3]ГИПЕР-Пульт'!$D$5-1)*2+2,L342)</f>
        <v>6615.1</v>
      </c>
      <c r="M344" s="550">
        <f>INDEX([4]!RezShtak,('[3]ГИПЕР-Пульт'!$D$5-1)*2+2,M342)</f>
        <v>6615.1</v>
      </c>
      <c r="N344" s="550">
        <f>INDEX([4]!RezShtak,('[3]ГИПЕР-Пульт'!$D$5-1)*2+2,N342)</f>
        <v>7137.1</v>
      </c>
      <c r="O344" s="550">
        <f>INDEX([4]!RezShtak,('[3]ГИПЕР-Пульт'!$D$5-1)*2+2,O342)</f>
        <v>7137.1</v>
      </c>
      <c r="P344" s="278">
        <f>INDEX([4]!RezShtak,('[3]ГИПЕР-Пульт'!$D$5-1)*2+2,P342)</f>
        <v>7137.1</v>
      </c>
      <c r="Q344" s="550">
        <f>INDEX([4]!RezShtak,('[3]ГИПЕР-Пульт'!$D$5-1)*2+2,Q342)</f>
        <v>7137.1</v>
      </c>
      <c r="R344" s="550">
        <f>INDEX([4]!RezShtak,('[3]ГИПЕР-Пульт'!$D$5-1)*2+2,R342)</f>
        <v>7137.1</v>
      </c>
      <c r="S344" s="550">
        <f>INDEX([4]!RezShtak,('[3]ГИПЕР-Пульт'!$D$5-1)*2+2,S342)</f>
        <v>6954.4000000000005</v>
      </c>
      <c r="T344" s="550">
        <f>INDEX([4]!RezShtak,('[3]ГИПЕР-Пульт'!$D$5-1)*2+2,T342)</f>
        <v>6954.4000000000005</v>
      </c>
      <c r="U344" s="550">
        <f>INDEX([4]!RezShtak,('[3]ГИПЕР-Пульт'!$D$5-1)*2+2,U342)</f>
        <v>6954.4000000000005</v>
      </c>
      <c r="V344" s="550">
        <f>INDEX([4]!RezShtak,('[3]ГИПЕР-Пульт'!$D$5-1)*2+2,V342)</f>
        <v>6954.4000000000005</v>
      </c>
      <c r="W344" s="550">
        <f>INDEX([4]!RezShtak,('[3]ГИПЕР-Пульт'!$D$5-1)*2+2,W342)</f>
        <v>6952</v>
      </c>
    </row>
    <row r="345" spans="1:35" s="550" customFormat="1" x14ac:dyDescent="0.2">
      <c r="C345" s="600" t="s">
        <v>327</v>
      </c>
      <c r="D345" s="601">
        <f t="shared" ref="D345:W345" si="170">D343/D53*0.01</f>
        <v>4.45302063232893E-5</v>
      </c>
      <c r="E345" s="601">
        <f t="shared" si="170"/>
        <v>3.819962615299205E-5</v>
      </c>
      <c r="F345" s="601">
        <f t="shared" si="170"/>
        <v>9.5473228035744854E-5</v>
      </c>
      <c r="G345" s="601">
        <f t="shared" si="170"/>
        <v>1.8669258062073036E-4</v>
      </c>
      <c r="H345" s="601">
        <f t="shared" si="170"/>
        <v>4.0090478369797755E-4</v>
      </c>
      <c r="I345" s="601">
        <f t="shared" si="170"/>
        <v>4.4132999555309029E-4</v>
      </c>
      <c r="J345" s="601">
        <f t="shared" si="170"/>
        <v>5.1069582781808798E-4</v>
      </c>
      <c r="K345" s="601">
        <f t="shared" si="170"/>
        <v>5.9877432791729688E-4</v>
      </c>
      <c r="L345" s="601">
        <f t="shared" si="170"/>
        <v>1.8466498904552843E-3</v>
      </c>
      <c r="M345" s="601">
        <f t="shared" si="170"/>
        <v>3.8502022712360385E-3</v>
      </c>
      <c r="N345" s="601">
        <f t="shared" si="170"/>
        <v>4.4097611742105391E-3</v>
      </c>
      <c r="O345" s="601">
        <f t="shared" si="170"/>
        <v>3.2759406693123783E-3</v>
      </c>
      <c r="P345" s="627">
        <f t="shared" si="170"/>
        <v>2.3257330181081395E-3</v>
      </c>
      <c r="Q345" s="601">
        <f t="shared" si="170"/>
        <v>1.6310816825325567E-3</v>
      </c>
      <c r="R345" s="601">
        <f t="shared" si="170"/>
        <v>1.4141397574500569E-3</v>
      </c>
      <c r="S345" s="601">
        <f t="shared" si="170"/>
        <v>2.3618274226239484E-3</v>
      </c>
      <c r="T345" s="601">
        <f t="shared" si="170"/>
        <v>2.9185146207443471E-3</v>
      </c>
      <c r="U345" s="601">
        <f t="shared" si="170"/>
        <v>3.55803943114216E-3</v>
      </c>
      <c r="V345" s="601">
        <f t="shared" si="170"/>
        <v>3.9953869591951722E-3</v>
      </c>
      <c r="W345" s="601">
        <f t="shared" si="170"/>
        <v>4.1116038924387003E-3</v>
      </c>
      <c r="X345" s="562"/>
      <c r="Y345" s="562"/>
      <c r="Z345" s="562"/>
      <c r="AA345" s="562"/>
      <c r="AB345" s="562"/>
      <c r="AC345" s="562"/>
      <c r="AD345" s="562"/>
      <c r="AE345" s="562"/>
      <c r="AF345" s="562"/>
      <c r="AG345" s="562"/>
      <c r="AH345" s="562"/>
      <c r="AI345" s="562"/>
    </row>
    <row r="346" spans="1:35" s="550" customFormat="1" x14ac:dyDescent="0.2">
      <c r="M346" s="112"/>
      <c r="P346" s="278"/>
    </row>
    <row r="347" spans="1:35" s="550" customFormat="1" x14ac:dyDescent="0.2">
      <c r="M347" s="112"/>
      <c r="P347" s="278"/>
    </row>
    <row r="348" spans="1:35" s="550" customFormat="1" ht="13.5" thickBot="1" x14ac:dyDescent="0.25">
      <c r="A348" s="550" t="s">
        <v>306</v>
      </c>
      <c r="B348" s="550">
        <f>'[3]ГИПЕР-Пульт'!$D$4</f>
        <v>2010</v>
      </c>
      <c r="C348" s="174" t="s">
        <v>308</v>
      </c>
      <c r="D348" s="550">
        <v>1</v>
      </c>
      <c r="E348" s="550">
        <v>2</v>
      </c>
      <c r="F348" s="550">
        <v>3</v>
      </c>
      <c r="G348" s="550">
        <v>4</v>
      </c>
      <c r="H348" s="550">
        <v>5</v>
      </c>
      <c r="I348" s="550">
        <v>6</v>
      </c>
      <c r="J348" s="550">
        <v>7</v>
      </c>
      <c r="K348" s="550">
        <v>8</v>
      </c>
      <c r="L348" s="550">
        <v>9</v>
      </c>
      <c r="M348" s="550">
        <v>10</v>
      </c>
      <c r="N348" s="550">
        <v>11</v>
      </c>
      <c r="O348" s="550">
        <v>12</v>
      </c>
      <c r="P348" s="278">
        <v>13</v>
      </c>
      <c r="Q348" s="550">
        <v>14</v>
      </c>
      <c r="R348" s="550">
        <v>15</v>
      </c>
      <c r="S348" s="550">
        <v>16</v>
      </c>
      <c r="T348" s="550">
        <v>17</v>
      </c>
      <c r="U348" s="550">
        <v>18</v>
      </c>
      <c r="V348" s="550">
        <v>19</v>
      </c>
      <c r="W348" s="550">
        <v>20</v>
      </c>
      <c r="X348" s="550">
        <v>21</v>
      </c>
      <c r="Y348" s="550">
        <v>22</v>
      </c>
      <c r="Z348" s="550">
        <v>23</v>
      </c>
      <c r="AA348" s="550">
        <v>24</v>
      </c>
      <c r="AB348" s="550">
        <v>25</v>
      </c>
      <c r="AC348" s="550">
        <v>26</v>
      </c>
      <c r="AD348" s="550">
        <v>27</v>
      </c>
    </row>
    <row r="349" spans="1:35" x14ac:dyDescent="0.2">
      <c r="A349" t="s">
        <v>307</v>
      </c>
      <c r="B349" s="198">
        <f>B348-2005</f>
        <v>5</v>
      </c>
      <c r="D349" s="259">
        <v>2005</v>
      </c>
      <c r="E349" s="260">
        <v>2006</v>
      </c>
      <c r="F349" s="260">
        <v>2007</v>
      </c>
      <c r="G349" s="260">
        <v>2008</v>
      </c>
      <c r="H349" s="260">
        <v>2009</v>
      </c>
      <c r="I349" s="260">
        <v>2010</v>
      </c>
      <c r="J349" s="260">
        <v>2011</v>
      </c>
      <c r="K349" s="260">
        <v>2012</v>
      </c>
      <c r="L349" s="260">
        <v>2013</v>
      </c>
      <c r="M349" s="354">
        <v>2014</v>
      </c>
      <c r="N349" s="260">
        <v>2015</v>
      </c>
      <c r="O349" s="260">
        <v>2016</v>
      </c>
      <c r="P349" s="574">
        <v>2017</v>
      </c>
      <c r="Q349" s="550">
        <v>2018</v>
      </c>
      <c r="R349" s="550">
        <v>2019</v>
      </c>
      <c r="S349" s="550">
        <v>2020</v>
      </c>
      <c r="T349" s="550">
        <v>2021</v>
      </c>
      <c r="U349" s="550">
        <v>2022</v>
      </c>
      <c r="V349" s="550">
        <v>2023</v>
      </c>
      <c r="W349" s="550">
        <v>2024</v>
      </c>
      <c r="X349" s="550">
        <v>2025</v>
      </c>
      <c r="Y349" s="550">
        <v>2026</v>
      </c>
      <c r="Z349" s="550">
        <v>2027</v>
      </c>
      <c r="AA349" s="550">
        <v>2028</v>
      </c>
      <c r="AB349" s="550">
        <v>2029</v>
      </c>
      <c r="AC349" s="550">
        <v>2030</v>
      </c>
      <c r="AD349" s="550">
        <v>2031</v>
      </c>
    </row>
    <row r="350" spans="1:35" x14ac:dyDescent="0.2">
      <c r="A350" t="s">
        <v>311</v>
      </c>
      <c r="B350">
        <f>'[3]ГИПЕР-Пульт'!$G$7</f>
        <v>1</v>
      </c>
      <c r="C350" t="s">
        <v>305</v>
      </c>
      <c r="D350">
        <f t="shared" ref="D350:AD350" si="171">$B$350*IF($B$349+20&lt;D$348,C350,IF(D$348&lt;=$B$349,0,INDEX(priemSht,1,D$348-$B$349)))</f>
        <v>0</v>
      </c>
      <c r="E350" s="550">
        <f t="shared" si="171"/>
        <v>0</v>
      </c>
      <c r="F350" s="550">
        <f t="shared" si="171"/>
        <v>0</v>
      </c>
      <c r="G350" s="550">
        <f t="shared" si="171"/>
        <v>0</v>
      </c>
      <c r="H350" s="550">
        <f t="shared" si="171"/>
        <v>0</v>
      </c>
      <c r="I350" s="550">
        <f t="shared" si="171"/>
        <v>150</v>
      </c>
      <c r="J350" s="550">
        <f t="shared" si="171"/>
        <v>150</v>
      </c>
      <c r="K350" s="550">
        <f t="shared" si="171"/>
        <v>273.39999999999998</v>
      </c>
      <c r="L350" s="550">
        <f t="shared" si="171"/>
        <v>715.60572999990291</v>
      </c>
      <c r="M350" s="550">
        <f t="shared" si="171"/>
        <v>1635.9681417884999</v>
      </c>
      <c r="N350" s="550">
        <f t="shared" si="171"/>
        <v>2668.3985278108644</v>
      </c>
      <c r="O350" s="550">
        <f t="shared" si="171"/>
        <v>3323.7736414001101</v>
      </c>
      <c r="P350" s="278">
        <f t="shared" si="171"/>
        <v>4056.263642580102</v>
      </c>
      <c r="Q350" s="550">
        <f>$B$350*IF($B$349+20&lt;Q$348,P350,IF(Q$348&lt;=$B$349,0,INDEX(priemSht,1,Q$348-$B$349)))</f>
        <v>13791.015845112064</v>
      </c>
      <c r="R350" s="550">
        <f t="shared" si="171"/>
        <v>28532.715430591728</v>
      </c>
      <c r="S350" s="550">
        <f t="shared" si="171"/>
        <v>35863.532134907182</v>
      </c>
      <c r="T350" s="550">
        <f t="shared" si="171"/>
        <v>28939.869401751446</v>
      </c>
      <c r="U350" s="550">
        <f t="shared" si="171"/>
        <v>22594.765147792074</v>
      </c>
      <c r="V350" s="550">
        <f t="shared" si="171"/>
        <v>18116.123013995595</v>
      </c>
      <c r="W350" s="550">
        <f t="shared" si="171"/>
        <v>17540.47661777668</v>
      </c>
      <c r="X350" s="550">
        <f t="shared" si="171"/>
        <v>20282.6424981419</v>
      </c>
      <c r="Y350" s="550">
        <f t="shared" si="171"/>
        <v>27262.316013012638</v>
      </c>
      <c r="Z350" s="550">
        <f t="shared" si="171"/>
        <v>35930.867034476876</v>
      </c>
      <c r="AA350" s="550">
        <f t="shared" si="171"/>
        <v>44121.519319333267</v>
      </c>
      <c r="AB350" s="550">
        <f t="shared" si="171"/>
        <v>50103.801129202395</v>
      </c>
      <c r="AC350" s="550">
        <f t="shared" si="171"/>
        <v>50103.801129202395</v>
      </c>
      <c r="AD350" s="550">
        <f t="shared" si="171"/>
        <v>50103.801129202395</v>
      </c>
    </row>
    <row r="351" spans="1:35" x14ac:dyDescent="0.2">
      <c r="A351" s="550" t="s">
        <v>311</v>
      </c>
      <c r="B351" s="550">
        <f>'[3]ГИПЕР-Пульт'!$G$9</f>
        <v>1</v>
      </c>
      <c r="C351" s="550" t="s">
        <v>310</v>
      </c>
      <c r="D351" s="550">
        <f t="shared" ref="D351:AD351" si="172">$B$351*IF($B$349+20&lt;D$348,C351,IF(D$348&lt;=$B$349,0,INDEX(priemSht,2,D$348-$B$349)))</f>
        <v>0</v>
      </c>
      <c r="E351" s="550">
        <f t="shared" si="172"/>
        <v>0</v>
      </c>
      <c r="F351" s="550">
        <f t="shared" si="172"/>
        <v>0</v>
      </c>
      <c r="G351" s="550">
        <f t="shared" si="172"/>
        <v>0</v>
      </c>
      <c r="H351" s="550">
        <f t="shared" si="172"/>
        <v>0</v>
      </c>
      <c r="I351" s="550">
        <f t="shared" si="172"/>
        <v>2135</v>
      </c>
      <c r="J351" s="550">
        <f t="shared" si="172"/>
        <v>2225</v>
      </c>
      <c r="K351" s="550">
        <f t="shared" si="172"/>
        <v>3042.8</v>
      </c>
      <c r="L351" s="550">
        <f t="shared" si="172"/>
        <v>4633.5</v>
      </c>
      <c r="M351" s="550">
        <f t="shared" si="172"/>
        <v>7239.9</v>
      </c>
      <c r="N351" s="550">
        <f t="shared" si="172"/>
        <v>7693.9</v>
      </c>
      <c r="O351" s="550">
        <f t="shared" si="172"/>
        <v>7693.9</v>
      </c>
      <c r="P351" s="278">
        <f t="shared" si="172"/>
        <v>7920.1</v>
      </c>
      <c r="Q351" s="550">
        <f t="shared" si="172"/>
        <v>6615.1</v>
      </c>
      <c r="R351" s="550">
        <f t="shared" si="172"/>
        <v>6615.1</v>
      </c>
      <c r="S351" s="550">
        <f t="shared" si="172"/>
        <v>7137.1</v>
      </c>
      <c r="T351" s="550">
        <f t="shared" si="172"/>
        <v>7137.1</v>
      </c>
      <c r="U351" s="550">
        <f t="shared" si="172"/>
        <v>7137.1</v>
      </c>
      <c r="V351" s="550">
        <f t="shared" si="172"/>
        <v>7137.1</v>
      </c>
      <c r="W351" s="550">
        <f t="shared" si="172"/>
        <v>7137.1</v>
      </c>
      <c r="X351" s="550">
        <f t="shared" si="172"/>
        <v>6954.4000000000005</v>
      </c>
      <c r="Y351" s="550">
        <f t="shared" si="172"/>
        <v>6954.4000000000005</v>
      </c>
      <c r="Z351" s="550">
        <f t="shared" si="172"/>
        <v>6954.4000000000005</v>
      </c>
      <c r="AA351" s="550">
        <f t="shared" si="172"/>
        <v>6954.4000000000005</v>
      </c>
      <c r="AB351" s="550">
        <f t="shared" si="172"/>
        <v>6952</v>
      </c>
      <c r="AC351" s="550">
        <f t="shared" si="172"/>
        <v>6952</v>
      </c>
      <c r="AD351" s="550">
        <f t="shared" si="172"/>
        <v>6952</v>
      </c>
    </row>
    <row r="352" spans="1:35" s="550" customFormat="1" x14ac:dyDescent="0.2">
      <c r="P352" s="278"/>
    </row>
    <row r="353" spans="3:30" ht="13.5" thickBot="1" x14ac:dyDescent="0.25"/>
    <row r="354" spans="3:30" x14ac:dyDescent="0.2">
      <c r="C354" s="586" t="s">
        <v>237</v>
      </c>
      <c r="D354" s="259">
        <v>2005</v>
      </c>
      <c r="E354" s="260">
        <v>2006</v>
      </c>
      <c r="F354" s="260">
        <v>2007</v>
      </c>
      <c r="G354" s="260">
        <v>2008</v>
      </c>
      <c r="H354" s="260">
        <v>2009</v>
      </c>
      <c r="I354" s="260">
        <v>2010</v>
      </c>
      <c r="J354" s="260">
        <v>2011</v>
      </c>
      <c r="K354" s="260">
        <v>2012</v>
      </c>
      <c r="L354" s="260">
        <v>2013</v>
      </c>
      <c r="M354" s="354">
        <v>2014</v>
      </c>
      <c r="N354" s="260">
        <v>2015</v>
      </c>
      <c r="O354" s="260">
        <v>2016</v>
      </c>
      <c r="P354" s="574">
        <v>2017</v>
      </c>
      <c r="Q354" s="550">
        <v>2018</v>
      </c>
      <c r="R354" s="550">
        <v>2019</v>
      </c>
      <c r="S354" s="550">
        <v>2020</v>
      </c>
      <c r="T354" s="550">
        <v>2021</v>
      </c>
      <c r="U354" s="550">
        <v>2022</v>
      </c>
      <c r="V354" s="550">
        <v>2023</v>
      </c>
      <c r="W354" s="550">
        <v>2024</v>
      </c>
      <c r="X354" s="550">
        <v>2025</v>
      </c>
      <c r="Y354" s="550">
        <v>2026</v>
      </c>
      <c r="Z354" s="550">
        <v>2027</v>
      </c>
      <c r="AA354" s="550">
        <v>2028</v>
      </c>
      <c r="AB354" s="550">
        <v>2029</v>
      </c>
      <c r="AC354" s="550">
        <v>2030</v>
      </c>
      <c r="AD354" s="550">
        <v>2031</v>
      </c>
    </row>
    <row r="355" spans="3:30" x14ac:dyDescent="0.2">
      <c r="C355" s="550" t="s">
        <v>305</v>
      </c>
      <c r="D355">
        <f>D350*D$4</f>
        <v>0</v>
      </c>
      <c r="E355" s="550">
        <f t="shared" ref="E355:AD355" si="173">E350*E$4</f>
        <v>0</v>
      </c>
      <c r="F355" s="184">
        <f t="shared" si="173"/>
        <v>0</v>
      </c>
      <c r="G355" s="184">
        <f t="shared" si="173"/>
        <v>0</v>
      </c>
      <c r="H355" s="184">
        <f t="shared" si="173"/>
        <v>0</v>
      </c>
      <c r="I355" s="184">
        <f t="shared" si="173"/>
        <v>255.16386051903558</v>
      </c>
      <c r="J355" s="184">
        <f t="shared" si="173"/>
        <v>283.00223770166235</v>
      </c>
      <c r="K355" s="184">
        <f t="shared" si="173"/>
        <v>568.05828867618118</v>
      </c>
      <c r="L355" s="184">
        <f t="shared" si="173"/>
        <v>1623.0493582601698</v>
      </c>
      <c r="M355" s="184">
        <f t="shared" si="173"/>
        <v>4131.6448332612736</v>
      </c>
      <c r="N355" s="184">
        <f t="shared" si="173"/>
        <v>7726.3235473541608</v>
      </c>
      <c r="O355" s="184">
        <f t="shared" si="173"/>
        <v>11228.750894526029</v>
      </c>
      <c r="P355" s="628">
        <f t="shared" si="173"/>
        <v>16080.860209366348</v>
      </c>
      <c r="Q355" s="184">
        <f t="shared" si="173"/>
        <v>62519.504623466637</v>
      </c>
      <c r="R355" s="184">
        <f t="shared" si="173"/>
        <v>144482.6001994815</v>
      </c>
      <c r="S355" s="184">
        <f t="shared" si="173"/>
        <v>199219.63114270987</v>
      </c>
      <c r="T355" s="184">
        <f t="shared" si="173"/>
        <v>173700.23643399891</v>
      </c>
      <c r="U355" s="184">
        <f t="shared" si="173"/>
        <v>145651.83337228125</v>
      </c>
      <c r="V355" s="184">
        <f t="shared" si="173"/>
        <v>126882.90569650348</v>
      </c>
      <c r="W355" s="184">
        <f t="shared" si="173"/>
        <v>134706.29171011472</v>
      </c>
      <c r="X355" s="184">
        <f t="shared" si="173"/>
        <v>170329.47739623586</v>
      </c>
      <c r="Y355" s="184">
        <f t="shared" si="173"/>
        <v>250138.92096519613</v>
      </c>
      <c r="Z355" s="184">
        <f t="shared" si="173"/>
        <v>353906.28094398894</v>
      </c>
      <c r="AA355" s="184">
        <f t="shared" si="173"/>
        <v>462177.20976577169</v>
      </c>
      <c r="AB355" s="184">
        <f t="shared" si="173"/>
        <v>558169.67337640631</v>
      </c>
      <c r="AC355" s="184">
        <f t="shared" si="173"/>
        <v>593613.44763580814</v>
      </c>
      <c r="AD355" s="184">
        <f t="shared" si="173"/>
        <v>631307.90156068187</v>
      </c>
    </row>
    <row r="356" spans="3:30" x14ac:dyDescent="0.2">
      <c r="C356" s="550" t="s">
        <v>310</v>
      </c>
      <c r="D356">
        <f>D351*D$8</f>
        <v>0</v>
      </c>
      <c r="E356" s="550">
        <f t="shared" ref="E356:AD356" si="174">E351*E$8</f>
        <v>0</v>
      </c>
      <c r="F356" s="184">
        <f t="shared" si="174"/>
        <v>0</v>
      </c>
      <c r="G356" s="184">
        <f t="shared" si="174"/>
        <v>0</v>
      </c>
      <c r="H356" s="184">
        <f t="shared" si="174"/>
        <v>0</v>
      </c>
      <c r="I356" s="184">
        <f t="shared" si="174"/>
        <v>3528.6290300587061</v>
      </c>
      <c r="J356" s="184">
        <f t="shared" si="174"/>
        <v>3942.1479918014179</v>
      </c>
      <c r="K356" s="184">
        <f t="shared" si="174"/>
        <v>5871.9716345962215</v>
      </c>
      <c r="L356" s="184">
        <f t="shared" si="174"/>
        <v>9685.6408282615357</v>
      </c>
      <c r="M356" s="184">
        <f t="shared" si="174"/>
        <v>16798.663827799519</v>
      </c>
      <c r="N356" s="184">
        <f t="shared" si="174"/>
        <v>20529.88654103133</v>
      </c>
      <c r="O356" s="184">
        <f t="shared" si="174"/>
        <v>23917.317820301498</v>
      </c>
      <c r="P356" s="628">
        <f t="shared" si="174"/>
        <v>28805.967347668517</v>
      </c>
      <c r="Q356" s="184">
        <f t="shared" si="174"/>
        <v>27427.932001588455</v>
      </c>
      <c r="R356" s="184">
        <f t="shared" si="174"/>
        <v>30445.004521763185</v>
      </c>
      <c r="S356" s="184">
        <f t="shared" si="174"/>
        <v>35803.699948871661</v>
      </c>
      <c r="T356" s="184">
        <f t="shared" si="174"/>
        <v>38309.958945292674</v>
      </c>
      <c r="U356" s="184">
        <f t="shared" si="174"/>
        <v>40608.556482010237</v>
      </c>
      <c r="V356" s="184">
        <f t="shared" si="174"/>
        <v>44263.326565391159</v>
      </c>
      <c r="W356" s="184">
        <f t="shared" si="174"/>
        <v>48689.659221930284</v>
      </c>
      <c r="X356" s="184">
        <f t="shared" si="174"/>
        <v>51713.164876681185</v>
      </c>
      <c r="Y356" s="184">
        <f t="shared" si="174"/>
        <v>56015.70019442105</v>
      </c>
      <c r="Z356" s="184">
        <f t="shared" si="174"/>
        <v>59936.799208030527</v>
      </c>
      <c r="AA356" s="184">
        <f t="shared" si="174"/>
        <v>63533.007160512359</v>
      </c>
      <c r="AB356" s="184">
        <f t="shared" si="174"/>
        <v>67321.746480886184</v>
      </c>
      <c r="AC356" s="184">
        <f t="shared" si="174"/>
        <v>71361.051269739357</v>
      </c>
      <c r="AD356" s="184">
        <f t="shared" si="174"/>
        <v>75642.714345923727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6:AB125"/>
  <sheetViews>
    <sheetView topLeftCell="F40" workbookViewId="0">
      <selection activeCell="X94" sqref="X94"/>
    </sheetView>
  </sheetViews>
  <sheetFormatPr defaultRowHeight="12.75" x14ac:dyDescent="0.2"/>
  <cols>
    <col min="1" max="1" width="41" customWidth="1"/>
  </cols>
  <sheetData>
    <row r="26" spans="1:28" x14ac:dyDescent="0.2">
      <c r="A26" s="239" t="s">
        <v>365</v>
      </c>
    </row>
    <row r="27" spans="1:28" s="550" customFormat="1" x14ac:dyDescent="0.2">
      <c r="A27" s="239"/>
      <c r="B27" s="550">
        <v>2005</v>
      </c>
      <c r="C27" s="550">
        <v>2006</v>
      </c>
      <c r="D27" s="550">
        <v>2007</v>
      </c>
      <c r="E27" s="550">
        <v>2008</v>
      </c>
      <c r="F27" s="550">
        <v>2009</v>
      </c>
      <c r="G27" s="550">
        <v>2010</v>
      </c>
      <c r="H27" s="550">
        <v>2011</v>
      </c>
      <c r="I27" s="550">
        <v>2012</v>
      </c>
      <c r="J27" s="550">
        <v>2013</v>
      </c>
      <c r="K27" s="550">
        <v>2014</v>
      </c>
      <c r="L27" s="550">
        <v>2015</v>
      </c>
      <c r="M27" s="550">
        <v>2016</v>
      </c>
      <c r="N27" s="550">
        <v>2017</v>
      </c>
      <c r="O27" s="550">
        <v>2018</v>
      </c>
      <c r="P27" s="550">
        <v>2019</v>
      </c>
      <c r="Q27" s="550">
        <v>2020</v>
      </c>
      <c r="R27" s="550">
        <v>2021</v>
      </c>
      <c r="S27" s="550">
        <v>2022</v>
      </c>
      <c r="T27" s="550">
        <v>2023</v>
      </c>
      <c r="U27" s="550">
        <v>2024</v>
      </c>
      <c r="V27" s="550">
        <v>2025</v>
      </c>
      <c r="W27" s="550">
        <v>2026</v>
      </c>
      <c r="X27" s="550">
        <v>2027</v>
      </c>
      <c r="Y27" s="550">
        <v>2028</v>
      </c>
      <c r="Z27" s="550">
        <v>2029</v>
      </c>
      <c r="AA27" s="550">
        <v>2030</v>
      </c>
      <c r="AB27" s="550">
        <v>2031</v>
      </c>
    </row>
    <row r="28" spans="1:28" x14ac:dyDescent="0.2">
      <c r="A28" s="198" t="s">
        <v>367</v>
      </c>
      <c r="B28">
        <v>33685</v>
      </c>
      <c r="C28">
        <v>39267.4</v>
      </c>
      <c r="D28">
        <v>28636.299999999996</v>
      </c>
      <c r="E28">
        <v>38330.699999999997</v>
      </c>
      <c r="F28">
        <v>40806.9</v>
      </c>
      <c r="G28">
        <v>43739.9</v>
      </c>
      <c r="H28">
        <v>46538.5</v>
      </c>
      <c r="I28">
        <v>47619.1</v>
      </c>
      <c r="J28">
        <v>52399.3</v>
      </c>
      <c r="K28">
        <v>49472.2</v>
      </c>
      <c r="L28">
        <v>53187.7</v>
      </c>
      <c r="M28">
        <v>55572.1</v>
      </c>
      <c r="N28">
        <v>58800.3</v>
      </c>
      <c r="O28">
        <v>66754.266451000003</v>
      </c>
      <c r="P28">
        <v>74029.430366294822</v>
      </c>
      <c r="Q28">
        <v>80629.166467480856</v>
      </c>
      <c r="R28">
        <v>86498.194659850924</v>
      </c>
      <c r="S28">
        <v>92238.117693673077</v>
      </c>
      <c r="T28">
        <v>99505.781051302882</v>
      </c>
      <c r="U28">
        <v>108336.34537534126</v>
      </c>
      <c r="V28">
        <v>117630.33111453119</v>
      </c>
      <c r="W28">
        <v>127616.86558928182</v>
      </c>
      <c r="X28">
        <v>136036.30405590317</v>
      </c>
      <c r="Y28">
        <v>143663.43660224584</v>
      </c>
      <c r="Z28">
        <v>151721.43641726009</v>
      </c>
      <c r="AA28">
        <v>160234.83763967385</v>
      </c>
      <c r="AB28">
        <v>169229.58293308524</v>
      </c>
    </row>
    <row r="29" spans="1:28" x14ac:dyDescent="0.2">
      <c r="A29" s="198" t="s">
        <v>368</v>
      </c>
      <c r="B29">
        <v>33685</v>
      </c>
      <c r="C29">
        <v>36222.867948895349</v>
      </c>
      <c r="D29">
        <v>23670.279991780451</v>
      </c>
      <c r="E29">
        <v>27572.453783830766</v>
      </c>
      <c r="F29">
        <v>26668.175484013555</v>
      </c>
      <c r="G29">
        <v>25712.830126704175</v>
      </c>
      <c r="H29">
        <v>24666.854427345734</v>
      </c>
      <c r="I29">
        <v>22918.531776624513</v>
      </c>
      <c r="J29">
        <v>23102.956873831081</v>
      </c>
      <c r="K29">
        <v>19589.036901873245</v>
      </c>
      <c r="L29">
        <v>18369.147953459407</v>
      </c>
      <c r="M29">
        <v>16449.655256605256</v>
      </c>
      <c r="N29">
        <v>14831.888092894567</v>
      </c>
      <c r="O29">
        <v>14725.151005259628</v>
      </c>
      <c r="P29">
        <v>14619.481288501038</v>
      </c>
      <c r="Q29">
        <v>14514.868268910033</v>
      </c>
      <c r="R29">
        <v>14411.30137951494</v>
      </c>
      <c r="S29">
        <v>14308.770159013797</v>
      </c>
      <c r="T29">
        <v>14207.264250717666</v>
      </c>
      <c r="U29">
        <v>14106.773401504497</v>
      </c>
      <c r="V29">
        <v>14007.287460783456</v>
      </c>
      <c r="W29">
        <v>13908.796379469628</v>
      </c>
      <c r="X29">
        <v>13811.290208968936</v>
      </c>
      <c r="Y29">
        <v>13714.759100173254</v>
      </c>
      <c r="Z29">
        <v>13619.19330246553</v>
      </c>
      <c r="AA29">
        <v>13524.583162734878</v>
      </c>
      <c r="AB29">
        <v>13430.91912440154</v>
      </c>
    </row>
    <row r="30" spans="1:28" x14ac:dyDescent="0.2">
      <c r="A30" s="596" t="s">
        <v>371</v>
      </c>
      <c r="B30">
        <v>6354.72</v>
      </c>
      <c r="C30">
        <v>9348.6</v>
      </c>
      <c r="D30">
        <v>10389.6</v>
      </c>
      <c r="E30">
        <v>16236.9</v>
      </c>
      <c r="F30">
        <v>22918.6</v>
      </c>
      <c r="G30">
        <v>20244.400000000001</v>
      </c>
      <c r="H30">
        <v>20529.2</v>
      </c>
      <c r="I30">
        <v>24959.200000000001</v>
      </c>
      <c r="J30">
        <v>21364.5</v>
      </c>
      <c r="K30">
        <v>18437.3</v>
      </c>
      <c r="L30">
        <v>19685.3</v>
      </c>
      <c r="M30">
        <v>17757.099999999999</v>
      </c>
      <c r="N30">
        <v>16484.900000000001</v>
      </c>
      <c r="O30">
        <v>18850.48315</v>
      </c>
      <c r="P30">
        <v>21055.989678549999</v>
      </c>
      <c r="Q30">
        <v>23098.420677369348</v>
      </c>
      <c r="R30">
        <v>24957.843541897582</v>
      </c>
      <c r="S30">
        <v>26804.723963998007</v>
      </c>
      <c r="T30">
        <v>29123.332586883833</v>
      </c>
      <c r="U30">
        <v>31933.734181518124</v>
      </c>
      <c r="V30">
        <v>34919.538327490067</v>
      </c>
      <c r="W30">
        <v>38152.389185849097</v>
      </c>
      <c r="X30">
        <v>40956.589791008999</v>
      </c>
      <c r="Y30">
        <v>43557.333242738066</v>
      </c>
      <c r="Z30">
        <v>46323.223903651931</v>
      </c>
      <c r="AA30">
        <v>49264.748621533821</v>
      </c>
      <c r="AB30">
        <v>52393.060159001216</v>
      </c>
    </row>
    <row r="31" spans="1:28" x14ac:dyDescent="0.2">
      <c r="A31" s="596" t="s">
        <v>372</v>
      </c>
      <c r="B31">
        <v>6354.72</v>
      </c>
      <c r="C31">
        <v>8623.7719662377203</v>
      </c>
      <c r="D31">
        <v>8587.8671826528644</v>
      </c>
      <c r="E31">
        <v>11679.702558071775</v>
      </c>
      <c r="F31">
        <v>14977.791663858638</v>
      </c>
      <c r="G31">
        <v>11900.823235010826</v>
      </c>
      <c r="H31">
        <v>10881.115375653835</v>
      </c>
      <c r="I31">
        <v>12012.57937086435</v>
      </c>
      <c r="J31">
        <v>9419.6510665402802</v>
      </c>
      <c r="K31">
        <v>7300.4424721542118</v>
      </c>
      <c r="L31">
        <v>6798.6054709685595</v>
      </c>
      <c r="M31">
        <v>5256.2018235241276</v>
      </c>
      <c r="N31">
        <v>4158.1793294006602</v>
      </c>
      <c r="O31">
        <v>4158.1793294006602</v>
      </c>
      <c r="P31">
        <v>4158.1793294006602</v>
      </c>
      <c r="Q31">
        <v>4158.1793294006602</v>
      </c>
      <c r="R31">
        <v>4158.1793294006602</v>
      </c>
      <c r="S31">
        <v>4158.1793294006602</v>
      </c>
      <c r="T31">
        <v>4158.1793294006602</v>
      </c>
      <c r="U31">
        <v>4158.1793294006602</v>
      </c>
      <c r="V31">
        <v>4158.1793294006602</v>
      </c>
      <c r="W31">
        <v>4158.1793294006602</v>
      </c>
      <c r="X31">
        <v>4158.1793294006602</v>
      </c>
      <c r="Y31">
        <v>4158.1793294006602</v>
      </c>
      <c r="Z31">
        <v>4158.1793294006602</v>
      </c>
      <c r="AA31">
        <v>4158.1793294006602</v>
      </c>
      <c r="AB31">
        <v>4158.1793294006602</v>
      </c>
    </row>
    <row r="58" spans="1:28" s="550" customFormat="1" x14ac:dyDescent="0.2">
      <c r="A58" s="239" t="s">
        <v>366</v>
      </c>
    </row>
    <row r="59" spans="1:28" s="550" customFormat="1" x14ac:dyDescent="0.2">
      <c r="A59" s="239"/>
      <c r="B59" s="550">
        <v>2005</v>
      </c>
      <c r="C59" s="550">
        <v>2006</v>
      </c>
      <c r="D59" s="550">
        <v>2007</v>
      </c>
      <c r="E59" s="550">
        <v>2008</v>
      </c>
      <c r="F59" s="550">
        <v>2009</v>
      </c>
      <c r="G59" s="550">
        <v>2010</v>
      </c>
      <c r="H59" s="550">
        <v>2011</v>
      </c>
      <c r="I59" s="550">
        <v>2012</v>
      </c>
      <c r="J59" s="550">
        <v>2013</v>
      </c>
      <c r="K59" s="550">
        <v>2014</v>
      </c>
      <c r="L59" s="550">
        <v>2015</v>
      </c>
      <c r="M59" s="550">
        <v>2016</v>
      </c>
      <c r="N59" s="550">
        <v>2017</v>
      </c>
      <c r="O59" s="550">
        <v>2018</v>
      </c>
      <c r="P59" s="550">
        <v>2019</v>
      </c>
      <c r="Q59" s="550">
        <v>2020</v>
      </c>
      <c r="R59" s="550">
        <v>2021</v>
      </c>
      <c r="S59" s="550">
        <v>2022</v>
      </c>
      <c r="T59" s="550">
        <v>2023</v>
      </c>
      <c r="U59" s="550">
        <v>2024</v>
      </c>
      <c r="V59" s="550">
        <v>2025</v>
      </c>
      <c r="W59" s="550">
        <v>2026</v>
      </c>
      <c r="X59" s="550">
        <v>2027</v>
      </c>
      <c r="Y59" s="550">
        <v>2028</v>
      </c>
      <c r="Z59" s="550">
        <v>2029</v>
      </c>
      <c r="AA59" s="550">
        <v>2030</v>
      </c>
      <c r="AB59" s="550">
        <v>2031</v>
      </c>
    </row>
    <row r="60" spans="1:28" s="550" customFormat="1" x14ac:dyDescent="0.2">
      <c r="A60" s="198" t="s">
        <v>367</v>
      </c>
      <c r="B60" s="550">
        <v>33685</v>
      </c>
      <c r="C60" s="550">
        <v>39267.4</v>
      </c>
      <c r="D60" s="550">
        <v>28636.299999999996</v>
      </c>
      <c r="E60" s="550">
        <v>38330.699999999997</v>
      </c>
      <c r="F60" s="550">
        <v>40806.9</v>
      </c>
      <c r="G60" s="550">
        <v>43995.063860519032</v>
      </c>
      <c r="H60" s="550">
        <v>46821.502237701658</v>
      </c>
      <c r="I60" s="550">
        <v>48187.158288676175</v>
      </c>
      <c r="J60" s="550">
        <v>54022.349358260173</v>
      </c>
      <c r="K60" s="550">
        <v>53603.844833261275</v>
      </c>
      <c r="L60" s="550">
        <v>60914.023547354154</v>
      </c>
      <c r="M60" s="550">
        <v>66800.850894526026</v>
      </c>
      <c r="N60" s="550">
        <v>74881.160209366353</v>
      </c>
      <c r="O60" s="550">
        <v>130241.52427246665</v>
      </c>
      <c r="P60" s="550">
        <v>220673.99121010833</v>
      </c>
      <c r="Q60" s="550">
        <v>283406.42243398039</v>
      </c>
      <c r="R60" s="550">
        <v>265324.12426869996</v>
      </c>
      <c r="S60" s="550">
        <v>244771.88222245485</v>
      </c>
      <c r="T60" s="550">
        <v>235362.54477710539</v>
      </c>
      <c r="U60" s="550">
        <v>254524.35786269832</v>
      </c>
      <c r="V60" s="550">
        <v>302311.54790418968</v>
      </c>
      <c r="W60" s="550">
        <v>395400.37737487361</v>
      </c>
      <c r="X60" s="550">
        <v>510994.27023642545</v>
      </c>
      <c r="Y60" s="550">
        <v>630475.34381197556</v>
      </c>
      <c r="Z60" s="550">
        <v>738481.35735108901</v>
      </c>
      <c r="AA60" s="550">
        <v>786799.89081573859</v>
      </c>
      <c r="AB60" s="550">
        <v>838292.29110416654</v>
      </c>
    </row>
    <row r="61" spans="1:28" x14ac:dyDescent="0.2">
      <c r="A61" s="198" t="s">
        <v>368</v>
      </c>
      <c r="B61">
        <v>33685</v>
      </c>
      <c r="C61">
        <v>36222.867948895349</v>
      </c>
      <c r="D61">
        <v>23670.279991780451</v>
      </c>
      <c r="E61">
        <v>27572.453783830766</v>
      </c>
      <c r="F61">
        <v>26668.175484013555</v>
      </c>
      <c r="G61">
        <v>25862.830126704172</v>
      </c>
      <c r="H61">
        <v>24816.85442734573</v>
      </c>
      <c r="I61">
        <v>23191.931776624511</v>
      </c>
      <c r="J61">
        <v>23818.562603830986</v>
      </c>
      <c r="K61">
        <v>21225.005043661749</v>
      </c>
      <c r="L61">
        <v>21037.54648127027</v>
      </c>
      <c r="M61">
        <v>19773.428898005364</v>
      </c>
      <c r="N61">
        <v>18888.151735474668</v>
      </c>
      <c r="O61">
        <v>28729.641025641573</v>
      </c>
      <c r="P61">
        <v>43579.145069632526</v>
      </c>
      <c r="Q61">
        <v>51018.84427704438</v>
      </c>
      <c r="R61">
        <v>44205.152872016013</v>
      </c>
      <c r="S61">
        <v>37971.119659465279</v>
      </c>
      <c r="T61">
        <v>33604.659277491519</v>
      </c>
      <c r="U61">
        <v>33142.316450613558</v>
      </c>
      <c r="V61">
        <v>35998.918936013142</v>
      </c>
      <c r="W61">
        <v>43094.17342196859</v>
      </c>
      <c r="X61">
        <v>51879.461224228377</v>
      </c>
      <c r="Y61">
        <v>60188.017657688273</v>
      </c>
      <c r="Z61">
        <v>66289.382657646944</v>
      </c>
      <c r="AA61">
        <v>66409.656679637395</v>
      </c>
      <c r="AB61">
        <v>66531.133441847735</v>
      </c>
    </row>
    <row r="62" spans="1:28" x14ac:dyDescent="0.2">
      <c r="A62" s="198" t="s">
        <v>371</v>
      </c>
      <c r="B62">
        <v>6354.72</v>
      </c>
      <c r="C62">
        <v>9348.6</v>
      </c>
      <c r="D62">
        <v>10389.6</v>
      </c>
      <c r="E62">
        <v>16236.9</v>
      </c>
      <c r="F62">
        <v>22918.6</v>
      </c>
      <c r="G62">
        <v>20244.400000000001</v>
      </c>
      <c r="H62">
        <v>20529.2</v>
      </c>
      <c r="I62">
        <v>24959.200000000001</v>
      </c>
      <c r="J62">
        <v>21364.5</v>
      </c>
      <c r="K62">
        <v>18437.3</v>
      </c>
      <c r="L62">
        <v>19685.3</v>
      </c>
      <c r="M62">
        <v>17757.099999999999</v>
      </c>
      <c r="N62">
        <v>16484.900000000001</v>
      </c>
      <c r="O62">
        <v>18661.978318500001</v>
      </c>
      <c r="P62">
        <v>20636.975483946855</v>
      </c>
      <c r="Q62">
        <v>22412.374484830805</v>
      </c>
      <c r="R62">
        <v>23974.404924551091</v>
      </c>
      <c r="S62">
        <v>25491.025780078191</v>
      </c>
      <c r="T62">
        <v>27419.039514954406</v>
      </c>
      <c r="U62">
        <v>29764.327059866031</v>
      </c>
      <c r="V62">
        <v>32221.818723563869</v>
      </c>
      <c r="W62">
        <v>34852.865553981494</v>
      </c>
      <c r="X62">
        <v>37040.405660477139</v>
      </c>
      <c r="Y62">
        <v>38998.546705718261</v>
      </c>
      <c r="Z62">
        <v>41060.204877316057</v>
      </c>
      <c r="AA62">
        <v>43230.852608155365</v>
      </c>
      <c r="AB62">
        <v>45516.251631285493</v>
      </c>
    </row>
    <row r="63" spans="1:28" x14ac:dyDescent="0.2">
      <c r="A63" s="198" t="s">
        <v>372</v>
      </c>
      <c r="B63">
        <v>6354.72</v>
      </c>
      <c r="C63">
        <v>8623.7719662377203</v>
      </c>
      <c r="D63">
        <v>8587.8671826528644</v>
      </c>
      <c r="E63">
        <v>11679.702558071775</v>
      </c>
      <c r="F63">
        <v>14977.791663858638</v>
      </c>
      <c r="G63">
        <v>11900.823235010826</v>
      </c>
      <c r="H63">
        <v>10881.115375653835</v>
      </c>
      <c r="I63">
        <v>12012.57937086435</v>
      </c>
      <c r="J63">
        <v>9419.6510665402802</v>
      </c>
      <c r="K63">
        <v>7300.4424721542118</v>
      </c>
      <c r="L63">
        <v>6798.6054709685595</v>
      </c>
      <c r="M63">
        <v>5256.2018235241276</v>
      </c>
      <c r="N63">
        <v>4158.1793294006602</v>
      </c>
      <c r="O63">
        <v>4116.5975361066539</v>
      </c>
      <c r="P63">
        <v>4075.4315607455874</v>
      </c>
      <c r="Q63">
        <v>4034.6772451381316</v>
      </c>
      <c r="R63">
        <v>3994.3304726867509</v>
      </c>
      <c r="S63">
        <v>3954.3871679598824</v>
      </c>
      <c r="T63">
        <v>3914.843296280284</v>
      </c>
      <c r="U63">
        <v>3875.6948633174811</v>
      </c>
      <c r="V63">
        <v>3836.9379146843062</v>
      </c>
      <c r="W63">
        <v>3798.568535537463</v>
      </c>
      <c r="X63">
        <v>3760.5828501820884</v>
      </c>
      <c r="Y63">
        <v>3722.9770216802676</v>
      </c>
      <c r="Z63">
        <v>3685.7472514634655</v>
      </c>
      <c r="AA63">
        <v>3648.8897789488306</v>
      </c>
      <c r="AB63">
        <v>3612.4008811593421</v>
      </c>
    </row>
    <row r="90" spans="1:28" x14ac:dyDescent="0.2">
      <c r="A90" s="239" t="s">
        <v>369</v>
      </c>
    </row>
    <row r="91" spans="1:28" x14ac:dyDescent="0.2">
      <c r="B91">
        <v>2005</v>
      </c>
      <c r="C91">
        <v>2006</v>
      </c>
      <c r="D91">
        <v>2007</v>
      </c>
      <c r="E91">
        <v>2008</v>
      </c>
      <c r="F91">
        <v>2009</v>
      </c>
      <c r="G91">
        <v>2010</v>
      </c>
      <c r="H91">
        <v>2011</v>
      </c>
      <c r="I91">
        <v>2012</v>
      </c>
      <c r="J91">
        <v>2013</v>
      </c>
      <c r="K91">
        <v>2014</v>
      </c>
      <c r="L91">
        <v>2015</v>
      </c>
      <c r="M91">
        <v>2016</v>
      </c>
      <c r="N91">
        <v>2017</v>
      </c>
      <c r="O91">
        <v>2018</v>
      </c>
      <c r="P91">
        <v>2019</v>
      </c>
      <c r="Q91">
        <v>2020</v>
      </c>
      <c r="R91">
        <v>2021</v>
      </c>
      <c r="S91">
        <v>2022</v>
      </c>
      <c r="T91">
        <v>2023</v>
      </c>
      <c r="U91">
        <v>2024</v>
      </c>
      <c r="V91">
        <v>2025</v>
      </c>
      <c r="W91">
        <v>2026</v>
      </c>
      <c r="X91">
        <v>2027</v>
      </c>
      <c r="Y91">
        <v>2028</v>
      </c>
      <c r="Z91">
        <v>2029</v>
      </c>
      <c r="AA91">
        <v>2030</v>
      </c>
      <c r="AB91">
        <v>2031</v>
      </c>
    </row>
    <row r="92" spans="1:28" x14ac:dyDescent="0.2">
      <c r="A92" t="s">
        <v>367</v>
      </c>
      <c r="B92">
        <v>33685</v>
      </c>
      <c r="C92">
        <v>39267.4</v>
      </c>
      <c r="D92">
        <v>28636.299999999996</v>
      </c>
      <c r="E92">
        <v>38330.699999999997</v>
      </c>
      <c r="F92">
        <v>40806.9</v>
      </c>
      <c r="G92">
        <v>51143.702175060273</v>
      </c>
      <c r="H92">
        <v>54750.056992359343</v>
      </c>
      <c r="I92">
        <v>56662.282426760532</v>
      </c>
      <c r="J92">
        <v>62270.837937051809</v>
      </c>
      <c r="K92">
        <v>60464.157492907179</v>
      </c>
      <c r="L92">
        <v>65789.97926561808</v>
      </c>
      <c r="M92">
        <v>70275.809333159908</v>
      </c>
      <c r="N92">
        <v>76055.102902463143</v>
      </c>
      <c r="O92">
        <v>87936.76336696661</v>
      </c>
      <c r="P92">
        <v>99327.964609511022</v>
      </c>
      <c r="Q92">
        <v>110196.52034075171</v>
      </c>
      <c r="R92">
        <v>120427.06090678844</v>
      </c>
      <c r="S92">
        <v>130828.21022289032</v>
      </c>
      <c r="T92">
        <v>143795.61086730787</v>
      </c>
      <c r="U92">
        <v>159518.14733743476</v>
      </c>
      <c r="V92">
        <v>176492.35715358911</v>
      </c>
      <c r="W92">
        <v>195126.92738347256</v>
      </c>
      <c r="X92">
        <v>211981.61174496525</v>
      </c>
      <c r="Y92">
        <v>228168.31402478088</v>
      </c>
      <c r="Z92">
        <v>245613.94389367089</v>
      </c>
      <c r="AA92">
        <v>264418.03122649877</v>
      </c>
      <c r="AB92">
        <v>229848.08588067509</v>
      </c>
    </row>
    <row r="93" spans="1:28" x14ac:dyDescent="0.2">
      <c r="A93" t="s">
        <v>368</v>
      </c>
      <c r="B93">
        <v>33685</v>
      </c>
      <c r="C93">
        <v>36222.867948895349</v>
      </c>
      <c r="D93">
        <v>23670.279991780451</v>
      </c>
      <c r="E93">
        <v>27572.453783830766</v>
      </c>
      <c r="F93">
        <v>26668.175484013555</v>
      </c>
      <c r="G93">
        <v>30065.211079085126</v>
      </c>
      <c r="H93">
        <v>29019.235379726684</v>
      </c>
      <c r="I93">
        <v>27270.912729005464</v>
      </c>
      <c r="J93">
        <v>27455.337826212035</v>
      </c>
      <c r="K93">
        <v>23941.417854254199</v>
      </c>
      <c r="L93">
        <v>22721.528905840358</v>
      </c>
      <c r="M93">
        <v>20802.03620898621</v>
      </c>
      <c r="N93">
        <v>19184.26904527552</v>
      </c>
      <c r="O93">
        <v>19397.743220545399</v>
      </c>
      <c r="P93">
        <v>19615.486879320677</v>
      </c>
      <c r="Q93">
        <v>19837.585411271459</v>
      </c>
      <c r="R93">
        <v>20064.125913861251</v>
      </c>
      <c r="S93">
        <v>20295.197226502845</v>
      </c>
      <c r="T93">
        <v>20530.889965397266</v>
      </c>
      <c r="U93">
        <v>20771.296559069582</v>
      </c>
      <c r="V93">
        <v>21016.511284615342</v>
      </c>
      <c r="W93">
        <v>21266.630304672017</v>
      </c>
      <c r="X93">
        <v>21521.751705129824</v>
      </c>
      <c r="Y93">
        <v>21781.975533596789</v>
      </c>
      <c r="Z93">
        <v>22047.403838633094</v>
      </c>
      <c r="AA93">
        <v>22318.140709770123</v>
      </c>
      <c r="AB93">
        <v>18241.911365948941</v>
      </c>
    </row>
    <row r="94" spans="1:28" x14ac:dyDescent="0.2">
      <c r="A94" s="198" t="s">
        <v>371</v>
      </c>
      <c r="B94">
        <v>6354.72</v>
      </c>
      <c r="C94">
        <v>9348.6</v>
      </c>
      <c r="D94">
        <v>10389.6</v>
      </c>
      <c r="E94">
        <v>16236.9</v>
      </c>
      <c r="F94">
        <v>22918.6</v>
      </c>
      <c r="G94">
        <v>20244.400000000001</v>
      </c>
      <c r="H94">
        <v>20529.2</v>
      </c>
      <c r="I94">
        <v>24959.200000000001</v>
      </c>
      <c r="J94">
        <v>21364.5</v>
      </c>
      <c r="K94">
        <v>18437.3</v>
      </c>
      <c r="L94">
        <v>19685.3</v>
      </c>
      <c r="M94">
        <v>17757.099999999999</v>
      </c>
      <c r="N94">
        <v>16484.900000000001</v>
      </c>
      <c r="O94">
        <v>18661.978318500001</v>
      </c>
      <c r="P94">
        <v>20636.975483946855</v>
      </c>
      <c r="Q94">
        <v>22412.374484830805</v>
      </c>
      <c r="R94">
        <v>23974.404924551091</v>
      </c>
      <c r="S94">
        <v>25491.025780078191</v>
      </c>
      <c r="T94">
        <v>27419.039514954406</v>
      </c>
      <c r="U94">
        <v>29764.327059866031</v>
      </c>
      <c r="V94">
        <v>32221.818723563869</v>
      </c>
      <c r="W94">
        <v>34852.865553981494</v>
      </c>
      <c r="X94">
        <v>37040.405660477139</v>
      </c>
      <c r="Y94">
        <v>38998.546705718261</v>
      </c>
      <c r="Z94">
        <v>41060.204877316057</v>
      </c>
      <c r="AA94">
        <v>43230.852608155365</v>
      </c>
      <c r="AB94">
        <v>45516.251631285493</v>
      </c>
    </row>
    <row r="95" spans="1:28" x14ac:dyDescent="0.2">
      <c r="A95" s="198" t="s">
        <v>372</v>
      </c>
      <c r="B95">
        <v>6354.72</v>
      </c>
      <c r="C95">
        <v>8623.7719662377203</v>
      </c>
      <c r="D95">
        <v>8587.8671826528644</v>
      </c>
      <c r="E95">
        <v>11679.702558071775</v>
      </c>
      <c r="F95">
        <v>14977.791663858638</v>
      </c>
      <c r="G95">
        <v>11900.823235010826</v>
      </c>
      <c r="H95">
        <v>10881.115375653835</v>
      </c>
      <c r="I95">
        <v>12012.57937086435</v>
      </c>
      <c r="J95">
        <v>9419.6510665402802</v>
      </c>
      <c r="K95">
        <v>7300.4424721542118</v>
      </c>
      <c r="L95">
        <v>6798.6054709685595</v>
      </c>
      <c r="M95">
        <v>5256.2018235241276</v>
      </c>
      <c r="N95">
        <v>4158.1793294006602</v>
      </c>
      <c r="O95">
        <v>4116.5975361066539</v>
      </c>
      <c r="P95">
        <v>4075.4315607455874</v>
      </c>
      <c r="Q95">
        <v>4034.6772451381316</v>
      </c>
      <c r="R95">
        <v>3994.3304726867509</v>
      </c>
      <c r="S95">
        <v>3954.3871679598824</v>
      </c>
      <c r="T95">
        <v>3914.843296280284</v>
      </c>
      <c r="U95">
        <v>3875.6948633174811</v>
      </c>
      <c r="V95">
        <v>3836.9379146843062</v>
      </c>
      <c r="W95">
        <v>3798.568535537463</v>
      </c>
      <c r="X95">
        <v>3760.5828501820884</v>
      </c>
      <c r="Y95">
        <v>3722.9770216802676</v>
      </c>
      <c r="Z95">
        <v>3685.7472514634655</v>
      </c>
      <c r="AA95">
        <v>3648.8897789488306</v>
      </c>
      <c r="AB95">
        <v>3612.4008811593421</v>
      </c>
    </row>
    <row r="122" spans="1:28" x14ac:dyDescent="0.2">
      <c r="A122" s="239" t="s">
        <v>369</v>
      </c>
    </row>
    <row r="123" spans="1:28" x14ac:dyDescent="0.2">
      <c r="B123">
        <v>2005</v>
      </c>
      <c r="C123">
        <v>2006</v>
      </c>
      <c r="D123">
        <v>2007</v>
      </c>
      <c r="E123">
        <v>2008</v>
      </c>
      <c r="F123">
        <v>2009</v>
      </c>
      <c r="G123">
        <v>2010</v>
      </c>
      <c r="H123">
        <v>2011</v>
      </c>
      <c r="I123">
        <v>2012</v>
      </c>
      <c r="J123">
        <v>2013</v>
      </c>
      <c r="K123">
        <v>2014</v>
      </c>
      <c r="L123">
        <v>2015</v>
      </c>
      <c r="M123">
        <v>2016</v>
      </c>
      <c r="N123">
        <v>2017</v>
      </c>
      <c r="O123">
        <v>2018</v>
      </c>
      <c r="P123">
        <v>2019</v>
      </c>
      <c r="Q123">
        <v>2020</v>
      </c>
      <c r="R123">
        <v>2021</v>
      </c>
      <c r="S123">
        <v>2022</v>
      </c>
      <c r="T123">
        <v>2023</v>
      </c>
      <c r="U123">
        <v>2024</v>
      </c>
      <c r="V123">
        <v>2025</v>
      </c>
      <c r="W123">
        <v>2026</v>
      </c>
      <c r="X123">
        <v>2027</v>
      </c>
      <c r="Y123">
        <v>2028</v>
      </c>
      <c r="Z123">
        <v>2029</v>
      </c>
      <c r="AA123">
        <v>2030</v>
      </c>
      <c r="AB123">
        <v>2031</v>
      </c>
    </row>
    <row r="124" spans="1:28" x14ac:dyDescent="0.2">
      <c r="A124" t="s">
        <v>367</v>
      </c>
      <c r="B124">
        <v>33685</v>
      </c>
      <c r="C124">
        <v>39267.4</v>
      </c>
      <c r="D124">
        <v>28636.299999999996</v>
      </c>
      <c r="E124">
        <v>51036.953884645198</v>
      </c>
      <c r="F124">
        <v>54792.673650828976</v>
      </c>
      <c r="G124">
        <v>59287.88456762657</v>
      </c>
      <c r="H124">
        <v>63782.769683954626</v>
      </c>
      <c r="I124">
        <v>66609.783096197134</v>
      </c>
      <c r="J124">
        <v>73129.529667808791</v>
      </c>
      <c r="K124">
        <v>72555.310735105086</v>
      </c>
      <c r="L124">
        <v>79652.486457797975</v>
      </c>
      <c r="M124">
        <v>86449.88959963579</v>
      </c>
      <c r="N124">
        <v>95035.386095172609</v>
      </c>
      <c r="O124">
        <v>67722.019649000009</v>
      </c>
      <c r="P124">
        <v>76191.39101062683</v>
      </c>
      <c r="Q124">
        <v>84186.791291270521</v>
      </c>
      <c r="R124">
        <v>91623.887834701018</v>
      </c>
      <c r="S124">
        <v>99120.048850173611</v>
      </c>
      <c r="T124">
        <v>108479.6390806019</v>
      </c>
      <c r="U124">
        <v>119818.06615258362</v>
      </c>
      <c r="V124">
        <v>131982.07050795376</v>
      </c>
      <c r="W124">
        <v>145261.45640967746</v>
      </c>
      <c r="X124">
        <v>157087.98929243651</v>
      </c>
      <c r="Y124">
        <v>168298.13404620392</v>
      </c>
      <c r="Z124">
        <v>180311.6839746827</v>
      </c>
      <c r="AA124">
        <v>193186.44317993044</v>
      </c>
      <c r="AB124">
        <v>206984.38954348455</v>
      </c>
    </row>
    <row r="125" spans="1:28" x14ac:dyDescent="0.2">
      <c r="A125" t="s">
        <v>368</v>
      </c>
      <c r="B125">
        <v>33685</v>
      </c>
      <c r="C125">
        <v>36222.867948895349</v>
      </c>
      <c r="D125">
        <v>23670.279991780451</v>
      </c>
      <c r="E125">
        <v>36712.453783830766</v>
      </c>
      <c r="F125">
        <v>35808.175484013555</v>
      </c>
      <c r="G125">
        <v>34852.830126704175</v>
      </c>
      <c r="H125">
        <v>33806.85442734573</v>
      </c>
      <c r="I125">
        <v>32058.531776624513</v>
      </c>
      <c r="J125">
        <v>32242.956873831081</v>
      </c>
      <c r="K125">
        <v>28729.036901873249</v>
      </c>
      <c r="L125">
        <v>27509.147953459407</v>
      </c>
      <c r="M125">
        <v>25589.655256605256</v>
      </c>
      <c r="N125">
        <v>23971.888092894569</v>
      </c>
      <c r="O125">
        <v>14938.625180529507</v>
      </c>
      <c r="P125">
        <v>15046.429639040796</v>
      </c>
      <c r="Q125">
        <v>15155.312142137198</v>
      </c>
      <c r="R125">
        <v>15265.283470264565</v>
      </c>
      <c r="S125">
        <v>15376.354511673204</v>
      </c>
      <c r="T125">
        <v>15488.536263495926</v>
      </c>
      <c r="U125">
        <v>15601.83983283688</v>
      </c>
      <c r="V125">
        <v>15716.27643787124</v>
      </c>
      <c r="W125">
        <v>15831.85740895595</v>
      </c>
      <c r="X125">
        <v>15948.594189751499</v>
      </c>
      <c r="Y125">
        <v>16066.498338355012</v>
      </c>
      <c r="Z125">
        <v>16185.581528444554</v>
      </c>
      <c r="AA125">
        <v>16305.855550434993</v>
      </c>
      <c r="AB125">
        <v>16427.332312645336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3"/>
  <dimension ref="A2:E16"/>
  <sheetViews>
    <sheetView workbookViewId="0">
      <selection activeCell="O17" sqref="O17"/>
    </sheetView>
  </sheetViews>
  <sheetFormatPr defaultRowHeight="12.75" x14ac:dyDescent="0.2"/>
  <cols>
    <col min="1" max="1" width="15.85546875" customWidth="1"/>
    <col min="4" max="4" width="11.7109375" customWidth="1"/>
  </cols>
  <sheetData>
    <row r="2" spans="1:5" x14ac:dyDescent="0.2">
      <c r="A2" t="s">
        <v>41</v>
      </c>
    </row>
    <row r="3" spans="1:5" x14ac:dyDescent="0.2">
      <c r="B3" s="174" t="s">
        <v>40</v>
      </c>
    </row>
    <row r="7" spans="1:5" x14ac:dyDescent="0.2">
      <c r="B7" t="s">
        <v>45</v>
      </c>
    </row>
    <row r="8" spans="1:5" x14ac:dyDescent="0.2">
      <c r="B8" t="s">
        <v>42</v>
      </c>
    </row>
    <row r="9" spans="1:5" x14ac:dyDescent="0.2">
      <c r="B9" t="s">
        <v>163</v>
      </c>
    </row>
    <row r="10" spans="1:5" x14ac:dyDescent="0.2">
      <c r="B10" s="313">
        <v>85</v>
      </c>
      <c r="C10" t="s">
        <v>44</v>
      </c>
    </row>
    <row r="12" spans="1:5" x14ac:dyDescent="0.2">
      <c r="A12" t="s">
        <v>164</v>
      </c>
      <c r="B12" s="6"/>
    </row>
    <row r="14" spans="1:5" ht="13.5" thickBot="1" x14ac:dyDescent="0.25">
      <c r="B14" s="174" t="s">
        <v>83</v>
      </c>
    </row>
    <row r="15" spans="1:5" x14ac:dyDescent="0.2">
      <c r="B15" t="s">
        <v>80</v>
      </c>
      <c r="E15" s="242">
        <v>0.65</v>
      </c>
    </row>
    <row r="16" spans="1:5" ht="13.5" thickBot="1" x14ac:dyDescent="0.25">
      <c r="B16" t="s">
        <v>81</v>
      </c>
      <c r="E16" s="243">
        <f>1-E15</f>
        <v>0.35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85</vt:i4>
      </vt:variant>
    </vt:vector>
  </HeadingPairs>
  <TitlesOfParts>
    <vt:vector size="102" baseType="lpstr">
      <vt:lpstr>Справка</vt:lpstr>
      <vt:lpstr>Комментарии</vt:lpstr>
      <vt:lpstr>НачСост_НС_БД </vt:lpstr>
      <vt:lpstr>ГрСцЭкс</vt:lpstr>
      <vt:lpstr>Графики(МОИТ)</vt:lpstr>
      <vt:lpstr>МОИТ 2</vt:lpstr>
      <vt:lpstr>интерфейс</vt:lpstr>
      <vt:lpstr>Графики-2</vt:lpstr>
      <vt:lpstr>гипотезы</vt:lpstr>
      <vt:lpstr>Сценарии</vt:lpstr>
      <vt:lpstr>Графики-1</vt:lpstr>
      <vt:lpstr>индексы_цен</vt:lpstr>
      <vt:lpstr>КраевойБюджет</vt:lpstr>
      <vt:lpstr>модель внешнего мира</vt:lpstr>
      <vt:lpstr>Демография</vt:lpstr>
      <vt:lpstr>Лист1</vt:lpstr>
      <vt:lpstr>Лист2</vt:lpstr>
      <vt:lpstr>bamonepr</vt:lpstr>
      <vt:lpstr>baplata</vt:lpstr>
      <vt:lpstr>BazZpNS</vt:lpstr>
      <vt:lpstr>demograf</vt:lpstr>
      <vt:lpstr>DohodKBneS</vt:lpstr>
      <vt:lpstr>DohodKBnewEk</vt:lpstr>
      <vt:lpstr>DoliRashKB</vt:lpstr>
      <vt:lpstr>explzaNS</vt:lpstr>
      <vt:lpstr>explzans_fact</vt:lpstr>
      <vt:lpstr>explzans_fact_1</vt:lpstr>
      <vt:lpstr>Gipoteza_Zdrav_zan</vt:lpstr>
      <vt:lpstr>infl</vt:lpstr>
      <vt:lpstr>infl_ind</vt:lpstr>
      <vt:lpstr>infltpotrebs</vt:lpstr>
      <vt:lpstr>KoefRostTarif</vt:lpstr>
      <vt:lpstr>KoefRostTarif_1</vt:lpstr>
      <vt:lpstr>KoefRostTarif_2</vt:lpstr>
      <vt:lpstr>KoefRostTarif_3</vt:lpstr>
      <vt:lpstr>KoefRostTarif_4</vt:lpstr>
      <vt:lpstr>KoefRostTarif_5</vt:lpstr>
      <vt:lpstr>KoefRostTarif_6</vt:lpstr>
      <vt:lpstr>KoefRostTarif_7</vt:lpstr>
      <vt:lpstr>KoefRostZarPlat_2</vt:lpstr>
      <vt:lpstr>KoefRostZarPlat_3</vt:lpstr>
      <vt:lpstr>KoefRostZarPlat_4</vt:lpstr>
      <vt:lpstr>KoefRostZarPlat_5</vt:lpstr>
      <vt:lpstr>KoefRostZarPlat_6</vt:lpstr>
      <vt:lpstr>KoefRostZarPlat_7</vt:lpstr>
      <vt:lpstr>KumIndBud</vt:lpstr>
      <vt:lpstr>KumIndPotrS</vt:lpstr>
      <vt:lpstr>KumIndPPP</vt:lpstr>
      <vt:lpstr>NeobhBaKVLEdMosh</vt:lpstr>
      <vt:lpstr>NOTRNEPR</vt:lpstr>
      <vt:lpstr>ObExplZAGKH</vt:lpstr>
      <vt:lpstr>OsDanGKH</vt:lpstr>
      <vt:lpstr>platanas</vt:lpstr>
      <vt:lpstr>PrDohNasREMinNS</vt:lpstr>
      <vt:lpstr>priemSht</vt:lpstr>
      <vt:lpstr>PrognozKBTek</vt:lpstr>
      <vt:lpstr>PrognozKBtek_Scenarii</vt:lpstr>
      <vt:lpstr>RashKB</vt:lpstr>
      <vt:lpstr>RashodKBnaNS</vt:lpstr>
      <vt:lpstr>ScenBudDohSop</vt:lpstr>
      <vt:lpstr>ScenBudDohTek</vt:lpstr>
      <vt:lpstr>ScenDoliFB</vt:lpstr>
      <vt:lpstr>ScenDoliNS</vt:lpstr>
      <vt:lpstr>ScenDoliSocTrans</vt:lpstr>
      <vt:lpstr>ScenInflPotrS</vt:lpstr>
      <vt:lpstr>ScenInflPPP</vt:lpstr>
      <vt:lpstr>scenSoctransf</vt:lpstr>
      <vt:lpstr>ScenSocTransFB</vt:lpstr>
      <vt:lpstr>ScenSocTransKB</vt:lpstr>
      <vt:lpstr>ScenTempRostDohBud</vt:lpstr>
      <vt:lpstr>ScenTempRostTarif_1</vt:lpstr>
      <vt:lpstr>ScenTempRostTarif_2</vt:lpstr>
      <vt:lpstr>ScenTempRostTarif_3</vt:lpstr>
      <vt:lpstr>ScenTempRostTarif_4</vt:lpstr>
      <vt:lpstr>ScenTempRostTarif_5</vt:lpstr>
      <vt:lpstr>ScenTempRostTarif_6</vt:lpstr>
      <vt:lpstr>ScenTempRostTarif_7</vt:lpstr>
      <vt:lpstr>ScenTempRostZarPl_2</vt:lpstr>
      <vt:lpstr>ScenTempRostZarPl_3</vt:lpstr>
      <vt:lpstr>ScenTempRostZarPl_4</vt:lpstr>
      <vt:lpstr>ScenTempRostZarPl_5</vt:lpstr>
      <vt:lpstr>ScenTempRostZarPl_6</vt:lpstr>
      <vt:lpstr>ScenTempRostZarPl_7</vt:lpstr>
      <vt:lpstr>ScenVvodGKHNaselen</vt:lpstr>
      <vt:lpstr>ScMacroSP</vt:lpstr>
      <vt:lpstr>sdvig</vt:lpstr>
      <vt:lpstr>SobDohSopost</vt:lpstr>
      <vt:lpstr>SpecNormNalogIm</vt:lpstr>
      <vt:lpstr>spotrnepr</vt:lpstr>
      <vt:lpstr>startUPN</vt:lpstr>
      <vt:lpstr>stavkapodna</vt:lpstr>
      <vt:lpstr>TempVibChGF</vt:lpstr>
      <vt:lpstr>TransFB1</vt:lpstr>
      <vt:lpstr>TransFB2</vt:lpstr>
      <vt:lpstr>TrudZa</vt:lpstr>
      <vt:lpstr>Unaltrudbaz</vt:lpstr>
      <vt:lpstr>vibofnepr_NORM</vt:lpstr>
      <vt:lpstr>vibofnepr_NULL</vt:lpstr>
      <vt:lpstr>VVODNMBUD</vt:lpstr>
      <vt:lpstr>VVODNMNAS</vt:lpstr>
      <vt:lpstr>ZPREMinNSSopost</vt:lpstr>
      <vt:lpstr>ZPREMinNSTek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2020-05-27T08:27:27Z</dcterms:modified>
</cp:coreProperties>
</file>