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fik Azimatussyifa\Documents\"/>
    </mc:Choice>
  </mc:AlternateContent>
  <xr:revisionPtr revIDLastSave="0" documentId="13_ncr:1_{35FD547E-E275-46B2-88DF-EDFB18E05713}" xr6:coauthVersionLast="47" xr6:coauthVersionMax="47" xr10:uidLastSave="{00000000-0000-0000-0000-000000000000}"/>
  <bookViews>
    <workbookView xWindow="-110" yWindow="-110" windowWidth="19420" windowHeight="10300" activeTab="22" xr2:uid="{5323D0CF-EAC6-4947-B303-5F59B7033DCB}"/>
  </bookViews>
  <sheets>
    <sheet name="Tahun Majmuah" sheetId="2" r:id="rId1"/>
    <sheet name="Tahun Mabsutoh" sheetId="1" r:id="rId2"/>
    <sheet name="Bulan H" sheetId="15" r:id="rId3"/>
    <sheet name="T1" sheetId="3" r:id="rId4"/>
    <sheet name="T2" sheetId="17" r:id="rId5"/>
    <sheet name="T3" sheetId="18" r:id="rId6"/>
    <sheet name="T4" sheetId="19" r:id="rId7"/>
    <sheet name="T5" sheetId="20" r:id="rId8"/>
    <sheet name="T6" sheetId="21" r:id="rId9"/>
    <sheet name="T7" sheetId="22" r:id="rId10"/>
    <sheet name="T8" sheetId="16" r:id="rId11"/>
    <sheet name="Majmuah M" sheetId="4" r:id="rId12"/>
    <sheet name="Mabsutoh M" sheetId="46" r:id="rId13"/>
    <sheet name="Bulan M" sheetId="47" r:id="rId14"/>
    <sheet name="Deklinasi Matahari" sheetId="5" r:id="rId15"/>
    <sheet name=" Majmuah H" sheetId="6" r:id="rId16"/>
    <sheet name="Mabsutoh H" sheetId="7" r:id="rId17"/>
    <sheet name="Bulan Hijriah" sheetId="8" r:id="rId18"/>
    <sheet name="Jadwal Hari" sheetId="11" r:id="rId19"/>
    <sheet name="JAM" sheetId="12" r:id="rId20"/>
    <sheet name="MENIT" sheetId="13" r:id="rId21"/>
    <sheet name="DETIK" sheetId="14" r:id="rId22"/>
    <sheet name="S1" sheetId="23" r:id="rId23"/>
    <sheet name="S2" sheetId="24" r:id="rId24"/>
    <sheet name="R1" sheetId="26" r:id="rId25"/>
    <sheet name="R2" sheetId="27" r:id="rId26"/>
    <sheet name="M1" sheetId="28" r:id="rId27"/>
    <sheet name="M2" sheetId="30" r:id="rId28"/>
    <sheet name="M3" sheetId="31" r:id="rId29"/>
    <sheet name="M4" sheetId="32" r:id="rId30"/>
    <sheet name="M5" sheetId="33" r:id="rId31"/>
    <sheet name="M6" sheetId="34" r:id="rId32"/>
    <sheet name="M7" sheetId="35" r:id="rId33"/>
    <sheet name="M8" sheetId="36" r:id="rId34"/>
    <sheet name="M9" sheetId="37" r:id="rId35"/>
    <sheet name="B1" sheetId="38" r:id="rId36"/>
    <sheet name="B2" sheetId="39" r:id="rId37"/>
    <sheet name="B3" sheetId="40" r:id="rId38"/>
    <sheet name="B4" sheetId="41" r:id="rId39"/>
    <sheet name="TR1" sheetId="42" r:id="rId40"/>
    <sheet name="TR2" sheetId="43" r:id="rId41"/>
    <sheet name="TR3" sheetId="44" r:id="rId42"/>
    <sheet name="TR4" sheetId="45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0" i="5" l="1"/>
  <c r="N70" i="5"/>
  <c r="K70" i="5"/>
  <c r="J70" i="5"/>
  <c r="G70" i="5"/>
  <c r="F70" i="5"/>
  <c r="E70" i="5"/>
  <c r="D70" i="5"/>
  <c r="O69" i="5"/>
  <c r="N69" i="5"/>
  <c r="M69" i="5"/>
  <c r="L69" i="5"/>
  <c r="K69" i="5"/>
  <c r="J69" i="5"/>
  <c r="I69" i="5"/>
  <c r="H69" i="5"/>
  <c r="G69" i="5"/>
  <c r="F69" i="5"/>
  <c r="E69" i="5"/>
  <c r="D69" i="5"/>
  <c r="O68" i="5"/>
  <c r="N68" i="5"/>
  <c r="M68" i="5"/>
  <c r="L68" i="5"/>
  <c r="K68" i="5"/>
  <c r="J68" i="5"/>
  <c r="I68" i="5"/>
  <c r="H68" i="5"/>
  <c r="G68" i="5"/>
  <c r="F68" i="5"/>
  <c r="E68" i="5"/>
  <c r="D68" i="5"/>
  <c r="O67" i="5"/>
  <c r="N67" i="5"/>
  <c r="M67" i="5"/>
  <c r="L67" i="5"/>
  <c r="K67" i="5"/>
  <c r="J67" i="5"/>
  <c r="I67" i="5"/>
  <c r="H67" i="5"/>
  <c r="G67" i="5"/>
  <c r="F67" i="5"/>
  <c r="E67" i="5"/>
  <c r="D67" i="5"/>
  <c r="O66" i="5"/>
  <c r="N66" i="5"/>
  <c r="M66" i="5"/>
  <c r="L66" i="5"/>
  <c r="K66" i="5"/>
  <c r="J66" i="5"/>
  <c r="I66" i="5"/>
  <c r="H66" i="5"/>
  <c r="G66" i="5"/>
  <c r="F66" i="5"/>
  <c r="E66" i="5"/>
  <c r="D66" i="5"/>
  <c r="O65" i="5"/>
  <c r="N65" i="5"/>
  <c r="M65" i="5"/>
  <c r="L65" i="5"/>
  <c r="K65" i="5"/>
  <c r="J65" i="5"/>
  <c r="I65" i="5"/>
  <c r="H65" i="5"/>
  <c r="G65" i="5"/>
  <c r="F65" i="5"/>
  <c r="E65" i="5"/>
  <c r="D65" i="5"/>
  <c r="O64" i="5"/>
  <c r="N64" i="5"/>
  <c r="M64" i="5"/>
  <c r="L64" i="5"/>
  <c r="K64" i="5"/>
  <c r="J64" i="5"/>
  <c r="I64" i="5"/>
  <c r="H64" i="5"/>
  <c r="G64" i="5"/>
  <c r="F64" i="5"/>
  <c r="E64" i="5"/>
  <c r="D64" i="5"/>
  <c r="O63" i="5"/>
  <c r="N63" i="5"/>
  <c r="M63" i="5"/>
  <c r="L63" i="5"/>
  <c r="K63" i="5"/>
  <c r="J63" i="5"/>
  <c r="I63" i="5"/>
  <c r="H63" i="5"/>
  <c r="G63" i="5"/>
  <c r="F63" i="5"/>
  <c r="E63" i="5"/>
  <c r="D63" i="5"/>
  <c r="O62" i="5"/>
  <c r="N62" i="5"/>
  <c r="M62" i="5"/>
  <c r="L62" i="5"/>
  <c r="K62" i="5"/>
  <c r="J62" i="5"/>
  <c r="I62" i="5"/>
  <c r="H62" i="5"/>
  <c r="G62" i="5"/>
  <c r="F62" i="5"/>
  <c r="E62" i="5"/>
  <c r="D62" i="5"/>
  <c r="O61" i="5"/>
  <c r="N61" i="5"/>
  <c r="M61" i="5"/>
  <c r="L61" i="5"/>
  <c r="K61" i="5"/>
  <c r="J61" i="5"/>
  <c r="I61" i="5"/>
  <c r="H61" i="5"/>
  <c r="G61" i="5"/>
  <c r="F61" i="5"/>
  <c r="E61" i="5"/>
  <c r="D61" i="5"/>
  <c r="O60" i="5"/>
  <c r="N60" i="5"/>
  <c r="M60" i="5"/>
  <c r="L60" i="5"/>
  <c r="K60" i="5"/>
  <c r="J60" i="5"/>
  <c r="I60" i="5"/>
  <c r="H60" i="5"/>
  <c r="G60" i="5"/>
  <c r="F60" i="5"/>
  <c r="E60" i="5"/>
  <c r="D60" i="5"/>
  <c r="O59" i="5"/>
  <c r="N59" i="5"/>
  <c r="M59" i="5"/>
  <c r="L59" i="5"/>
  <c r="K59" i="5"/>
  <c r="J59" i="5"/>
  <c r="I59" i="5"/>
  <c r="H59" i="5"/>
  <c r="G59" i="5"/>
  <c r="F59" i="5"/>
  <c r="E59" i="5"/>
  <c r="D59" i="5"/>
  <c r="O58" i="5"/>
  <c r="N58" i="5"/>
  <c r="M58" i="5"/>
  <c r="L58" i="5"/>
  <c r="K58" i="5"/>
  <c r="J58" i="5"/>
  <c r="I58" i="5"/>
  <c r="H58" i="5"/>
  <c r="G58" i="5"/>
  <c r="F58" i="5"/>
  <c r="E58" i="5"/>
  <c r="D58" i="5"/>
  <c r="O57" i="5"/>
  <c r="N57" i="5"/>
  <c r="M57" i="5"/>
  <c r="L57" i="5"/>
  <c r="K57" i="5"/>
  <c r="J57" i="5"/>
  <c r="I57" i="5"/>
  <c r="H57" i="5"/>
  <c r="G57" i="5"/>
  <c r="F57" i="5"/>
  <c r="E57" i="5"/>
  <c r="D57" i="5"/>
  <c r="O56" i="5"/>
  <c r="N56" i="5"/>
  <c r="M56" i="5"/>
  <c r="L56" i="5"/>
  <c r="K56" i="5"/>
  <c r="J56" i="5"/>
  <c r="I56" i="5"/>
  <c r="H56" i="5"/>
  <c r="G56" i="5"/>
  <c r="F56" i="5"/>
  <c r="E56" i="5"/>
  <c r="D56" i="5"/>
  <c r="O55" i="5"/>
  <c r="N55" i="5"/>
  <c r="M55" i="5"/>
  <c r="L55" i="5"/>
  <c r="K55" i="5"/>
  <c r="J55" i="5"/>
  <c r="I55" i="5"/>
  <c r="H55" i="5"/>
  <c r="G55" i="5"/>
  <c r="F55" i="5"/>
  <c r="E55" i="5"/>
  <c r="D55" i="5"/>
  <c r="O54" i="5"/>
  <c r="N54" i="5"/>
  <c r="M54" i="5"/>
  <c r="L54" i="5"/>
  <c r="K54" i="5"/>
  <c r="J54" i="5"/>
  <c r="I54" i="5"/>
  <c r="H54" i="5"/>
  <c r="G54" i="5"/>
  <c r="F54" i="5"/>
  <c r="E54" i="5"/>
  <c r="D54" i="5"/>
  <c r="O53" i="5"/>
  <c r="N53" i="5"/>
  <c r="M53" i="5"/>
  <c r="L53" i="5"/>
  <c r="K53" i="5"/>
  <c r="J53" i="5"/>
  <c r="I53" i="5"/>
  <c r="H53" i="5"/>
  <c r="G53" i="5"/>
  <c r="F53" i="5"/>
  <c r="E53" i="5"/>
  <c r="D53" i="5"/>
  <c r="O52" i="5"/>
  <c r="N52" i="5"/>
  <c r="M52" i="5"/>
  <c r="L52" i="5"/>
  <c r="K52" i="5"/>
  <c r="J52" i="5"/>
  <c r="I52" i="5"/>
  <c r="H52" i="5"/>
  <c r="G52" i="5"/>
  <c r="F52" i="5"/>
  <c r="E52" i="5"/>
  <c r="D52" i="5"/>
  <c r="O51" i="5"/>
  <c r="N51" i="5"/>
  <c r="M51" i="5"/>
  <c r="L51" i="5"/>
  <c r="K51" i="5"/>
  <c r="J51" i="5"/>
  <c r="I51" i="5"/>
  <c r="H51" i="5"/>
  <c r="G51" i="5"/>
  <c r="F51" i="5"/>
  <c r="E51" i="5"/>
  <c r="D51" i="5"/>
  <c r="O50" i="5"/>
  <c r="N50" i="5"/>
  <c r="M50" i="5"/>
  <c r="L50" i="5"/>
  <c r="K50" i="5"/>
  <c r="J50" i="5"/>
  <c r="I50" i="5"/>
  <c r="H50" i="5"/>
  <c r="G50" i="5"/>
  <c r="F50" i="5"/>
  <c r="E50" i="5"/>
  <c r="D50" i="5"/>
  <c r="O49" i="5"/>
  <c r="N49" i="5"/>
  <c r="M49" i="5"/>
  <c r="L49" i="5"/>
  <c r="K49" i="5"/>
  <c r="J49" i="5"/>
  <c r="I49" i="5"/>
  <c r="H49" i="5"/>
  <c r="G49" i="5"/>
  <c r="F49" i="5"/>
  <c r="E49" i="5"/>
  <c r="D49" i="5"/>
  <c r="O48" i="5"/>
  <c r="N48" i="5"/>
  <c r="M48" i="5"/>
  <c r="L48" i="5"/>
  <c r="K48" i="5"/>
  <c r="J48" i="5"/>
  <c r="I48" i="5"/>
  <c r="H48" i="5"/>
  <c r="G48" i="5"/>
  <c r="F48" i="5"/>
  <c r="E48" i="5"/>
  <c r="D48" i="5"/>
  <c r="O47" i="5"/>
  <c r="N47" i="5"/>
  <c r="M47" i="5"/>
  <c r="L47" i="5"/>
  <c r="K47" i="5"/>
  <c r="J47" i="5"/>
  <c r="I47" i="5"/>
  <c r="H47" i="5"/>
  <c r="G47" i="5"/>
  <c r="F47" i="5"/>
  <c r="E47" i="5"/>
  <c r="D47" i="5"/>
  <c r="O46" i="5"/>
  <c r="N46" i="5"/>
  <c r="M46" i="5"/>
  <c r="L46" i="5"/>
  <c r="K46" i="5"/>
  <c r="J46" i="5"/>
  <c r="I46" i="5"/>
  <c r="H46" i="5"/>
  <c r="G46" i="5"/>
  <c r="F46" i="5"/>
  <c r="E46" i="5"/>
  <c r="D46" i="5"/>
  <c r="O45" i="5"/>
  <c r="N45" i="5"/>
  <c r="M45" i="5"/>
  <c r="L45" i="5"/>
  <c r="K45" i="5"/>
  <c r="J45" i="5"/>
  <c r="I45" i="5"/>
  <c r="H45" i="5"/>
  <c r="G45" i="5"/>
  <c r="F45" i="5"/>
  <c r="E45" i="5"/>
  <c r="D45" i="5"/>
  <c r="O44" i="5"/>
  <c r="N44" i="5"/>
  <c r="M44" i="5"/>
  <c r="L44" i="5"/>
  <c r="K44" i="5"/>
  <c r="J44" i="5"/>
  <c r="I44" i="5"/>
  <c r="H44" i="5"/>
  <c r="G44" i="5"/>
  <c r="F44" i="5"/>
  <c r="E44" i="5"/>
  <c r="D44" i="5"/>
  <c r="O43" i="5"/>
  <c r="N43" i="5"/>
  <c r="M43" i="5"/>
  <c r="L43" i="5"/>
  <c r="K43" i="5"/>
  <c r="J43" i="5"/>
  <c r="I43" i="5"/>
  <c r="H43" i="5"/>
  <c r="G43" i="5"/>
  <c r="F43" i="5"/>
  <c r="E43" i="5"/>
  <c r="D43" i="5"/>
  <c r="O42" i="5"/>
  <c r="N42" i="5"/>
  <c r="M42" i="5"/>
  <c r="L42" i="5"/>
  <c r="K42" i="5"/>
  <c r="J42" i="5"/>
  <c r="I42" i="5"/>
  <c r="H42" i="5"/>
  <c r="G42" i="5"/>
  <c r="F42" i="5"/>
  <c r="E42" i="5"/>
  <c r="D42" i="5"/>
  <c r="O41" i="5"/>
  <c r="N41" i="5"/>
  <c r="M41" i="5"/>
  <c r="L41" i="5"/>
  <c r="K41" i="5"/>
  <c r="J41" i="5"/>
  <c r="I41" i="5"/>
  <c r="H41" i="5"/>
  <c r="G41" i="5"/>
  <c r="F41" i="5"/>
  <c r="E41" i="5"/>
  <c r="D41" i="5"/>
  <c r="O40" i="5"/>
  <c r="N40" i="5"/>
  <c r="M40" i="5"/>
  <c r="L40" i="5"/>
  <c r="K40" i="5"/>
  <c r="J40" i="5"/>
  <c r="I40" i="5"/>
  <c r="H40" i="5"/>
  <c r="G40" i="5"/>
  <c r="F40" i="5"/>
  <c r="E40" i="5"/>
  <c r="D40" i="5"/>
  <c r="M35" i="5"/>
  <c r="L35" i="5"/>
  <c r="I35" i="5"/>
  <c r="H35" i="5"/>
  <c r="E35" i="5"/>
  <c r="D35" i="5"/>
  <c r="O34" i="5"/>
  <c r="N34" i="5"/>
  <c r="M34" i="5"/>
  <c r="L34" i="5"/>
  <c r="K34" i="5"/>
  <c r="J34" i="5"/>
  <c r="I34" i="5"/>
  <c r="H34" i="5"/>
  <c r="E34" i="5"/>
  <c r="D34" i="5"/>
  <c r="O33" i="5"/>
  <c r="N33" i="5"/>
  <c r="M33" i="5"/>
  <c r="L33" i="5"/>
  <c r="K33" i="5"/>
  <c r="J33" i="5"/>
  <c r="I33" i="5"/>
  <c r="H33" i="5"/>
  <c r="G33" i="5"/>
  <c r="F33" i="5"/>
  <c r="E33" i="5"/>
  <c r="D33" i="5"/>
  <c r="O32" i="5"/>
  <c r="N32" i="5"/>
  <c r="M32" i="5"/>
  <c r="L32" i="5"/>
  <c r="K32" i="5"/>
  <c r="J32" i="5"/>
  <c r="I32" i="5"/>
  <c r="H32" i="5"/>
  <c r="G32" i="5"/>
  <c r="F32" i="5"/>
  <c r="E32" i="5"/>
  <c r="D32" i="5"/>
  <c r="O31" i="5"/>
  <c r="N31" i="5"/>
  <c r="M31" i="5"/>
  <c r="L31" i="5"/>
  <c r="K31" i="5"/>
  <c r="J31" i="5"/>
  <c r="I31" i="5"/>
  <c r="H31" i="5"/>
  <c r="G31" i="5"/>
  <c r="F31" i="5"/>
  <c r="E31" i="5"/>
  <c r="D31" i="5"/>
  <c r="O30" i="5"/>
  <c r="N30" i="5"/>
  <c r="M30" i="5"/>
  <c r="L30" i="5"/>
  <c r="K30" i="5"/>
  <c r="J30" i="5"/>
  <c r="I30" i="5"/>
  <c r="H30" i="5"/>
  <c r="G30" i="5"/>
  <c r="F30" i="5"/>
  <c r="E30" i="5"/>
  <c r="D30" i="5"/>
  <c r="O29" i="5"/>
  <c r="N29" i="5"/>
  <c r="M29" i="5"/>
  <c r="L29" i="5"/>
  <c r="K29" i="5"/>
  <c r="J29" i="5"/>
  <c r="I29" i="5"/>
  <c r="H29" i="5"/>
  <c r="G29" i="5"/>
  <c r="F29" i="5"/>
  <c r="E29" i="5"/>
  <c r="D29" i="5"/>
  <c r="O28" i="5"/>
  <c r="N28" i="5"/>
  <c r="M28" i="5"/>
  <c r="L28" i="5"/>
  <c r="K28" i="5"/>
  <c r="J28" i="5"/>
  <c r="I28" i="5"/>
  <c r="H28" i="5"/>
  <c r="G28" i="5"/>
  <c r="F28" i="5"/>
  <c r="E28" i="5"/>
  <c r="D28" i="5"/>
  <c r="O27" i="5"/>
  <c r="N27" i="5"/>
  <c r="M27" i="5"/>
  <c r="L27" i="5"/>
  <c r="K27" i="5"/>
  <c r="J27" i="5"/>
  <c r="I27" i="5"/>
  <c r="H27" i="5"/>
  <c r="G27" i="5"/>
  <c r="F27" i="5"/>
  <c r="E27" i="5"/>
  <c r="D27" i="5"/>
  <c r="O26" i="5"/>
  <c r="N26" i="5"/>
  <c r="M26" i="5"/>
  <c r="L26" i="5"/>
  <c r="K26" i="5"/>
  <c r="J26" i="5"/>
  <c r="I26" i="5"/>
  <c r="H26" i="5"/>
  <c r="G26" i="5"/>
  <c r="F26" i="5"/>
  <c r="E26" i="5"/>
  <c r="D26" i="5"/>
  <c r="O25" i="5"/>
  <c r="N25" i="5"/>
  <c r="M25" i="5"/>
  <c r="L25" i="5"/>
  <c r="K25" i="5"/>
  <c r="J25" i="5"/>
  <c r="I25" i="5"/>
  <c r="H25" i="5"/>
  <c r="G25" i="5"/>
  <c r="F25" i="5"/>
  <c r="E25" i="5"/>
  <c r="D25" i="5"/>
  <c r="O24" i="5"/>
  <c r="N24" i="5"/>
  <c r="M24" i="5"/>
  <c r="L24" i="5"/>
  <c r="K24" i="5"/>
  <c r="J24" i="5"/>
  <c r="I24" i="5"/>
  <c r="H24" i="5"/>
  <c r="G24" i="5"/>
  <c r="F24" i="5"/>
  <c r="E24" i="5"/>
  <c r="D24" i="5"/>
  <c r="O23" i="5"/>
  <c r="N23" i="5"/>
  <c r="M23" i="5"/>
  <c r="L23" i="5"/>
  <c r="K23" i="5"/>
  <c r="J23" i="5"/>
  <c r="I23" i="5"/>
  <c r="H23" i="5"/>
  <c r="G23" i="5"/>
  <c r="F23" i="5"/>
  <c r="E23" i="5"/>
  <c r="D23" i="5"/>
  <c r="O22" i="5"/>
  <c r="N22" i="5"/>
  <c r="M22" i="5"/>
  <c r="L22" i="5"/>
  <c r="K22" i="5"/>
  <c r="J22" i="5"/>
  <c r="I22" i="5"/>
  <c r="H22" i="5"/>
  <c r="G22" i="5"/>
  <c r="F22" i="5"/>
  <c r="E22" i="5"/>
  <c r="D22" i="5"/>
  <c r="O21" i="5"/>
  <c r="N21" i="5"/>
  <c r="M21" i="5"/>
  <c r="L21" i="5"/>
  <c r="K21" i="5"/>
  <c r="J21" i="5"/>
  <c r="I21" i="5"/>
  <c r="H21" i="5"/>
  <c r="G21" i="5"/>
  <c r="F21" i="5"/>
  <c r="E21" i="5"/>
  <c r="D21" i="5"/>
  <c r="O20" i="5"/>
  <c r="N20" i="5"/>
  <c r="M20" i="5"/>
  <c r="L20" i="5"/>
  <c r="K20" i="5"/>
  <c r="J20" i="5"/>
  <c r="I20" i="5"/>
  <c r="H20" i="5"/>
  <c r="G20" i="5"/>
  <c r="F20" i="5"/>
  <c r="E20" i="5"/>
  <c r="D20" i="5"/>
  <c r="O19" i="5"/>
  <c r="N19" i="5"/>
  <c r="M19" i="5"/>
  <c r="L19" i="5"/>
  <c r="K19" i="5"/>
  <c r="J19" i="5"/>
  <c r="I19" i="5"/>
  <c r="H19" i="5"/>
  <c r="G19" i="5"/>
  <c r="F19" i="5"/>
  <c r="E19" i="5"/>
  <c r="D19" i="5"/>
  <c r="O18" i="5"/>
  <c r="N18" i="5"/>
  <c r="M18" i="5"/>
  <c r="L18" i="5"/>
  <c r="K18" i="5"/>
  <c r="J18" i="5"/>
  <c r="I18" i="5"/>
  <c r="H18" i="5"/>
  <c r="G18" i="5"/>
  <c r="F18" i="5"/>
  <c r="E18" i="5"/>
  <c r="D18" i="5"/>
  <c r="O17" i="5"/>
  <c r="N17" i="5"/>
  <c r="M17" i="5"/>
  <c r="L17" i="5"/>
  <c r="K17" i="5"/>
  <c r="J17" i="5"/>
  <c r="I17" i="5"/>
  <c r="H17" i="5"/>
  <c r="G17" i="5"/>
  <c r="F17" i="5"/>
  <c r="E17" i="5"/>
  <c r="D17" i="5"/>
  <c r="O16" i="5"/>
  <c r="N16" i="5"/>
  <c r="M16" i="5"/>
  <c r="L16" i="5"/>
  <c r="K16" i="5"/>
  <c r="J16" i="5"/>
  <c r="I16" i="5"/>
  <c r="H16" i="5"/>
  <c r="G16" i="5"/>
  <c r="F16" i="5"/>
  <c r="E16" i="5"/>
  <c r="D16" i="5"/>
  <c r="O15" i="5"/>
  <c r="N15" i="5"/>
  <c r="M15" i="5"/>
  <c r="L15" i="5"/>
  <c r="K15" i="5"/>
  <c r="J15" i="5"/>
  <c r="I15" i="5"/>
  <c r="H15" i="5"/>
  <c r="G15" i="5"/>
  <c r="F15" i="5"/>
  <c r="E15" i="5"/>
  <c r="D15" i="5"/>
  <c r="O14" i="5"/>
  <c r="N14" i="5"/>
  <c r="M14" i="5"/>
  <c r="L14" i="5"/>
  <c r="K14" i="5"/>
  <c r="J14" i="5"/>
  <c r="I14" i="5"/>
  <c r="H14" i="5"/>
  <c r="G14" i="5"/>
  <c r="F14" i="5"/>
  <c r="E14" i="5"/>
  <c r="D14" i="5"/>
  <c r="O13" i="5"/>
  <c r="N13" i="5"/>
  <c r="M13" i="5"/>
  <c r="L13" i="5"/>
  <c r="K13" i="5"/>
  <c r="J13" i="5"/>
  <c r="I13" i="5"/>
  <c r="H13" i="5"/>
  <c r="G13" i="5"/>
  <c r="F13" i="5"/>
  <c r="E13" i="5"/>
  <c r="D13" i="5"/>
  <c r="O12" i="5"/>
  <c r="N12" i="5"/>
  <c r="M12" i="5"/>
  <c r="L12" i="5"/>
  <c r="K12" i="5"/>
  <c r="J12" i="5"/>
  <c r="I12" i="5"/>
  <c r="H12" i="5"/>
  <c r="G12" i="5"/>
  <c r="F12" i="5"/>
  <c r="E12" i="5"/>
  <c r="D12" i="5"/>
  <c r="O11" i="5"/>
  <c r="N11" i="5"/>
  <c r="M11" i="5"/>
  <c r="L11" i="5"/>
  <c r="K11" i="5"/>
  <c r="J11" i="5"/>
  <c r="I11" i="5"/>
  <c r="H11" i="5"/>
  <c r="G11" i="5"/>
  <c r="F11" i="5"/>
  <c r="E11" i="5"/>
  <c r="D11" i="5"/>
  <c r="O10" i="5"/>
  <c r="N10" i="5"/>
  <c r="M10" i="5"/>
  <c r="L10" i="5"/>
  <c r="K10" i="5"/>
  <c r="J10" i="5"/>
  <c r="I10" i="5"/>
  <c r="H10" i="5"/>
  <c r="G10" i="5"/>
  <c r="F10" i="5"/>
  <c r="E10" i="5"/>
  <c r="D10" i="5"/>
  <c r="O9" i="5"/>
  <c r="N9" i="5"/>
  <c r="M9" i="5"/>
  <c r="L9" i="5"/>
  <c r="K9" i="5"/>
  <c r="J9" i="5"/>
  <c r="I9" i="5"/>
  <c r="H9" i="5"/>
  <c r="G9" i="5"/>
  <c r="F9" i="5"/>
  <c r="E9" i="5"/>
  <c r="D9" i="5"/>
  <c r="O8" i="5"/>
  <c r="N8" i="5"/>
  <c r="M8" i="5"/>
  <c r="L8" i="5"/>
  <c r="K8" i="5"/>
  <c r="J8" i="5"/>
  <c r="I8" i="5"/>
  <c r="H8" i="5"/>
  <c r="G8" i="5"/>
  <c r="F8" i="5"/>
  <c r="E8" i="5"/>
  <c r="D8" i="5"/>
  <c r="O7" i="5"/>
  <c r="N7" i="5"/>
  <c r="M7" i="5"/>
  <c r="L7" i="5"/>
  <c r="K7" i="5"/>
  <c r="J7" i="5"/>
  <c r="I7" i="5"/>
  <c r="H7" i="5"/>
  <c r="G7" i="5"/>
  <c r="F7" i="5"/>
  <c r="E7" i="5"/>
  <c r="D7" i="5"/>
  <c r="O6" i="5"/>
  <c r="N6" i="5"/>
  <c r="M6" i="5"/>
  <c r="L6" i="5"/>
  <c r="K6" i="5"/>
  <c r="J6" i="5"/>
  <c r="I6" i="5"/>
  <c r="H6" i="5"/>
  <c r="G6" i="5"/>
  <c r="F6" i="5"/>
  <c r="E6" i="5"/>
  <c r="D6" i="5"/>
  <c r="O5" i="5"/>
  <c r="N5" i="5"/>
  <c r="M5" i="5"/>
  <c r="L5" i="5"/>
  <c r="K5" i="5"/>
  <c r="J5" i="5"/>
  <c r="I5" i="5"/>
  <c r="H5" i="5"/>
  <c r="G5" i="5"/>
  <c r="F5" i="5"/>
  <c r="E5" i="5"/>
  <c r="D5" i="5"/>
</calcChain>
</file>

<file path=xl/sharedStrings.xml><?xml version="1.0" encoding="utf-8"?>
<sst xmlns="http://schemas.openxmlformats.org/spreadsheetml/2006/main" count="1764" uniqueCount="652">
  <si>
    <t xml:space="preserve"> </t>
  </si>
  <si>
    <t>25115267235</t>
  </si>
  <si>
    <t>M</t>
  </si>
  <si>
    <t>M'</t>
  </si>
  <si>
    <t>F</t>
  </si>
  <si>
    <t>A</t>
  </si>
  <si>
    <t>المركز</t>
  </si>
  <si>
    <t>الخاصة</t>
  </si>
  <si>
    <t>خصة العرض</t>
  </si>
  <si>
    <t>علامة</t>
  </si>
  <si>
    <t>السنة
الهجرية</t>
  </si>
  <si>
    <t>TAHUN MAJMU'AH</t>
  </si>
  <si>
    <t>TA'DIL I (T1) DENGAN DALIL (M)</t>
  </si>
  <si>
    <t>TA'DIL II (T2) DENGAN DALIL (2xM)</t>
  </si>
  <si>
    <t>Tadil T III (T3) dengan dalil (M')</t>
  </si>
  <si>
    <t>Dr</t>
  </si>
  <si>
    <t>0</t>
  </si>
  <si>
    <t>30</t>
  </si>
  <si>
    <t>60</t>
  </si>
  <si>
    <t>90</t>
  </si>
  <si>
    <t>120</t>
  </si>
  <si>
    <t>150</t>
  </si>
  <si>
    <t>0,0000</t>
  </si>
  <si>
    <t>-0,3450</t>
  </si>
  <si>
    <t>-0,1910</t>
  </si>
  <si>
    <t>0,3450</t>
  </si>
  <si>
    <t>0,1910</t>
  </si>
  <si>
    <t>0,2560</t>
  </si>
  <si>
    <t>0,3070</t>
  </si>
  <si>
    <t>-0,3890</t>
  </si>
  <si>
    <t>0,3890</t>
  </si>
  <si>
    <t>-0,3910</t>
  </si>
  <si>
    <t>0,3910</t>
  </si>
  <si>
    <t>-0,3070</t>
  </si>
  <si>
    <t>-0,2560</t>
  </si>
  <si>
    <t>Ta'dil IV (T4) Dengan dalil (2xM')</t>
  </si>
  <si>
    <t>180</t>
  </si>
  <si>
    <t>210</t>
  </si>
  <si>
    <t>240</t>
  </si>
  <si>
    <t>270</t>
  </si>
  <si>
    <t>300</t>
  </si>
  <si>
    <t>330</t>
  </si>
  <si>
    <t>1</t>
  </si>
  <si>
    <t>2</t>
  </si>
  <si>
    <t>3</t>
  </si>
  <si>
    <t>4</t>
  </si>
  <si>
    <t>0,0090</t>
  </si>
  <si>
    <t>5</t>
  </si>
  <si>
    <t>0,0160</t>
  </si>
  <si>
    <t>-0,0160</t>
  </si>
  <si>
    <t>6</t>
  </si>
  <si>
    <t>0,0130</t>
  </si>
  <si>
    <t>-0,0130</t>
  </si>
  <si>
    <t>7</t>
  </si>
  <si>
    <t>0,0020</t>
  </si>
  <si>
    <t>-0,0020</t>
  </si>
  <si>
    <t>8</t>
  </si>
  <si>
    <t>0,0060</t>
  </si>
  <si>
    <t>-0,0060</t>
  </si>
  <si>
    <t>9</t>
  </si>
  <si>
    <t>0,0150</t>
  </si>
  <si>
    <t>-0,0150</t>
  </si>
  <si>
    <t>10</t>
  </si>
  <si>
    <t>11</t>
  </si>
  <si>
    <t>12</t>
  </si>
  <si>
    <t>0,0050</t>
  </si>
  <si>
    <t>-0,0120</t>
  </si>
  <si>
    <t>-0,0050</t>
  </si>
  <si>
    <t>13</t>
  </si>
  <si>
    <t>0,0110</t>
  </si>
  <si>
    <t>-0,0110</t>
  </si>
  <si>
    <t>14</t>
  </si>
  <si>
    <t>15</t>
  </si>
  <si>
    <t>16</t>
  </si>
  <si>
    <t>17</t>
  </si>
  <si>
    <t>18</t>
  </si>
  <si>
    <t>0,0120</t>
  </si>
  <si>
    <t>19</t>
  </si>
  <si>
    <t>20</t>
  </si>
  <si>
    <t>21</t>
  </si>
  <si>
    <t>22</t>
  </si>
  <si>
    <t>23</t>
  </si>
  <si>
    <t>24</t>
  </si>
  <si>
    <t>25</t>
  </si>
  <si>
    <t>26</t>
  </si>
  <si>
    <t>-0,0090</t>
  </si>
  <si>
    <t>27</t>
  </si>
  <si>
    <t>28</t>
  </si>
  <si>
    <t>29</t>
  </si>
  <si>
    <t>TA'DIL V (T5) DENGAN DALIL (M+M')</t>
  </si>
  <si>
    <t>TA'DIL VI (T6) DENGAN DALIL (M-M')</t>
  </si>
  <si>
    <t>TA'DIL VII (T7) DENGAN DALIL (2xF)</t>
  </si>
  <si>
    <t>TA'DIL VIII (T8) DENGAN DALIL (2xF-M')</t>
  </si>
  <si>
    <t>0.0067</t>
  </si>
  <si>
    <t>السنه الهجريه</t>
  </si>
  <si>
    <t>العلامة</t>
  </si>
  <si>
    <t>الا يام</t>
  </si>
  <si>
    <t>وسط الشمس</t>
  </si>
  <si>
    <t xml:space="preserve">خاصتها </t>
  </si>
  <si>
    <t>وسط القمر</t>
  </si>
  <si>
    <t>خاصتها</t>
  </si>
  <si>
    <t>خاصتة العرض</t>
  </si>
  <si>
    <t>البعد</t>
  </si>
  <si>
    <t>الميل الكلى</t>
  </si>
  <si>
    <t>الوقت النجمى</t>
  </si>
  <si>
    <t>Alamah</t>
  </si>
  <si>
    <t>h</t>
  </si>
  <si>
    <t>p</t>
  </si>
  <si>
    <t>S</t>
  </si>
  <si>
    <t>m</t>
  </si>
  <si>
    <t>N</t>
  </si>
  <si>
    <t>D</t>
  </si>
  <si>
    <t>O</t>
  </si>
  <si>
    <t>ST</t>
  </si>
  <si>
    <t>269,0590</t>
  </si>
  <si>
    <t>137143</t>
  </si>
  <si>
    <t>332,0430</t>
  </si>
  <si>
    <t>10,4575</t>
  </si>
  <si>
    <t>48,8720</t>
  </si>
  <si>
    <t>34,6050</t>
  </si>
  <si>
    <t>265,0960</t>
  </si>
  <si>
    <t>250,8360</t>
  </si>
  <si>
    <t>68,6620</t>
  </si>
  <si>
    <t>227,2379</t>
  </si>
  <si>
    <t>265,1547</t>
  </si>
  <si>
    <t>299,1620</t>
  </si>
  <si>
    <t>246,4050</t>
  </si>
  <si>
    <t>290, 8297</t>
  </si>
  <si>
    <t>329, 0997</t>
  </si>
  <si>
    <t>1,7500</t>
  </si>
  <si>
    <t>113,9040</t>
  </si>
  <si>
    <t>341,4020</t>
  </si>
  <si>
    <t>TAHUN MABSUTHOH</t>
  </si>
  <si>
    <t>354</t>
  </si>
  <si>
    <t>3,1900</t>
  </si>
  <si>
    <t>708</t>
  </si>
  <si>
    <t>337,8050</t>
  </si>
  <si>
    <t>250,0150</t>
  </si>
  <si>
    <t>6,3800</t>
  </si>
  <si>
    <t>1063</t>
  </si>
  <si>
    <t>1417</t>
  </si>
  <si>
    <t>153,0950</t>
  </si>
  <si>
    <t>1771</t>
  </si>
  <si>
    <t>2126</t>
  </si>
  <si>
    <t>56,1750</t>
  </si>
  <si>
    <t>2480</t>
  </si>
  <si>
    <t>2834</t>
  </si>
  <si>
    <t>3189</t>
  </si>
  <si>
    <t>3543</t>
  </si>
  <si>
    <t>3898</t>
  </si>
  <si>
    <t>359,5400</t>
  </si>
  <si>
    <t>4252</t>
  </si>
  <si>
    <t>4606</t>
  </si>
  <si>
    <t>-0,001640</t>
  </si>
  <si>
    <t>4961</t>
  </si>
  <si>
    <t>209,5630</t>
  </si>
  <si>
    <t>5315</t>
  </si>
  <si>
    <t>5669</t>
  </si>
  <si>
    <t>187,3680</t>
  </si>
  <si>
    <t>6024</t>
  </si>
  <si>
    <t>6378</t>
  </si>
  <si>
    <t>6732</t>
  </si>
  <si>
    <t>155,3780</t>
  </si>
  <si>
    <t>143,5010</t>
  </si>
  <si>
    <t>348,1230</t>
  </si>
  <si>
    <t>7087</t>
  </si>
  <si>
    <t>156,4050</t>
  </si>
  <si>
    <t>7441</t>
  </si>
  <si>
    <t>134,2020</t>
  </si>
  <si>
    <t>159,5950</t>
  </si>
  <si>
    <t>7796</t>
  </si>
  <si>
    <t>359,0800</t>
  </si>
  <si>
    <t>8150</t>
  </si>
  <si>
    <t>113,0260</t>
  </si>
  <si>
    <t>279,6930</t>
  </si>
  <si>
    <t>8504</t>
  </si>
  <si>
    <t>8859</t>
  </si>
  <si>
    <t>91,8500</t>
  </si>
  <si>
    <t>9213</t>
  </si>
  <si>
    <t>-0,003280</t>
  </si>
  <si>
    <t>9567</t>
  </si>
  <si>
    <t>58,5850</t>
  </si>
  <si>
    <t>9922</t>
  </si>
  <si>
    <t>59,1260</t>
  </si>
  <si>
    <t>10277</t>
  </si>
  <si>
    <t>10631</t>
  </si>
  <si>
    <t>37,9166</t>
  </si>
  <si>
    <t>Bulan</t>
  </si>
  <si>
    <t>-0,000021</t>
  </si>
  <si>
    <t>-0,000032</t>
  </si>
  <si>
    <t>-0,000042</t>
  </si>
  <si>
    <t>-0,000053</t>
  </si>
  <si>
    <t>-0,000063</t>
  </si>
  <si>
    <t>-0,000074</t>
  </si>
  <si>
    <t>-0,000084</t>
  </si>
  <si>
    <t>-0,000095</t>
  </si>
  <si>
    <t>-0,000105</t>
  </si>
  <si>
    <t>-0,000116</t>
  </si>
  <si>
    <t>0,9856</t>
  </si>
  <si>
    <t>-0,000001</t>
  </si>
  <si>
    <t>-0,000002</t>
  </si>
  <si>
    <t>-0,000003</t>
  </si>
  <si>
    <t>9, 8565</t>
  </si>
  <si>
    <t>-0,000004</t>
  </si>
  <si>
    <t>-0,000005</t>
  </si>
  <si>
    <t>-0,000006</t>
  </si>
  <si>
    <t>-0,000007</t>
  </si>
  <si>
    <t>-0,000008</t>
  </si>
  <si>
    <t>22, 6699</t>
  </si>
  <si>
    <t>-0,000009</t>
  </si>
  <si>
    <t>-0,000010</t>
  </si>
  <si>
    <t>-0,000011</t>
  </si>
  <si>
    <t>خاصته</t>
  </si>
  <si>
    <t>0.0058</t>
  </si>
  <si>
    <t>0.0056</t>
  </si>
  <si>
    <t>0.0050</t>
  </si>
  <si>
    <t>0.1295</t>
  </si>
  <si>
    <t>0.0044</t>
  </si>
  <si>
    <t>0.0047</t>
  </si>
  <si>
    <t xml:space="preserve"> N</t>
  </si>
  <si>
    <t xml:space="preserve"> A</t>
  </si>
  <si>
    <t xml:space="preserve"> M</t>
  </si>
  <si>
    <t xml:space="preserve"> m</t>
  </si>
  <si>
    <t xml:space="preserve"> S</t>
  </si>
  <si>
    <t>TA'DIL S1 DENGAN DALIL (M)</t>
  </si>
  <si>
    <t>TA'DIL S2 DENGAN DALIL (2xm)</t>
  </si>
  <si>
    <t>TA'DIL R1 DENGAN DALIL (M)</t>
  </si>
  <si>
    <t>TA'DIL R2 DENGAN DALIL (2xm)</t>
  </si>
  <si>
    <t>TA'DIL M1 DENGAN DALIL (A)</t>
  </si>
  <si>
    <t>TA'DIL M2 DENGAN DALIL (2xD-A)</t>
  </si>
  <si>
    <t>TA'DIL M3 DENGAN DALIL (2xD)</t>
  </si>
  <si>
    <t>TA'DIL M4 DENGAN DALIL (2xA)</t>
  </si>
  <si>
    <t>Ta'dil M5 dengan dalil (m)</t>
  </si>
  <si>
    <t>Ta'dil M6 dengan dalil (2x N)</t>
  </si>
  <si>
    <t>Ta'dil M7 dengan dalil (2xD-2A)</t>
  </si>
  <si>
    <t>Ta'dil M8 dengan dalil (2D-m-A)</t>
  </si>
  <si>
    <t>Ta'dil  M9 dengan dalil (2D+A)</t>
  </si>
  <si>
    <t>-0,0990</t>
  </si>
  <si>
    <t>0,0990</t>
  </si>
  <si>
    <t>-0,1000</t>
  </si>
  <si>
    <t>-0,0980</t>
  </si>
  <si>
    <t>0,1000</t>
  </si>
  <si>
    <t>0,0980</t>
  </si>
  <si>
    <t>0,0010</t>
  </si>
  <si>
    <t>-0,0010</t>
  </si>
  <si>
    <t>0,1850</t>
  </si>
  <si>
    <t>0,1570</t>
  </si>
  <si>
    <t>-0,0040</t>
  </si>
  <si>
    <t>-0,0970</t>
  </si>
  <si>
    <t>0,0040</t>
  </si>
  <si>
    <t>0,0970</t>
  </si>
  <si>
    <t>0,0570</t>
  </si>
  <si>
    <t>-0,0570</t>
  </si>
  <si>
    <t>0,0250</t>
  </si>
  <si>
    <t>-0,0250</t>
  </si>
  <si>
    <t>0,0840</t>
  </si>
  <si>
    <t>0,0320</t>
  </si>
  <si>
    <t>-0,0320</t>
  </si>
  <si>
    <t>0,0030</t>
  </si>
  <si>
    <t>-0,0030</t>
  </si>
  <si>
    <t>0,0290</t>
  </si>
  <si>
    <t>-0,0290</t>
  </si>
  <si>
    <t>-0,0080</t>
  </si>
  <si>
    <t>0,0080</t>
  </si>
  <si>
    <t>-0,0100</t>
  </si>
  <si>
    <t>0,0100</t>
  </si>
  <si>
    <t>0,0530</t>
  </si>
  <si>
    <t>-0,0530</t>
  </si>
  <si>
    <t>0,0470</t>
  </si>
  <si>
    <t>-0,0470</t>
  </si>
  <si>
    <t>-0,0230</t>
  </si>
  <si>
    <t>0,0070</t>
  </si>
  <si>
    <t>-0,0070</t>
  </si>
  <si>
    <t>-0,1060</t>
  </si>
  <si>
    <t>0,1060</t>
  </si>
  <si>
    <t>-0,0220</t>
  </si>
  <si>
    <t>0,0450</t>
  </si>
  <si>
    <t>-0,0450</t>
  </si>
  <si>
    <t>0,0420</t>
  </si>
  <si>
    <t>0,0200</t>
  </si>
  <si>
    <t>-0,0420</t>
  </si>
  <si>
    <t>-0,0200</t>
  </si>
  <si>
    <t>-0,0720</t>
  </si>
  <si>
    <t>-0,0410</t>
  </si>
  <si>
    <t>0,0720</t>
  </si>
  <si>
    <t>0,0410</t>
  </si>
  <si>
    <t>0,0370</t>
  </si>
  <si>
    <t>-0,0370</t>
  </si>
  <si>
    <t>0,1190</t>
  </si>
  <si>
    <t>0,1740</t>
  </si>
  <si>
    <t>0,1750</t>
  </si>
  <si>
    <t>-0,0750</t>
  </si>
  <si>
    <t>0,0750</t>
  </si>
  <si>
    <t>0,0540</t>
  </si>
  <si>
    <t>0,0560</t>
  </si>
  <si>
    <t>-0,0540</t>
  </si>
  <si>
    <t>-0,0560</t>
  </si>
  <si>
    <t>0,0350</t>
  </si>
  <si>
    <t>-0,0350</t>
  </si>
  <si>
    <t>-0,0850</t>
  </si>
  <si>
    <t>0,0850</t>
  </si>
  <si>
    <t>0,1770</t>
  </si>
  <si>
    <t>-0,0780</t>
  </si>
  <si>
    <t>0,0780</t>
  </si>
  <si>
    <t>0,0430</t>
  </si>
  <si>
    <t>-0,0430</t>
  </si>
  <si>
    <t>0,0510</t>
  </si>
  <si>
    <t>0,0520</t>
  </si>
  <si>
    <t>0,0390</t>
  </si>
  <si>
    <t>-0,0510</t>
  </si>
  <si>
    <t>-0,0520</t>
  </si>
  <si>
    <t>-0,0390</t>
  </si>
  <si>
    <t>-0,1110</t>
  </si>
  <si>
    <t>0,1110</t>
  </si>
  <si>
    <t>0,1140</t>
  </si>
  <si>
    <t>0,0220</t>
  </si>
  <si>
    <t>0,0230</t>
  </si>
  <si>
    <t>-0,1570</t>
  </si>
  <si>
    <t>-0,1740</t>
  </si>
  <si>
    <t>-0,1750</t>
  </si>
  <si>
    <t>-0,1770</t>
  </si>
  <si>
    <t>-0,1190</t>
  </si>
  <si>
    <t>-0,1140</t>
  </si>
  <si>
    <t>-0,1850</t>
  </si>
  <si>
    <t>-0,0840</t>
  </si>
  <si>
    <t>Ta'dil r1 dengan dalil (A)</t>
  </si>
  <si>
    <t>Ta'dil R2 dengan dalil ( 2x D - A)</t>
  </si>
  <si>
    <t>Ta'dil R3 dengan dalil  (2xD)</t>
  </si>
  <si>
    <t>Ta'dil r4 dengan dalil (2xA)</t>
  </si>
  <si>
    <t>-20905,3550</t>
  </si>
  <si>
    <t>2090,3550</t>
  </si>
  <si>
    <t>-3699,1110</t>
  </si>
  <si>
    <t>1849,5555</t>
  </si>
  <si>
    <t>3203,5241</t>
  </si>
  <si>
    <t>3699,1110</t>
  </si>
  <si>
    <t>-20902,1710</t>
  </si>
  <si>
    <t>20902,1710</t>
  </si>
  <si>
    <t>-3170,7570</t>
  </si>
  <si>
    <t>64,5584</t>
  </si>
  <si>
    <t>1905,1830</t>
  </si>
  <si>
    <t>3235,3154</t>
  </si>
  <si>
    <t>3698,5476</t>
  </si>
  <si>
    <t>3170,7570</t>
  </si>
  <si>
    <t>1793,3646</t>
  </si>
  <si>
    <t>-1905,1830</t>
  </si>
  <si>
    <t>-2955,9680</t>
  </si>
  <si>
    <t>-1477,9840</t>
  </si>
  <si>
    <t>1477,9840</t>
  </si>
  <si>
    <t>2955,9680</t>
  </si>
  <si>
    <t>1477,9804</t>
  </si>
  <si>
    <t>-569,9250</t>
  </si>
  <si>
    <t>569,9250</t>
  </si>
  <si>
    <t>-20892,6200</t>
  </si>
  <si>
    <t>20892,6200</t>
  </si>
  <si>
    <t>129,0971</t>
  </si>
  <si>
    <t>1960,2302</t>
  </si>
  <si>
    <t>3266,1212</t>
  </si>
  <si>
    <t>3696,8576</t>
  </si>
  <si>
    <t>3137,0240</t>
  </si>
  <si>
    <t>1736,6274</t>
  </si>
  <si>
    <t>-17532,7060</t>
  </si>
  <si>
    <t>17532,7060</t>
  </si>
  <si>
    <t>193,5965</t>
  </si>
  <si>
    <t>2014,6802</t>
  </si>
  <si>
    <t>3295,9320</t>
  </si>
  <si>
    <t>3694,0415</t>
  </si>
  <si>
    <t>3102,3355</t>
  </si>
  <si>
    <t>1679,3613</t>
  </si>
  <si>
    <t>-3295,9320</t>
  </si>
  <si>
    <t>-2506,8030</t>
  </si>
  <si>
    <t>2506,8030</t>
  </si>
  <si>
    <t>-3066,7020</t>
  </si>
  <si>
    <t>258,0369</t>
  </si>
  <si>
    <t>206,8516</t>
  </si>
  <si>
    <t>3324,7389</t>
  </si>
  <si>
    <t>3690,1002</t>
  </si>
  <si>
    <t>3066,7020</t>
  </si>
  <si>
    <t>1621,5835</t>
  </si>
  <si>
    <t>11990,8190</t>
  </si>
  <si>
    <t>18946,6860</t>
  </si>
  <si>
    <t>-11990,8190</t>
  </si>
  <si>
    <t>-18946,6860</t>
  </si>
  <si>
    <t>322,3988</t>
  </si>
  <si>
    <t>2121,7229</t>
  </si>
  <si>
    <t>3352,5331</t>
  </si>
  <si>
    <t>3685,0348</t>
  </si>
  <si>
    <t>3030,1343</t>
  </si>
  <si>
    <t>1563,3119</t>
  </si>
  <si>
    <t>39,7560</t>
  </si>
  <si>
    <t>-39,7560</t>
  </si>
  <si>
    <t>-1504,5640</t>
  </si>
  <si>
    <t>386,6624</t>
  </si>
  <si>
    <t>2174,2829</t>
  </si>
  <si>
    <t>3379,3061</t>
  </si>
  <si>
    <t>3678,8469</t>
  </si>
  <si>
    <t>2992,6437</t>
  </si>
  <si>
    <t>1504,5640</t>
  </si>
  <si>
    <t>-8168,3730</t>
  </si>
  <si>
    <t>8168,3730</t>
  </si>
  <si>
    <t>450,8082</t>
  </si>
  <si>
    <t>2226,1806</t>
  </si>
  <si>
    <t>3405,0496</t>
  </si>
  <si>
    <t>3671,5384</t>
  </si>
  <si>
    <t>2954,2414</t>
  </si>
  <si>
    <t>1445,3578</t>
  </si>
  <si>
    <t>-450,8082</t>
  </si>
  <si>
    <t>-461,0790</t>
  </si>
  <si>
    <t>461,0790</t>
  </si>
  <si>
    <t>514,8167</t>
  </si>
  <si>
    <t>2277,4001</t>
  </si>
  <si>
    <t>3429,7560</t>
  </si>
  <si>
    <t>3663,1115</t>
  </si>
  <si>
    <t>2914,9392</t>
  </si>
  <si>
    <t>1385,7114</t>
  </si>
  <si>
    <t>-3429,7560</t>
  </si>
  <si>
    <t>-2360,7410</t>
  </si>
  <si>
    <t>1778,9460</t>
  </si>
  <si>
    <t>2360,7410</t>
  </si>
  <si>
    <t>-1778,9460</t>
  </si>
  <si>
    <t>3270,3180</t>
  </si>
  <si>
    <t>-3270,3180</t>
  </si>
  <si>
    <t>578,6685</t>
  </si>
  <si>
    <t>2327,9260</t>
  </si>
  <si>
    <t>3453,4176</t>
  </si>
  <si>
    <t>3653,5688</t>
  </si>
  <si>
    <t>2874,7492</t>
  </si>
  <si>
    <t>1325,6428</t>
  </si>
  <si>
    <t>-2327,9260</t>
  </si>
  <si>
    <t>-449,1070</t>
  </si>
  <si>
    <t>449,1070</t>
  </si>
  <si>
    <t>-16014,4310</t>
  </si>
  <si>
    <t>16014,4310</t>
  </si>
  <si>
    <t>642,3439</t>
  </si>
  <si>
    <t>2377,7427</t>
  </si>
  <si>
    <t>3476,0273</t>
  </si>
  <si>
    <t>3642,9132</t>
  </si>
  <si>
    <t>2833,6834</t>
  </si>
  <si>
    <t>1265,1705</t>
  </si>
  <si>
    <t>705,8237</t>
  </si>
  <si>
    <t>2426,8352</t>
  </si>
  <si>
    <t>3497,5782</t>
  </si>
  <si>
    <t>3631,1479</t>
  </si>
  <si>
    <t>2791,7545</t>
  </si>
  <si>
    <t>1204,3127</t>
  </si>
  <si>
    <t>-6460,1100</t>
  </si>
  <si>
    <t>6460,1100</t>
  </si>
  <si>
    <t>769,0884</t>
  </si>
  <si>
    <t>2475,1884</t>
  </si>
  <si>
    <t>3518,0636</t>
  </si>
  <si>
    <t>3618,2765</t>
  </si>
  <si>
    <t>2748,9752</t>
  </si>
  <si>
    <t>1143,0882</t>
  </si>
  <si>
    <t>-962,3690</t>
  </si>
  <si>
    <t>962,3690</t>
  </si>
  <si>
    <t>-3604,3030</t>
  </si>
  <si>
    <t>832,1189</t>
  </si>
  <si>
    <t>2522,7876</t>
  </si>
  <si>
    <t>3537,4774</t>
  </si>
  <si>
    <t>3604,3030</t>
  </si>
  <si>
    <t>2705,3585</t>
  </si>
  <si>
    <t>1081,5154</t>
  </si>
  <si>
    <t>-2891,3730</t>
  </si>
  <si>
    <t>2891,3730</t>
  </si>
  <si>
    <t>20095,5170</t>
  </si>
  <si>
    <t>-20095,5170</t>
  </si>
  <si>
    <t>894,8959</t>
  </si>
  <si>
    <t>2569,6184</t>
  </si>
  <si>
    <t>3555,8137</t>
  </si>
  <si>
    <t>3589,2316</t>
  </si>
  <si>
    <t>2660,9178</t>
  </si>
  <si>
    <t>1019,6132</t>
  </si>
  <si>
    <t>545,0220</t>
  </si>
  <si>
    <t>-545,0220</t>
  </si>
  <si>
    <t>-5410,7040</t>
  </si>
  <si>
    <t>5410,7040</t>
  </si>
  <si>
    <t>957,4004</t>
  </si>
  <si>
    <t>2615,6665</t>
  </si>
  <si>
    <t>3573,0668</t>
  </si>
  <si>
    <t>-2090,1850</t>
  </si>
  <si>
    <t>2090,1850</t>
  </si>
  <si>
    <t>-1939,2895</t>
  </si>
  <si>
    <t>-193,5965</t>
  </si>
  <si>
    <t>-318,6980</t>
  </si>
  <si>
    <t>318,6980</t>
  </si>
  <si>
    <t>-3137,0240</t>
  </si>
  <si>
    <t>-1793,3646</t>
  </si>
  <si>
    <t>18104,5685</t>
  </si>
  <si>
    <t>-1849,5555</t>
  </si>
  <si>
    <t>جدول الحركات في الستين المبسوطة لطلب الإجتماع</t>
  </si>
  <si>
    <t>جدول الحركات في الشهور الطلب الاجتماع</t>
  </si>
  <si>
    <t>TAHUN HIJRIAH</t>
  </si>
  <si>
    <t>الشهور
الهجرية</t>
  </si>
  <si>
    <t>MUHARRAM</t>
  </si>
  <si>
    <t>SHAFAR</t>
  </si>
  <si>
    <t>RABIUL AWWAL</t>
  </si>
  <si>
    <t>RABIUL AKHIR</t>
  </si>
  <si>
    <t>JUMADUL ULA</t>
  </si>
  <si>
    <t>JUMADUL AKHIROH</t>
  </si>
  <si>
    <t>RAJAB</t>
  </si>
  <si>
    <t>SYABAN</t>
  </si>
  <si>
    <t>RAMADHAN</t>
  </si>
  <si>
    <t>SYAWWAL</t>
  </si>
  <si>
    <t>DZUL QAIDAH</t>
  </si>
  <si>
    <t>DZUL HIJJAH</t>
  </si>
  <si>
    <t>Tgl</t>
  </si>
  <si>
    <t>JANUARI</t>
  </si>
  <si>
    <t>PEBRUARI</t>
  </si>
  <si>
    <t xml:space="preserve">MARET </t>
  </si>
  <si>
    <t>APRIL</t>
  </si>
  <si>
    <t>MEI</t>
  </si>
  <si>
    <t>JUNI</t>
  </si>
  <si>
    <t>Deklinasi</t>
  </si>
  <si>
    <t>Tdl Wkt</t>
  </si>
  <si>
    <t xml:space="preserve">Tgl </t>
  </si>
  <si>
    <t>JULI</t>
  </si>
  <si>
    <t>AGUSTUS</t>
  </si>
  <si>
    <t>SEPTEMBER</t>
  </si>
  <si>
    <t>OKTOBER</t>
  </si>
  <si>
    <t>NOVEMBER</t>
  </si>
  <si>
    <t>DESEMBER</t>
  </si>
  <si>
    <t>Ta'dil B1 dengan dalil (N)</t>
  </si>
  <si>
    <t>0,1790</t>
  </si>
  <si>
    <t>4,3490</t>
  </si>
  <si>
    <t>-0,1790</t>
  </si>
  <si>
    <t>-4,3490</t>
  </si>
  <si>
    <t>2,7930</t>
  </si>
  <si>
    <t>-2,7930</t>
  </si>
  <si>
    <t>0,4470</t>
  </si>
  <si>
    <t>-0,4470</t>
  </si>
  <si>
    <t>0,5360</t>
  </si>
  <si>
    <t>-0,5360</t>
  </si>
  <si>
    <t>0,6250</t>
  </si>
  <si>
    <t>5,0900</t>
  </si>
  <si>
    <t>-0,6250</t>
  </si>
  <si>
    <t>-5,0900</t>
  </si>
  <si>
    <t>5,0340</t>
  </si>
  <si>
    <t>-5,0340</t>
  </si>
  <si>
    <t>3,8110</t>
  </si>
  <si>
    <t>-3,8110</t>
  </si>
  <si>
    <t>Ta'dil B2 dengan dalil (A+N)</t>
  </si>
  <si>
    <t>0,2430</t>
  </si>
  <si>
    <t>-0,2430</t>
  </si>
  <si>
    <t>0,1360</t>
  </si>
  <si>
    <t>-0,1360</t>
  </si>
  <si>
    <t>0,2380</t>
  </si>
  <si>
    <t>-0,2380</t>
  </si>
  <si>
    <t>0,2500</t>
  </si>
  <si>
    <t>-0,2500</t>
  </si>
  <si>
    <t>0,1230</t>
  </si>
  <si>
    <t>-0,1230</t>
  </si>
  <si>
    <t>0,2270</t>
  </si>
  <si>
    <t>-0,2270</t>
  </si>
  <si>
    <t>0,2620</t>
  </si>
  <si>
    <t>-0,2620</t>
  </si>
  <si>
    <t>0,2150</t>
  </si>
  <si>
    <t>0,0960</t>
  </si>
  <si>
    <t>-0,2150</t>
  </si>
  <si>
    <t>-0,0960</t>
  </si>
  <si>
    <t>0,0820</t>
  </si>
  <si>
    <t>-0,0820</t>
  </si>
  <si>
    <t>0,2710</t>
  </si>
  <si>
    <t>-0,2710</t>
  </si>
  <si>
    <t>Ta'dil B3 dengan dalil (A-N)</t>
  </si>
  <si>
    <t>0,1430</t>
  </si>
  <si>
    <t>-0,1430</t>
  </si>
  <si>
    <t>0,1710</t>
  </si>
  <si>
    <t>0,2750</t>
  </si>
  <si>
    <t>0,1040</t>
  </si>
  <si>
    <t>-0,1710</t>
  </si>
  <si>
    <t>-0,2750</t>
  </si>
  <si>
    <t>-0,1040</t>
  </si>
  <si>
    <t>0,0950</t>
  </si>
  <si>
    <t>-0,0950</t>
  </si>
  <si>
    <t>0,2770</t>
  </si>
  <si>
    <t>-0,2770</t>
  </si>
  <si>
    <t>Ta'dil B4 dengan dalil (2xD-N)</t>
  </si>
  <si>
    <t>0,1500</t>
  </si>
  <si>
    <t>-0,1500</t>
  </si>
  <si>
    <t>0,1530</t>
  </si>
  <si>
    <t>-0,1530</t>
  </si>
  <si>
    <t>-0,1730</t>
  </si>
  <si>
    <t>0,1090</t>
  </si>
  <si>
    <t>-0,1090</t>
  </si>
  <si>
    <t>0,0360</t>
  </si>
  <si>
    <t>-0,0360</t>
  </si>
  <si>
    <t>0,1730</t>
  </si>
  <si>
    <t>Tahun Majmuah</t>
  </si>
  <si>
    <t xml:space="preserve">Julian </t>
  </si>
  <si>
    <t xml:space="preserve">Tahun </t>
  </si>
  <si>
    <t>Tahun Mabsuthah</t>
  </si>
  <si>
    <t>Bulan Miladiyah</t>
  </si>
  <si>
    <t>Julian</t>
  </si>
  <si>
    <t>Januari (B)</t>
  </si>
  <si>
    <t>Januari (K)</t>
  </si>
  <si>
    <t>Februari (B)</t>
  </si>
  <si>
    <t>Februari (K)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</si>
  <si>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</si>
  <si>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</si>
  <si>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</si>
  <si>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</si>
  <si>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</si>
  <si>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</si>
  <si>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</si>
  <si>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</si>
  <si>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</si>
  <si>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</si>
  <si>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202,3370</t>
  </si>
  <si>
    <t>96,9900</t>
  </si>
  <si>
    <t>5,9060</t>
  </si>
  <si>
    <t>236,4080</t>
  </si>
  <si>
    <t>337,4190</t>
  </si>
  <si>
    <t>23,410370</t>
  </si>
  <si>
    <t>23,436860</t>
  </si>
  <si>
    <t>23,444430</t>
  </si>
  <si>
    <t>23,452000</t>
  </si>
  <si>
    <t>23,486040</t>
  </si>
  <si>
    <t>23,482260</t>
  </si>
  <si>
    <t>23,478480</t>
  </si>
  <si>
    <t>23,523770</t>
  </si>
  <si>
    <t>23,561330</t>
  </si>
  <si>
    <t>23,576290</t>
  </si>
  <si>
    <t>11,0310</t>
  </si>
  <si>
    <t>9,7860</t>
  </si>
  <si>
    <t>7,8040</t>
  </si>
  <si>
    <t>111,9280</t>
  </si>
  <si>
    <t>249,3750</t>
  </si>
  <si>
    <t>30,4090</t>
  </si>
  <si>
    <t>275,3340</t>
  </si>
  <si>
    <t>52,4990</t>
  </si>
  <si>
    <t>178,6020</t>
  </si>
  <si>
    <t>63,4740</t>
  </si>
  <si>
    <t>315,3030</t>
  </si>
  <si>
    <t>278,5090</t>
  </si>
  <si>
    <t>14,0080</t>
  </si>
  <si>
    <t>241,7660</t>
  </si>
  <si>
    <t>271,1860</t>
  </si>
  <si>
    <t>6,7480</t>
  </si>
  <si>
    <t>293,5740</t>
  </si>
  <si>
    <t>286,6850</t>
  </si>
  <si>
    <t>316,3410</t>
  </si>
  <si>
    <t>184,2140</t>
  </si>
  <si>
    <t>15,7670</t>
  </si>
  <si>
    <t>55,9680</t>
  </si>
  <si>
    <t>169,7210</t>
  </si>
  <si>
    <t>100,4730</t>
  </si>
  <si>
    <t>291,8810</t>
  </si>
  <si>
    <t>123,2830</t>
  </si>
  <si>
    <t>314,6790</t>
  </si>
  <si>
    <t>214,2890</t>
  </si>
  <si>
    <t>189,3210</t>
  </si>
  <si>
    <t>348,9192</t>
  </si>
  <si>
    <t>337,8383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</si>
</sst>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00"/>
    <numFmt numFmtId="167" formatCode="0.000"/>
  </numFmts>
  <fonts count="13" x14ac:knownFonts="1">
    <font>
      <sz val="11"/>
      <color theme="1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  <charset val="1"/>
    </font>
    <font>
      <sz val="12"/>
      <color rgb="FF9C5700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4">
    <xf numFmtId="0" fontId="0" fillId="0" borderId="0" xfId="0"/>
    <xf numFmtId="49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49" fontId="7" fillId="2" borderId="1" xfId="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top" wrapText="1"/>
    </xf>
    <xf numFmtId="166" fontId="3" fillId="0" borderId="1" xfId="0" applyNumberFormat="1" applyFont="1" applyBorder="1" applyAlignment="1">
      <alignment horizontal="center" wrapText="1"/>
    </xf>
    <xf numFmtId="166" fontId="3" fillId="0" borderId="1" xfId="0" applyNumberFormat="1" applyFont="1" applyBorder="1" applyAlignment="1">
      <alignment horizontal="center"/>
    </xf>
    <xf numFmtId="0" fontId="2" fillId="0" borderId="0" xfId="0" applyFont="1"/>
    <xf numFmtId="49" fontId="10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49" fontId="8" fillId="0" borderId="13" xfId="0" applyNumberFormat="1" applyFont="1" applyBorder="1" applyAlignment="1">
      <alignment horizontal="center" vertical="center"/>
    </xf>
    <xf numFmtId="49" fontId="0" fillId="0" borderId="0" xfId="0" applyNumberFormat="1"/>
    <xf numFmtId="49" fontId="4" fillId="0" borderId="13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0" xfId="0" applyNumberFormat="1" applyFont="1"/>
    <xf numFmtId="0" fontId="0" fillId="0" borderId="13" xfId="0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5" borderId="13" xfId="0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12" fillId="0" borderId="13" xfId="0" applyNumberFormat="1" applyFont="1" applyBorder="1" applyAlignment="1">
      <alignment horizontal="center"/>
    </xf>
    <xf numFmtId="0" fontId="0" fillId="5" borderId="13" xfId="0" applyFill="1" applyBorder="1"/>
    <xf numFmtId="49" fontId="4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/>
    <xf numFmtId="49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" fillId="0" borderId="3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18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0" fontId="0" fillId="4" borderId="13" xfId="0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9" fontId="10" fillId="0" borderId="14" xfId="0" applyNumberFormat="1" applyFont="1" applyBorder="1" applyAlignment="1">
      <alignment horizontal="center" vertical="center"/>
    </xf>
    <xf numFmtId="49" fontId="10" fillId="0" borderId="15" xfId="0" applyNumberFormat="1" applyFont="1" applyBorder="1" applyAlignment="1">
      <alignment horizontal="center" vertical="center"/>
    </xf>
    <xf numFmtId="49" fontId="10" fillId="0" borderId="16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center" vertical="center"/>
    </xf>
    <xf numFmtId="0" fontId="10" fillId="0" borderId="13" xfId="0" applyFont="1" applyBorder="1"/>
    <xf numFmtId="0" fontId="8" fillId="0" borderId="0" xfId="0" applyFont="1"/>
    <xf numFmtId="49" fontId="4" fillId="0" borderId="13" xfId="0" applyNumberFormat="1" applyFont="1" applyBorder="1" applyAlignment="1">
      <alignment horizontal="center"/>
    </xf>
    <xf numFmtId="49" fontId="4" fillId="0" borderId="13" xfId="0" applyNumberFormat="1" applyFont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49" fontId="8" fillId="0" borderId="13" xfId="0" applyNumberFormat="1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C372D-A175-4A3C-BB9C-BCCEE8CE5DCF}">
  <dimension ref="A1:CB76"/>
  <sheetViews>
    <sheetView zoomScale="90" zoomScaleNormal="90" zoomScaleSheetLayoutView="100" workbookViewId="0">
      <selection activeCell="L19" sqref="L19"/>
    </sheetView>
  </sheetViews>
  <sheetFormatPr defaultRowHeight="14.5" x14ac:dyDescent="0.35"/>
  <cols>
    <col min="2" max="2" width="12.54296875" customWidth="1"/>
    <col min="3" max="3" width="17.26953125" customWidth="1"/>
    <col min="4" max="4" width="14.54296875" customWidth="1"/>
    <col min="5" max="6" width="12.453125" customWidth="1"/>
    <col min="9" max="9" width="13" customWidth="1"/>
    <col min="10" max="10" width="15.453125" customWidth="1"/>
    <col min="11" max="11" width="14.1796875" customWidth="1"/>
    <col min="12" max="12" width="13.81640625" customWidth="1"/>
    <col min="13" max="13" width="12.26953125" customWidth="1"/>
    <col min="15" max="15" width="11.7265625" customWidth="1"/>
    <col min="16" max="16" width="10.26953125" customWidth="1"/>
    <col min="17" max="17" width="11" customWidth="1"/>
    <col min="20" max="20" width="11.81640625" customWidth="1"/>
    <col min="21" max="21" width="10.54296875" customWidth="1"/>
    <col min="22" max="22" width="11" customWidth="1"/>
    <col min="23" max="23" width="10.54296875" customWidth="1"/>
    <col min="24" max="24" width="10.7265625" customWidth="1"/>
    <col min="25" max="25" width="11.1796875" customWidth="1"/>
    <col min="26" max="26" width="12" customWidth="1"/>
    <col min="27" max="27" width="11.81640625" customWidth="1"/>
    <col min="30" max="30" width="11" customWidth="1"/>
    <col min="31" max="31" width="11.26953125" customWidth="1"/>
    <col min="32" max="32" width="12.26953125" customWidth="1"/>
    <col min="33" max="33" width="10.54296875" customWidth="1"/>
    <col min="35" max="35" width="11.453125" customWidth="1"/>
    <col min="36" max="36" width="11.7265625" customWidth="1"/>
    <col min="37" max="37" width="11.81640625" customWidth="1"/>
    <col min="38" max="42" width="9.54296875" bestFit="1" customWidth="1"/>
    <col min="54" max="54" width="10" customWidth="1"/>
    <col min="56" max="56" width="10.453125" customWidth="1"/>
    <col min="63" max="63" width="12.7265625" customWidth="1"/>
    <col min="65" max="65" width="9.1796875" customWidth="1"/>
    <col min="66" max="66" width="11.1796875" customWidth="1"/>
    <col min="67" max="67" width="10.1796875" customWidth="1"/>
    <col min="68" max="70" width="10" customWidth="1"/>
    <col min="71" max="72" width="9.54296875" bestFit="1" customWidth="1"/>
    <col min="73" max="73" width="11.7265625" customWidth="1"/>
    <col min="76" max="76" width="9.26953125" bestFit="1" customWidth="1"/>
    <col min="77" max="79" width="9.54296875" bestFit="1" customWidth="1"/>
    <col min="80" max="81" width="13.1796875" bestFit="1" customWidth="1"/>
    <col min="82" max="82" width="11.7265625" customWidth="1"/>
    <col min="83" max="83" width="14.453125" customWidth="1"/>
    <col min="84" max="84" width="12.453125" customWidth="1"/>
    <col min="85" max="85" width="13.1796875" customWidth="1"/>
    <col min="86" max="86" width="12.26953125" customWidth="1"/>
    <col min="87" max="87" width="16.26953125" customWidth="1"/>
    <col min="91" max="91" width="16.81640625" customWidth="1"/>
    <col min="92" max="92" width="16.26953125" customWidth="1"/>
    <col min="93" max="93" width="12.54296875" customWidth="1"/>
    <col min="94" max="94" width="15" customWidth="1"/>
    <col min="95" max="95" width="14.26953125" customWidth="1"/>
    <col min="96" max="96" width="12.81640625" customWidth="1"/>
    <col min="97" max="97" width="14.26953125" customWidth="1"/>
    <col min="98" max="98" width="12.54296875" customWidth="1"/>
    <col min="99" max="99" width="14" customWidth="1"/>
    <col min="100" max="100" width="11.453125" customWidth="1"/>
    <col min="101" max="101" width="13.26953125" customWidth="1"/>
  </cols>
  <sheetData>
    <row r="1" spans="1:55" x14ac:dyDescent="0.35">
      <c r="B1" s="46"/>
      <c r="C1" s="47"/>
      <c r="D1" s="47"/>
      <c r="E1" s="47"/>
      <c r="F1" s="47"/>
    </row>
    <row r="2" spans="1:55" ht="15" thickBot="1" x14ac:dyDescent="0.4">
      <c r="B2" s="48"/>
      <c r="C2" s="48"/>
      <c r="D2" s="48"/>
      <c r="E2" s="48"/>
      <c r="F2" s="48"/>
    </row>
    <row r="3" spans="1:55" ht="16" thickBot="1" x14ac:dyDescent="0.4">
      <c r="A3" t="s">
        <v>0</v>
      </c>
      <c r="B3" s="51" t="s">
        <v>11</v>
      </c>
      <c r="C3" s="51"/>
      <c r="D3" s="51"/>
      <c r="E3" s="51"/>
      <c r="F3" s="51"/>
      <c r="G3" s="4"/>
      <c r="H3" s="4"/>
      <c r="N3" s="4"/>
      <c r="O3" s="4"/>
      <c r="X3" s="4"/>
      <c r="Y3" s="4"/>
      <c r="AH3" s="4"/>
      <c r="BB3" s="4"/>
      <c r="BC3" s="4"/>
    </row>
    <row r="4" spans="1:55" ht="16" thickBot="1" x14ac:dyDescent="0.4">
      <c r="B4" s="49" t="s">
        <v>10</v>
      </c>
      <c r="C4" s="5" t="s">
        <v>9</v>
      </c>
      <c r="D4" s="5" t="s">
        <v>8</v>
      </c>
      <c r="E4" s="5" t="s">
        <v>7</v>
      </c>
      <c r="F4" s="5" t="s">
        <v>6</v>
      </c>
      <c r="G4" s="4"/>
      <c r="BB4" s="4"/>
      <c r="BC4" s="4"/>
    </row>
    <row r="5" spans="1:55" ht="16" thickBot="1" x14ac:dyDescent="0.4">
      <c r="B5" s="50"/>
      <c r="C5" s="6" t="s">
        <v>5</v>
      </c>
      <c r="D5" s="6" t="s">
        <v>4</v>
      </c>
      <c r="E5" s="6" t="s">
        <v>3</v>
      </c>
      <c r="F5" s="6" t="s">
        <v>2</v>
      </c>
      <c r="G5" s="4"/>
      <c r="BB5" s="4"/>
      <c r="BC5" s="4"/>
    </row>
    <row r="6" spans="1:55" ht="16" thickBot="1" x14ac:dyDescent="0.4">
      <c r="B6" s="5">
        <v>1</v>
      </c>
      <c r="C6" s="5">
        <v>2</v>
      </c>
      <c r="D6" s="5">
        <v>3</v>
      </c>
      <c r="E6" s="5">
        <v>4</v>
      </c>
      <c r="F6" s="5">
        <v>5</v>
      </c>
      <c r="G6" s="4"/>
      <c r="BB6" s="4"/>
      <c r="BC6" s="4"/>
    </row>
    <row r="7" spans="1:55" ht="16" thickBot="1" x14ac:dyDescent="0.4">
      <c r="B7" s="2">
        <v>-180</v>
      </c>
      <c r="C7" s="1">
        <v>1884297.0508000001</v>
      </c>
      <c r="D7" s="1">
        <v>330.62040000000002</v>
      </c>
      <c r="E7" s="1">
        <v>6.7172999999999998</v>
      </c>
      <c r="F7" s="1">
        <v>357.75170000000003</v>
      </c>
      <c r="G7" s="4"/>
      <c r="BB7" s="4"/>
      <c r="BC7" s="4"/>
    </row>
    <row r="8" spans="1:55" ht="16" thickBot="1" x14ac:dyDescent="0.4">
      <c r="B8" s="2">
        <v>-150</v>
      </c>
      <c r="C8" s="1">
        <v>1894928.0615000001</v>
      </c>
      <c r="D8" s="1">
        <v>212.0162</v>
      </c>
      <c r="E8" s="1">
        <v>300.71550000000002</v>
      </c>
      <c r="F8" s="1">
        <v>35.680300000000003</v>
      </c>
      <c r="G8" s="4"/>
      <c r="BB8" s="4"/>
      <c r="BC8" s="4"/>
    </row>
    <row r="9" spans="1:55" ht="16" thickBot="1" x14ac:dyDescent="0.4">
      <c r="B9" s="2">
        <v>-120</v>
      </c>
      <c r="C9" s="1">
        <v>1905559.0722000001</v>
      </c>
      <c r="D9" s="1">
        <v>93.411799999999999</v>
      </c>
      <c r="E9" s="1">
        <v>234.71549999999999</v>
      </c>
      <c r="F9" s="1">
        <v>73.608800000000002</v>
      </c>
      <c r="G9" s="4"/>
      <c r="BB9" s="4"/>
      <c r="BC9" s="4"/>
    </row>
    <row r="10" spans="1:55" ht="16" thickBot="1" x14ac:dyDescent="0.4">
      <c r="B10" s="2">
        <v>-90</v>
      </c>
      <c r="C10" s="1">
        <v>1916190.0830000001</v>
      </c>
      <c r="D10" s="1">
        <v>334.80720000000002</v>
      </c>
      <c r="E10" s="1">
        <v>168.71729999999999</v>
      </c>
      <c r="F10" s="1">
        <v>111.53740000000001</v>
      </c>
      <c r="G10" s="4"/>
      <c r="BB10" s="4"/>
      <c r="BC10" s="4"/>
    </row>
    <row r="11" spans="1:55" ht="16" thickBot="1" x14ac:dyDescent="0.4">
      <c r="B11" s="2">
        <v>-60</v>
      </c>
      <c r="C11" s="1">
        <v>1926821.0937000001</v>
      </c>
      <c r="D11" s="1">
        <v>216.2022</v>
      </c>
      <c r="E11" s="1">
        <v>102.721</v>
      </c>
      <c r="F11" s="1">
        <v>149.46600000000001</v>
      </c>
      <c r="G11" s="4"/>
      <c r="BB11" s="4"/>
      <c r="BC11" s="4"/>
    </row>
    <row r="12" spans="1:55" ht="16" thickBot="1" x14ac:dyDescent="0.4">
      <c r="B12" s="2">
        <v>-30</v>
      </c>
      <c r="C12" s="1">
        <v>1937452.1044999999</v>
      </c>
      <c r="D12" s="1">
        <v>97.596999999999994</v>
      </c>
      <c r="E12" s="1">
        <v>36.726500000000001</v>
      </c>
      <c r="F12" s="1">
        <v>187.3946</v>
      </c>
      <c r="G12" s="4"/>
      <c r="BB12" s="4"/>
      <c r="BC12" s="4"/>
    </row>
    <row r="13" spans="1:55" ht="16" thickBot="1" x14ac:dyDescent="0.4">
      <c r="B13" s="2">
        <v>0</v>
      </c>
      <c r="C13" s="1">
        <v>1948083.1152999999</v>
      </c>
      <c r="D13" s="1">
        <v>338.99149999999997</v>
      </c>
      <c r="E13" s="1">
        <v>330.73379999999997</v>
      </c>
      <c r="F13" s="1">
        <v>225.32320000000001</v>
      </c>
      <c r="G13" s="4"/>
      <c r="BB13" s="4"/>
      <c r="BC13" s="4"/>
    </row>
    <row r="14" spans="1:55" ht="16" thickBot="1" x14ac:dyDescent="0.4">
      <c r="B14" s="2">
        <v>30</v>
      </c>
      <c r="C14" s="1">
        <v>1958714.1262000001</v>
      </c>
      <c r="D14" s="1">
        <v>220.38570000000001</v>
      </c>
      <c r="E14" s="1">
        <v>264.74290000000002</v>
      </c>
      <c r="F14" s="1">
        <v>263.25170000000003</v>
      </c>
      <c r="G14" s="4"/>
      <c r="BB14" s="4"/>
      <c r="BC14" s="4"/>
    </row>
    <row r="15" spans="1:55" ht="16" thickBot="1" x14ac:dyDescent="0.4">
      <c r="B15" s="2">
        <v>60</v>
      </c>
      <c r="C15" s="1">
        <v>1969345.1370000001</v>
      </c>
      <c r="D15" s="1">
        <v>101.77970000000001</v>
      </c>
      <c r="E15" s="1">
        <v>198.75389999999999</v>
      </c>
      <c r="F15" s="1">
        <v>301.18029999999999</v>
      </c>
      <c r="G15" s="4"/>
      <c r="BB15" s="4"/>
      <c r="BC15" s="4"/>
    </row>
    <row r="16" spans="1:55" ht="16" thickBot="1" x14ac:dyDescent="0.4">
      <c r="B16" s="2">
        <v>90</v>
      </c>
      <c r="C16" s="1">
        <v>1979976.1479</v>
      </c>
      <c r="D16" s="1">
        <v>343.17340000000002</v>
      </c>
      <c r="E16" s="1">
        <v>132.76669999999999</v>
      </c>
      <c r="F16" s="1">
        <v>339.10890000000001</v>
      </c>
      <c r="G16" s="4"/>
      <c r="BB16" s="4"/>
      <c r="BC16" s="4"/>
    </row>
    <row r="17" spans="2:55" ht="16" thickBot="1" x14ac:dyDescent="0.4">
      <c r="B17" s="2">
        <v>120</v>
      </c>
      <c r="C17" s="1">
        <v>1990607.1588000001</v>
      </c>
      <c r="D17" s="1">
        <v>224.5668</v>
      </c>
      <c r="E17" s="1">
        <v>66.781300000000002</v>
      </c>
      <c r="F17" s="1">
        <v>17.037400000000002</v>
      </c>
      <c r="G17" s="4"/>
      <c r="BB17" s="4"/>
      <c r="BC17" s="4"/>
    </row>
    <row r="18" spans="2:55" ht="16" thickBot="1" x14ac:dyDescent="0.4">
      <c r="B18" s="2">
        <v>150</v>
      </c>
      <c r="C18" s="1">
        <v>2001238.1698</v>
      </c>
      <c r="D18" s="1">
        <v>105.9599</v>
      </c>
      <c r="E18" s="1">
        <v>0.79779999999999995</v>
      </c>
      <c r="F18" s="1">
        <v>54.966000000000001</v>
      </c>
      <c r="G18" s="4"/>
      <c r="BB18" s="4"/>
      <c r="BC18" s="4"/>
    </row>
    <row r="19" spans="2:55" ht="16" thickBot="1" x14ac:dyDescent="0.4">
      <c r="B19" s="2">
        <v>180</v>
      </c>
      <c r="C19" s="1">
        <v>2011869.1806999999</v>
      </c>
      <c r="D19" s="1">
        <v>347.35270000000003</v>
      </c>
      <c r="E19" s="1">
        <v>294.81610000000001</v>
      </c>
      <c r="F19" s="1">
        <v>92.894499999999994</v>
      </c>
      <c r="G19" s="4"/>
      <c r="BB19" s="4"/>
      <c r="BC19" s="4"/>
    </row>
    <row r="20" spans="2:55" ht="16" thickBot="1" x14ac:dyDescent="0.4">
      <c r="B20" s="2">
        <v>210</v>
      </c>
      <c r="C20" s="1">
        <v>2022500.1917000001</v>
      </c>
      <c r="D20" s="1">
        <v>228.74529999999999</v>
      </c>
      <c r="E20" s="1">
        <v>228.83619999999999</v>
      </c>
      <c r="F20" s="1">
        <v>130.82310000000001</v>
      </c>
      <c r="G20" s="4"/>
      <c r="BB20" s="4"/>
      <c r="BC20" s="4"/>
    </row>
    <row r="21" spans="2:55" ht="16" thickBot="1" x14ac:dyDescent="0.4">
      <c r="B21" s="2">
        <v>240</v>
      </c>
      <c r="C21" s="1">
        <v>2033131.2027</v>
      </c>
      <c r="D21" s="1">
        <v>110.13760000000001</v>
      </c>
      <c r="E21" s="1">
        <v>162.85820000000001</v>
      </c>
      <c r="F21" s="1">
        <v>168.7517</v>
      </c>
      <c r="G21" s="4"/>
      <c r="BB21" s="4"/>
      <c r="BC21" s="4"/>
    </row>
    <row r="22" spans="2:55" ht="16" thickBot="1" x14ac:dyDescent="0.4">
      <c r="B22" s="2">
        <v>270</v>
      </c>
      <c r="C22" s="1">
        <v>2043762.2138</v>
      </c>
      <c r="D22" s="1">
        <v>351.52960000000002</v>
      </c>
      <c r="E22" s="1">
        <v>96.882099999999994</v>
      </c>
      <c r="F22" s="1">
        <v>206.68020000000001</v>
      </c>
      <c r="G22" s="4"/>
      <c r="BB22" s="4"/>
      <c r="BC22" s="4"/>
    </row>
    <row r="23" spans="2:55" ht="16" thickBot="1" x14ac:dyDescent="0.4">
      <c r="B23" s="2">
        <v>300</v>
      </c>
      <c r="C23" s="1">
        <v>2054393.2249</v>
      </c>
      <c r="D23" s="1">
        <v>232.92140000000001</v>
      </c>
      <c r="E23" s="1">
        <v>30.907800000000002</v>
      </c>
      <c r="F23" s="1">
        <v>244.6087</v>
      </c>
      <c r="G23" s="4"/>
      <c r="BB23" s="4"/>
      <c r="BC23" s="4"/>
    </row>
    <row r="24" spans="2:55" ht="16" thickBot="1" x14ac:dyDescent="0.4">
      <c r="B24" s="2">
        <v>330</v>
      </c>
      <c r="C24" s="1">
        <v>2065024.2359</v>
      </c>
      <c r="D24" s="1">
        <v>114.3128</v>
      </c>
      <c r="E24" s="1">
        <v>324.93529999999998</v>
      </c>
      <c r="F24" s="1">
        <v>282.53730000000002</v>
      </c>
      <c r="G24" s="4"/>
      <c r="BB24" s="4"/>
      <c r="BC24" s="4"/>
    </row>
    <row r="25" spans="2:55" ht="16" thickBot="1" x14ac:dyDescent="0.4">
      <c r="B25" s="2">
        <v>360</v>
      </c>
      <c r="C25" s="1">
        <v>2075655.2471</v>
      </c>
      <c r="D25" s="1">
        <v>355.70400000000001</v>
      </c>
      <c r="E25" s="1">
        <v>258.96469999999999</v>
      </c>
      <c r="F25" s="1">
        <v>320.4658</v>
      </c>
      <c r="G25" s="4"/>
      <c r="BB25" s="4"/>
      <c r="BC25" s="4"/>
    </row>
    <row r="26" spans="2:55" ht="16" thickBot="1" x14ac:dyDescent="0.4">
      <c r="B26" s="2">
        <v>390</v>
      </c>
      <c r="C26" s="1">
        <v>2086286.2582</v>
      </c>
      <c r="D26" s="1">
        <v>237.0949</v>
      </c>
      <c r="E26" s="1">
        <v>192.99590000000001</v>
      </c>
      <c r="F26" s="1">
        <v>358.39429999999999</v>
      </c>
      <c r="G26" s="4"/>
      <c r="BB26" s="4"/>
      <c r="BC26" s="4"/>
    </row>
    <row r="27" spans="2:55" ht="16" thickBot="1" x14ac:dyDescent="0.4">
      <c r="B27" s="2">
        <v>420</v>
      </c>
      <c r="C27" s="1">
        <v>2096917.2694000001</v>
      </c>
      <c r="D27" s="1">
        <v>118.4855</v>
      </c>
      <c r="E27" s="1">
        <v>127.0291</v>
      </c>
      <c r="F27" s="1">
        <v>36.322899999999997</v>
      </c>
      <c r="G27" s="4"/>
      <c r="BB27" s="4"/>
      <c r="BC27" s="4"/>
    </row>
    <row r="28" spans="2:55" ht="16" thickBot="1" x14ac:dyDescent="0.4">
      <c r="B28" s="2">
        <v>450</v>
      </c>
      <c r="C28" s="1">
        <v>2107548.2806000002</v>
      </c>
      <c r="D28" s="1">
        <v>359.8759</v>
      </c>
      <c r="E28" s="1">
        <v>61.064</v>
      </c>
      <c r="F28" s="1">
        <v>74.251400000000004</v>
      </c>
      <c r="G28" s="4"/>
      <c r="BB28" s="4"/>
      <c r="BC28" s="4"/>
    </row>
    <row r="29" spans="2:55" ht="16" thickBot="1" x14ac:dyDescent="0.4">
      <c r="B29" s="2">
        <v>480</v>
      </c>
      <c r="C29" s="1">
        <v>2118179.2917999998</v>
      </c>
      <c r="D29" s="1">
        <v>241.26589999999999</v>
      </c>
      <c r="E29" s="1">
        <v>355.10090000000002</v>
      </c>
      <c r="F29" s="1">
        <v>112.1799</v>
      </c>
      <c r="G29" s="4"/>
      <c r="BB29" s="4"/>
      <c r="BC29" s="4"/>
    </row>
    <row r="30" spans="2:55" ht="16" thickBot="1" x14ac:dyDescent="0.4">
      <c r="B30" s="2">
        <v>510</v>
      </c>
      <c r="C30" s="1">
        <v>2128810.3029999998</v>
      </c>
      <c r="D30" s="1">
        <v>122.6557</v>
      </c>
      <c r="E30" s="1">
        <v>289.13959999999997</v>
      </c>
      <c r="F30" s="1">
        <v>150.10839999999999</v>
      </c>
      <c r="G30" s="4"/>
      <c r="BB30" s="4"/>
      <c r="BC30" s="4"/>
    </row>
    <row r="31" spans="2:55" ht="16" thickBot="1" x14ac:dyDescent="0.4">
      <c r="B31" s="2">
        <v>540</v>
      </c>
      <c r="C31" s="1">
        <v>2139441.3143000002</v>
      </c>
      <c r="D31" s="1">
        <v>4.0452000000000004</v>
      </c>
      <c r="E31" s="1">
        <v>223.18010000000001</v>
      </c>
      <c r="F31" s="1">
        <v>188.03700000000001</v>
      </c>
      <c r="G31" s="4"/>
      <c r="BB31" s="4"/>
      <c r="BC31" s="4"/>
    </row>
    <row r="32" spans="2:55" ht="16" thickBot="1" x14ac:dyDescent="0.4">
      <c r="B32" s="2">
        <v>570</v>
      </c>
      <c r="C32" s="1">
        <v>2150072.3256000001</v>
      </c>
      <c r="D32" s="1">
        <v>245.43440000000001</v>
      </c>
      <c r="E32" s="1">
        <v>157.2226</v>
      </c>
      <c r="F32" s="1">
        <v>225.96549999999999</v>
      </c>
      <c r="G32" s="4"/>
      <c r="H32" s="4"/>
      <c r="N32" s="4"/>
      <c r="BB32" s="4"/>
      <c r="BC32" s="4"/>
    </row>
    <row r="33" spans="2:80" ht="16" thickBot="1" x14ac:dyDescent="0.4">
      <c r="B33" s="2">
        <v>600</v>
      </c>
      <c r="C33" s="1">
        <v>2160703.3369</v>
      </c>
      <c r="D33" s="1">
        <v>126.8233</v>
      </c>
      <c r="E33" s="1">
        <v>91.266900000000007</v>
      </c>
      <c r="F33" s="1">
        <v>263.89400000000001</v>
      </c>
      <c r="G33" s="4"/>
      <c r="H33" s="4"/>
      <c r="N33" s="4"/>
      <c r="BB33" s="4"/>
      <c r="BC33" s="4"/>
    </row>
    <row r="34" spans="2:80" ht="16" thickBot="1" x14ac:dyDescent="0.4">
      <c r="B34" s="2">
        <v>630</v>
      </c>
      <c r="C34" s="1">
        <v>2171334.3481999999</v>
      </c>
      <c r="D34" s="1">
        <v>8.2119999999999997</v>
      </c>
      <c r="E34" s="1">
        <v>25.313099999999999</v>
      </c>
      <c r="F34" s="1">
        <v>301.82249999999999</v>
      </c>
      <c r="G34" s="4"/>
      <c r="H34" s="4"/>
      <c r="N34" s="4"/>
      <c r="BB34" s="4"/>
      <c r="BC34" s="4"/>
    </row>
    <row r="35" spans="2:80" ht="16" thickBot="1" x14ac:dyDescent="0.4">
      <c r="B35" s="2">
        <v>660</v>
      </c>
      <c r="C35" s="1">
        <v>2181965.3596000001</v>
      </c>
      <c r="D35" s="1">
        <v>249.6003</v>
      </c>
      <c r="E35" s="1">
        <v>319.3612</v>
      </c>
      <c r="F35" s="1">
        <v>339.75099999999998</v>
      </c>
      <c r="G35" s="4"/>
      <c r="H35" s="4"/>
      <c r="N35" s="4"/>
      <c r="BB35" s="4"/>
      <c r="BC35" s="4"/>
    </row>
    <row r="36" spans="2:80" ht="16" thickBot="1" x14ac:dyDescent="0.4">
      <c r="B36" s="2">
        <v>690</v>
      </c>
      <c r="C36" s="1">
        <v>2192596.3709999998</v>
      </c>
      <c r="D36" s="1">
        <v>130.98840000000001</v>
      </c>
      <c r="E36" s="1">
        <v>253.4111</v>
      </c>
      <c r="F36" s="1">
        <v>17.679500000000001</v>
      </c>
      <c r="G36" s="4"/>
      <c r="H36" s="4"/>
      <c r="N36" s="4"/>
      <c r="BB36" s="4"/>
      <c r="BC36" s="4"/>
    </row>
    <row r="37" spans="2:80" ht="16" thickBot="1" x14ac:dyDescent="0.4">
      <c r="B37" s="2">
        <v>720</v>
      </c>
      <c r="C37" s="1">
        <v>2203227.3824</v>
      </c>
      <c r="D37" s="1">
        <v>12.376200000000001</v>
      </c>
      <c r="E37" s="1">
        <v>187.46299999999999</v>
      </c>
      <c r="F37" s="1">
        <v>55.607999999999997</v>
      </c>
      <c r="G37" s="4"/>
      <c r="H37" s="4"/>
      <c r="N37" s="4"/>
      <c r="O37" s="4"/>
      <c r="BB37" s="4"/>
      <c r="BC37" s="4"/>
    </row>
    <row r="38" spans="2:80" ht="16" thickBot="1" x14ac:dyDescent="0.4">
      <c r="B38" s="2">
        <v>750</v>
      </c>
      <c r="C38" s="1">
        <v>2213858.3938000002</v>
      </c>
      <c r="D38" s="1">
        <v>253.7637</v>
      </c>
      <c r="E38" s="1">
        <v>121.5167</v>
      </c>
      <c r="F38" s="1">
        <v>93.536500000000004</v>
      </c>
      <c r="BD38" s="3"/>
      <c r="BE38" s="3"/>
      <c r="BF38" s="3"/>
      <c r="BG38" s="3"/>
      <c r="BH38" s="3"/>
      <c r="BI38" s="3"/>
      <c r="BJ38" s="3"/>
      <c r="BK38" s="3"/>
    </row>
    <row r="39" spans="2:80" ht="16" thickBot="1" x14ac:dyDescent="0.4">
      <c r="B39" s="2">
        <v>780</v>
      </c>
      <c r="C39" s="1">
        <v>2224489.4053000002</v>
      </c>
      <c r="D39" s="1">
        <v>135.15090000000001</v>
      </c>
      <c r="E39" s="1">
        <v>55.572299999999998</v>
      </c>
      <c r="F39" s="1">
        <v>131.465</v>
      </c>
    </row>
    <row r="40" spans="2:80" ht="16" thickBot="1" x14ac:dyDescent="0.4">
      <c r="B40" s="2">
        <v>810</v>
      </c>
      <c r="C40" s="1">
        <v>2235120.4167999998</v>
      </c>
      <c r="D40" s="1">
        <v>16.5379</v>
      </c>
      <c r="E40" s="1">
        <v>349.62979999999999</v>
      </c>
      <c r="F40" s="1">
        <v>169.39349999999999</v>
      </c>
      <c r="BW40">
        <v>6</v>
      </c>
      <c r="BX40">
        <v>5</v>
      </c>
      <c r="BY40">
        <v>4</v>
      </c>
      <c r="BZ40">
        <v>3</v>
      </c>
      <c r="CA40">
        <v>2</v>
      </c>
      <c r="CB40">
        <v>1</v>
      </c>
    </row>
    <row r="41" spans="2:80" ht="16" thickBot="1" x14ac:dyDescent="0.4">
      <c r="B41" s="2">
        <v>840</v>
      </c>
      <c r="C41" s="1">
        <v>2245751.4282999998</v>
      </c>
      <c r="D41" s="1">
        <v>257.92450000000002</v>
      </c>
      <c r="E41" s="1">
        <v>283.68920000000003</v>
      </c>
      <c r="F41" s="1">
        <v>207.3219</v>
      </c>
    </row>
    <row r="42" spans="2:80" ht="16" thickBot="1" x14ac:dyDescent="0.4">
      <c r="B42" s="2">
        <v>870</v>
      </c>
      <c r="C42" s="1">
        <v>2256382.4397999998</v>
      </c>
      <c r="D42" s="1">
        <v>139.3109</v>
      </c>
      <c r="E42" s="1">
        <v>217.75040000000001</v>
      </c>
      <c r="F42" s="1">
        <v>245.25040000000001</v>
      </c>
    </row>
    <row r="43" spans="2:80" ht="16" thickBot="1" x14ac:dyDescent="0.4">
      <c r="B43" s="2">
        <v>900</v>
      </c>
      <c r="C43" s="1">
        <v>2267013.4514000001</v>
      </c>
      <c r="D43" s="1">
        <v>20.696999999999999</v>
      </c>
      <c r="E43" s="1">
        <v>151.81360000000001</v>
      </c>
      <c r="F43" s="1">
        <v>283.1789</v>
      </c>
    </row>
    <row r="44" spans="2:80" ht="16" thickBot="1" x14ac:dyDescent="0.4">
      <c r="B44" s="2">
        <v>930</v>
      </c>
      <c r="C44" s="1">
        <v>2277644.463</v>
      </c>
      <c r="D44" s="1">
        <v>262.08280000000002</v>
      </c>
      <c r="E44" s="1">
        <v>85.878699999999995</v>
      </c>
      <c r="F44" s="1">
        <v>321.10739999999998</v>
      </c>
    </row>
    <row r="45" spans="2:80" ht="16" thickBot="1" x14ac:dyDescent="0.4">
      <c r="B45" s="2">
        <v>960</v>
      </c>
      <c r="C45" s="1">
        <v>2288275.4745999998</v>
      </c>
      <c r="D45" s="1">
        <v>143.4683</v>
      </c>
      <c r="E45" s="1">
        <v>19.945699999999999</v>
      </c>
      <c r="F45" s="1">
        <v>359.03579999999999</v>
      </c>
    </row>
    <row r="46" spans="2:80" ht="16" thickBot="1" x14ac:dyDescent="0.4">
      <c r="B46" s="2">
        <v>990</v>
      </c>
      <c r="C46" s="1">
        <v>2298906.4862000002</v>
      </c>
      <c r="D46" s="1">
        <v>24.8535</v>
      </c>
      <c r="E46" s="1">
        <v>314.0145</v>
      </c>
      <c r="F46" s="1">
        <v>36.964300000000001</v>
      </c>
    </row>
    <row r="47" spans="2:80" ht="16" thickBot="1" x14ac:dyDescent="0.4">
      <c r="B47" s="2">
        <v>1020</v>
      </c>
      <c r="C47" s="1">
        <v>2309537.4978999998</v>
      </c>
      <c r="D47" s="1">
        <v>266.23840000000001</v>
      </c>
      <c r="E47" s="1">
        <v>248.08529999999999</v>
      </c>
      <c r="F47" s="1">
        <v>74.892799999999994</v>
      </c>
    </row>
    <row r="48" spans="2:80" ht="16" thickBot="1" x14ac:dyDescent="0.4">
      <c r="B48" s="2">
        <v>1050</v>
      </c>
      <c r="C48" s="1">
        <v>2320168.5096</v>
      </c>
      <c r="D48" s="1">
        <v>147.62299999999999</v>
      </c>
      <c r="E48" s="1">
        <v>182.15799999999999</v>
      </c>
      <c r="F48" s="1">
        <v>112.8212</v>
      </c>
    </row>
    <row r="49" spans="2:6" ht="16" thickBot="1" x14ac:dyDescent="0.4">
      <c r="B49" s="2">
        <v>1080</v>
      </c>
      <c r="C49" s="1">
        <v>2330799.5213000001</v>
      </c>
      <c r="D49" s="1">
        <v>29.007400000000001</v>
      </c>
      <c r="E49" s="1">
        <v>116.23260000000001</v>
      </c>
      <c r="F49" s="1">
        <v>150.74969999999999</v>
      </c>
    </row>
    <row r="50" spans="2:6" ht="16" thickBot="1" x14ac:dyDescent="0.4">
      <c r="B50" s="2">
        <v>1110</v>
      </c>
      <c r="C50" s="1">
        <v>2341430.5329999998</v>
      </c>
      <c r="D50" s="1">
        <v>270.39139999999998</v>
      </c>
      <c r="E50" s="1">
        <v>50.309100000000001</v>
      </c>
      <c r="F50" s="1">
        <v>188.6781</v>
      </c>
    </row>
    <row r="51" spans="2:6" ht="16" thickBot="1" x14ac:dyDescent="0.4">
      <c r="B51" s="2">
        <v>1140</v>
      </c>
      <c r="C51" s="1">
        <v>2352061.5447999998</v>
      </c>
      <c r="D51" s="1">
        <v>151.77520000000001</v>
      </c>
      <c r="E51" s="1">
        <v>344.38749999999999</v>
      </c>
      <c r="F51" s="1">
        <v>226.60659999999999</v>
      </c>
    </row>
    <row r="52" spans="2:6" ht="16" thickBot="1" x14ac:dyDescent="0.4">
      <c r="B52" s="2">
        <v>1170</v>
      </c>
      <c r="C52" s="1">
        <v>2362692.5565999998</v>
      </c>
      <c r="D52" s="1">
        <v>33.158700000000003</v>
      </c>
      <c r="E52" s="1">
        <v>278.46789999999999</v>
      </c>
      <c r="F52" s="1">
        <v>264.53500000000003</v>
      </c>
    </row>
    <row r="53" spans="2:6" ht="16" thickBot="1" x14ac:dyDescent="0.4">
      <c r="B53" s="2">
        <v>1200</v>
      </c>
      <c r="C53" s="1">
        <v>2373323.5684000002</v>
      </c>
      <c r="D53" s="1">
        <v>2745.4180000000001</v>
      </c>
      <c r="E53" s="1">
        <v>212.55009999999999</v>
      </c>
      <c r="F53" s="1">
        <v>302.46339999999998</v>
      </c>
    </row>
    <row r="54" spans="2:6" ht="16" thickBot="1" x14ac:dyDescent="0.4">
      <c r="B54" s="2">
        <v>1230</v>
      </c>
      <c r="C54" s="1">
        <v>2383954.5802000002</v>
      </c>
      <c r="D54" s="1">
        <v>155.9247</v>
      </c>
      <c r="E54" s="1">
        <v>146.6343</v>
      </c>
      <c r="F54" s="1">
        <v>340.39190000000002</v>
      </c>
    </row>
    <row r="55" spans="2:6" ht="16" thickBot="1" x14ac:dyDescent="0.4">
      <c r="B55" s="2">
        <v>1260</v>
      </c>
      <c r="C55" s="1">
        <v>2394585.5921</v>
      </c>
      <c r="D55" s="1">
        <v>37.307299999999998</v>
      </c>
      <c r="E55" s="1">
        <v>80.720399999999998</v>
      </c>
      <c r="F55" s="1">
        <v>18.3203</v>
      </c>
    </row>
    <row r="56" spans="2:6" ht="16" thickBot="1" x14ac:dyDescent="0.4">
      <c r="B56" s="2">
        <v>1290</v>
      </c>
      <c r="C56" s="1">
        <v>2405216.6039</v>
      </c>
      <c r="D56" s="1">
        <v>278.68959999999998</v>
      </c>
      <c r="E56" s="1">
        <v>14.808400000000001</v>
      </c>
      <c r="F56" s="1">
        <v>56.248699999999999</v>
      </c>
    </row>
    <row r="57" spans="2:6" ht="16" thickBot="1" x14ac:dyDescent="0.4">
      <c r="B57" s="2">
        <v>1320</v>
      </c>
      <c r="C57" s="1">
        <v>2415847.6157999998</v>
      </c>
      <c r="D57" s="1">
        <v>160.07159999999999</v>
      </c>
      <c r="E57" s="1">
        <v>308.89839999999998</v>
      </c>
      <c r="F57" s="1">
        <v>94.177099999999996</v>
      </c>
    </row>
    <row r="58" spans="2:6" ht="16" thickBot="1" x14ac:dyDescent="0.4">
      <c r="B58" s="2">
        <v>1350</v>
      </c>
      <c r="C58" s="1">
        <v>2426478.6277999999</v>
      </c>
      <c r="D58" s="1">
        <v>41.453400000000002</v>
      </c>
      <c r="E58" s="1">
        <v>242.99019999999999</v>
      </c>
      <c r="F58" s="1">
        <v>132.10560000000001</v>
      </c>
    </row>
    <row r="59" spans="2:6" ht="16" thickBot="1" x14ac:dyDescent="0.4">
      <c r="B59" s="2">
        <v>1380</v>
      </c>
      <c r="C59" s="1">
        <v>2437109.6397000002</v>
      </c>
      <c r="D59" s="1">
        <v>282.83479999999997</v>
      </c>
      <c r="E59" s="1">
        <v>177.084</v>
      </c>
      <c r="F59" s="1">
        <v>170.03399999999999</v>
      </c>
    </row>
    <row r="60" spans="2:6" ht="16" thickBot="1" x14ac:dyDescent="0.4">
      <c r="B60" s="2">
        <v>1410</v>
      </c>
      <c r="C60" s="1">
        <v>2447740.6519999998</v>
      </c>
      <c r="D60" s="1">
        <v>164.21619999999999</v>
      </c>
      <c r="E60" s="1">
        <v>111.17910000000001</v>
      </c>
      <c r="F60" s="1">
        <v>207.95869999999999</v>
      </c>
    </row>
    <row r="61" spans="2:6" ht="16" thickBot="1" x14ac:dyDescent="0.4">
      <c r="B61" s="2">
        <v>1440</v>
      </c>
      <c r="C61" s="1">
        <v>2458371.6639</v>
      </c>
      <c r="D61" s="1">
        <v>45.598599999999998</v>
      </c>
      <c r="E61" s="1">
        <v>45.269599999999997</v>
      </c>
      <c r="F61" s="1">
        <v>245.8869</v>
      </c>
    </row>
    <row r="62" spans="2:6" ht="16" thickBot="1" x14ac:dyDescent="0.4">
      <c r="B62" s="2">
        <v>1470</v>
      </c>
      <c r="C62" s="1">
        <v>2469002.6757999999</v>
      </c>
      <c r="D62" s="1">
        <v>286.98090000000002</v>
      </c>
      <c r="E62" s="1">
        <v>339.36009999999999</v>
      </c>
      <c r="F62" s="1">
        <v>283.81509999999997</v>
      </c>
    </row>
    <row r="63" spans="2:6" ht="16" thickBot="1" x14ac:dyDescent="0.4">
      <c r="B63" s="2">
        <v>1500</v>
      </c>
      <c r="C63" s="1">
        <v>2479633.6878</v>
      </c>
      <c r="D63" s="1">
        <v>168.36320000000001</v>
      </c>
      <c r="E63" s="1">
        <v>273.45060000000001</v>
      </c>
      <c r="F63" s="1">
        <v>321.74329999999998</v>
      </c>
    </row>
    <row r="64" spans="2:6" ht="16" thickBot="1" x14ac:dyDescent="0.4">
      <c r="B64" s="2">
        <v>1530</v>
      </c>
      <c r="C64" s="1">
        <v>2490264.6997000002</v>
      </c>
      <c r="D64" s="1">
        <v>49.7455</v>
      </c>
      <c r="E64" s="1">
        <v>207.5411</v>
      </c>
      <c r="F64" s="1">
        <v>359.67149999999998</v>
      </c>
    </row>
    <row r="65" spans="2:26" ht="16" thickBot="1" x14ac:dyDescent="0.4">
      <c r="B65" s="2">
        <v>1560</v>
      </c>
      <c r="C65" s="1">
        <v>2500895.7116</v>
      </c>
      <c r="D65" s="1">
        <v>291.12790000000001</v>
      </c>
      <c r="E65" s="1">
        <v>141.63159999999999</v>
      </c>
      <c r="F65" s="1">
        <v>37.599699999999999</v>
      </c>
    </row>
    <row r="66" spans="2:26" ht="16" thickBot="1" x14ac:dyDescent="0.4">
      <c r="B66" s="2">
        <v>1590</v>
      </c>
      <c r="C66" s="1" t="s">
        <v>1</v>
      </c>
      <c r="D66" s="1">
        <v>172.5102</v>
      </c>
      <c r="E66" s="1">
        <v>75.722099999999998</v>
      </c>
      <c r="F66" s="1">
        <v>75.527799999999999</v>
      </c>
    </row>
    <row r="67" spans="2:26" ht="16" thickBot="1" x14ac:dyDescent="0.4">
      <c r="B67" s="2">
        <v>1620</v>
      </c>
      <c r="C67" s="1">
        <v>2522157.7355</v>
      </c>
      <c r="D67" s="1">
        <v>53.892499999999998</v>
      </c>
      <c r="E67" s="1">
        <v>9.8125999999999998</v>
      </c>
      <c r="F67" s="1">
        <v>113.456</v>
      </c>
    </row>
    <row r="68" spans="2:26" ht="16" thickBot="1" x14ac:dyDescent="0.4">
      <c r="B68" s="2">
        <v>1650</v>
      </c>
      <c r="C68" s="1">
        <v>2532788.7474000002</v>
      </c>
      <c r="D68" s="1">
        <v>295.27480000000003</v>
      </c>
      <c r="E68" s="1">
        <v>303.90309999999999</v>
      </c>
      <c r="F68" s="1">
        <v>151.38419999999999</v>
      </c>
    </row>
    <row r="69" spans="2:26" ht="16" thickBot="1" x14ac:dyDescent="0.4">
      <c r="B69" s="2">
        <v>1680</v>
      </c>
      <c r="C69" s="1">
        <v>2543419.7593</v>
      </c>
      <c r="D69" s="1">
        <v>176.65719999999999</v>
      </c>
      <c r="E69" s="1">
        <v>237.99359999999999</v>
      </c>
      <c r="F69" s="1">
        <v>189.3124</v>
      </c>
    </row>
    <row r="70" spans="2:26" ht="16" thickBot="1" x14ac:dyDescent="0.4">
      <c r="B70" s="2">
        <v>1710</v>
      </c>
      <c r="C70" s="1">
        <v>2554050.7711999998</v>
      </c>
      <c r="D70" s="1">
        <v>58.039499999999997</v>
      </c>
      <c r="E70" s="1">
        <v>172.08410000000001</v>
      </c>
      <c r="F70" s="1">
        <v>227.2406</v>
      </c>
    </row>
    <row r="71" spans="2:26" ht="16" thickBot="1" x14ac:dyDescent="0.4">
      <c r="B71" s="2">
        <v>1740</v>
      </c>
      <c r="C71" s="1">
        <v>2564681.7831999999</v>
      </c>
      <c r="D71" s="1">
        <v>299.42180000000002</v>
      </c>
      <c r="E71" s="1">
        <v>106.1746</v>
      </c>
      <c r="F71" s="1">
        <v>265.16879999999998</v>
      </c>
    </row>
    <row r="72" spans="2:26" ht="16" thickBot="1" x14ac:dyDescent="0.4">
      <c r="B72" s="2">
        <v>1770</v>
      </c>
      <c r="C72" s="1">
        <v>2575312.7951000002</v>
      </c>
      <c r="D72" s="1">
        <v>180.80410000000001</v>
      </c>
      <c r="E72" s="1">
        <v>40.265099999999997</v>
      </c>
      <c r="F72" s="1">
        <v>303.09699999999998</v>
      </c>
    </row>
    <row r="76" spans="2:26" x14ac:dyDescent="0.35">
      <c r="Z76" t="s">
        <v>0</v>
      </c>
    </row>
  </sheetData>
  <mergeCells count="3">
    <mergeCell ref="B1:F2"/>
    <mergeCell ref="B4:B5"/>
    <mergeCell ref="B3:F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680-315E-41D0-BD55-25E183F5579D}">
  <dimension ref="C2:O35"/>
  <sheetViews>
    <sheetView workbookViewId="0">
      <selection activeCell="B3" sqref="B3:O35"/>
    </sheetView>
  </sheetViews>
  <sheetFormatPr defaultRowHeight="14.5" x14ac:dyDescent="0.35"/>
  <sheetData>
    <row r="2" spans="3:15" ht="15" thickBot="1" x14ac:dyDescent="0.4"/>
    <row r="3" spans="3:15" ht="16" thickBot="1" x14ac:dyDescent="0.4">
      <c r="C3" s="56" t="s">
        <v>91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3:15" ht="16" thickBot="1" x14ac:dyDescent="0.4">
      <c r="C4" s="2" t="s">
        <v>0</v>
      </c>
      <c r="D4" s="7">
        <v>0</v>
      </c>
      <c r="E4" s="7">
        <v>30</v>
      </c>
      <c r="F4" s="7">
        <v>60</v>
      </c>
      <c r="G4" s="7">
        <v>90</v>
      </c>
      <c r="H4" s="7">
        <v>120</v>
      </c>
      <c r="I4" s="7">
        <v>150</v>
      </c>
      <c r="J4" s="6">
        <v>180</v>
      </c>
      <c r="K4" s="6">
        <v>210</v>
      </c>
      <c r="L4" s="6">
        <v>240</v>
      </c>
      <c r="M4" s="6">
        <v>270</v>
      </c>
      <c r="N4" s="6">
        <v>300</v>
      </c>
      <c r="O4" s="6">
        <v>330</v>
      </c>
    </row>
    <row r="5" spans="3:15" ht="16" thickBot="1" x14ac:dyDescent="0.4">
      <c r="C5" s="2">
        <v>0</v>
      </c>
      <c r="D5" s="8">
        <v>0</v>
      </c>
      <c r="E5" s="8">
        <v>5.1999999999999998E-3</v>
      </c>
      <c r="F5" s="8">
        <v>8.9999999999999993E-3</v>
      </c>
      <c r="G5" s="8">
        <v>1.04E-2</v>
      </c>
      <c r="H5" s="8">
        <v>8.9999999999999993E-3</v>
      </c>
      <c r="I5" s="8">
        <v>5.1999999999999998E-3</v>
      </c>
      <c r="J5" s="9">
        <v>0</v>
      </c>
      <c r="K5" s="9">
        <v>-5.1999999999999998E-3</v>
      </c>
      <c r="L5" s="9">
        <v>-8.9999999999999993E-3</v>
      </c>
      <c r="M5" s="9">
        <v>-1.04E-2</v>
      </c>
      <c r="N5" s="9">
        <v>-8.9999999999999993E-3</v>
      </c>
      <c r="O5" s="9">
        <v>-5.1999999999999998E-3</v>
      </c>
    </row>
    <row r="6" spans="3:15" ht="16" thickBot="1" x14ac:dyDescent="0.4">
      <c r="C6" s="2">
        <v>1</v>
      </c>
      <c r="D6" s="8">
        <v>2.0000000000000001E-4</v>
      </c>
      <c r="E6" s="8">
        <v>5.4000000000000003E-3</v>
      </c>
      <c r="F6" s="8">
        <v>9.1000000000000004E-3</v>
      </c>
      <c r="G6" s="8">
        <v>1.04E-2</v>
      </c>
      <c r="H6" s="8">
        <v>8.8999999999999999E-3</v>
      </c>
      <c r="I6" s="8">
        <v>5.0000000000000001E-3</v>
      </c>
      <c r="J6" s="9">
        <v>-2.0000000000000001E-4</v>
      </c>
      <c r="K6" s="9">
        <v>-5.4000000000000003E-3</v>
      </c>
      <c r="L6" s="9">
        <v>-9.1000000000000004E-3</v>
      </c>
      <c r="M6" s="9">
        <v>-1.04E-2</v>
      </c>
      <c r="N6" s="9">
        <v>-8.8999999999999999E-3</v>
      </c>
      <c r="O6" s="9">
        <v>-5.0000000000000001E-3</v>
      </c>
    </row>
    <row r="7" spans="3:15" ht="16" thickBot="1" x14ac:dyDescent="0.4">
      <c r="C7" s="2">
        <v>2</v>
      </c>
      <c r="D7" s="8">
        <v>4.0000000000000002E-4</v>
      </c>
      <c r="E7" s="8">
        <v>5.4999999999999997E-3</v>
      </c>
      <c r="F7" s="8">
        <v>9.1999999999999998E-3</v>
      </c>
      <c r="G7" s="8">
        <v>1.04E-2</v>
      </c>
      <c r="H7" s="8">
        <v>8.8000000000000005E-3</v>
      </c>
      <c r="I7" s="8">
        <v>4.8999999999999998E-3</v>
      </c>
      <c r="J7" s="9">
        <v>-4.0000000000000002E-4</v>
      </c>
      <c r="K7" s="9">
        <v>-5.4999999999999997E-3</v>
      </c>
      <c r="L7" s="9">
        <v>-9.1999999999999998E-3</v>
      </c>
      <c r="M7" s="9">
        <v>-1.04E-2</v>
      </c>
      <c r="N7" s="9">
        <v>-8.8000000000000005E-3</v>
      </c>
      <c r="O7" s="9">
        <v>-4.8999999999999998E-3</v>
      </c>
    </row>
    <row r="8" spans="3:15" ht="16" thickBot="1" x14ac:dyDescent="0.4">
      <c r="C8" s="2">
        <v>3</v>
      </c>
      <c r="D8" s="8">
        <v>5.0000000000000001E-4</v>
      </c>
      <c r="E8" s="8">
        <v>5.7000000000000002E-3</v>
      </c>
      <c r="F8" s="8">
        <v>9.2999999999999992E-3</v>
      </c>
      <c r="G8" s="8">
        <v>1.04E-2</v>
      </c>
      <c r="H8" s="8">
        <v>8.6999999999999994E-3</v>
      </c>
      <c r="I8" s="8">
        <v>4.7000000000000002E-3</v>
      </c>
      <c r="J8" s="9">
        <v>-5.0000000000000001E-4</v>
      </c>
      <c r="K8" s="9">
        <v>-5.7000000000000002E-3</v>
      </c>
      <c r="L8" s="9">
        <v>-9.2999999999999992E-3</v>
      </c>
      <c r="M8" s="9">
        <v>-1.04E-2</v>
      </c>
      <c r="N8" s="9">
        <v>-8.6999999999999994E-3</v>
      </c>
      <c r="O8" s="9">
        <v>-4.7000000000000002E-3</v>
      </c>
    </row>
    <row r="9" spans="3:15" ht="16" thickBot="1" x14ac:dyDescent="0.4">
      <c r="C9" s="2">
        <v>4</v>
      </c>
      <c r="D9" s="8">
        <v>6.9999999999999999E-4</v>
      </c>
      <c r="E9" s="8">
        <v>5.7999999999999996E-3</v>
      </c>
      <c r="F9" s="8">
        <v>9.2999999999999992E-3</v>
      </c>
      <c r="G9" s="8">
        <v>1.04E-2</v>
      </c>
      <c r="H9" s="8">
        <v>8.6E-3</v>
      </c>
      <c r="I9" s="8">
        <v>4.5999999999999999E-3</v>
      </c>
      <c r="J9" s="9">
        <v>-6.9999999999999999E-4</v>
      </c>
      <c r="K9" s="9">
        <v>-5.7999999999999996E-3</v>
      </c>
      <c r="L9" s="9">
        <v>-9.2999999999999992E-3</v>
      </c>
      <c r="M9" s="9">
        <v>-1.04E-2</v>
      </c>
      <c r="N9" s="9">
        <v>-8.6E-3</v>
      </c>
      <c r="O9" s="9">
        <v>-4.5999999999999999E-3</v>
      </c>
    </row>
    <row r="10" spans="3:15" ht="16" thickBot="1" x14ac:dyDescent="0.4">
      <c r="C10" s="2">
        <v>5</v>
      </c>
      <c r="D10" s="8">
        <v>8.9999999999999998E-4</v>
      </c>
      <c r="E10" s="8">
        <v>6.0000000000000001E-3</v>
      </c>
      <c r="F10" s="8">
        <v>9.4000000000000004E-3</v>
      </c>
      <c r="G10" s="8">
        <v>1.04E-2</v>
      </c>
      <c r="H10" s="8">
        <v>8.5000000000000006E-3</v>
      </c>
      <c r="I10" s="8">
        <v>4.4000000000000003E-3</v>
      </c>
      <c r="J10" s="9">
        <v>-8.9999999999999998E-4</v>
      </c>
      <c r="K10" s="9">
        <v>-6.0000000000000001E-3</v>
      </c>
      <c r="L10" s="9">
        <v>-9.4000000000000004E-3</v>
      </c>
      <c r="M10" s="9">
        <v>-1.04E-2</v>
      </c>
      <c r="N10" s="9">
        <v>-8.5000000000000006E-3</v>
      </c>
      <c r="O10" s="9">
        <v>-4.4000000000000003E-3</v>
      </c>
    </row>
    <row r="11" spans="3:15" ht="16" thickBot="1" x14ac:dyDescent="0.4">
      <c r="C11" s="2">
        <v>6</v>
      </c>
      <c r="D11" s="8">
        <v>1.1000000000000001E-3</v>
      </c>
      <c r="E11" s="8">
        <v>6.1000000000000004E-3</v>
      </c>
      <c r="F11" s="8">
        <v>9.4999999999999998E-3</v>
      </c>
      <c r="G11" s="8">
        <v>1.03E-2</v>
      </c>
      <c r="H11" s="8">
        <v>8.3999999999999995E-3</v>
      </c>
      <c r="I11" s="8">
        <v>4.1999999999999997E-3</v>
      </c>
      <c r="J11" s="9">
        <v>-1.1000000000000001E-3</v>
      </c>
      <c r="K11" s="9">
        <v>-6.1000000000000004E-3</v>
      </c>
      <c r="L11" s="9">
        <v>-9.4999999999999998E-3</v>
      </c>
      <c r="M11" s="9">
        <v>-1.03E-2</v>
      </c>
      <c r="N11" s="9">
        <v>-8.3999999999999995E-3</v>
      </c>
      <c r="O11" s="9">
        <v>-4.1999999999999997E-3</v>
      </c>
    </row>
    <row r="12" spans="3:15" ht="16" thickBot="1" x14ac:dyDescent="0.4">
      <c r="C12" s="2">
        <v>7</v>
      </c>
      <c r="D12" s="8">
        <v>1.2999999999999999E-3</v>
      </c>
      <c r="E12" s="8">
        <v>6.3E-3</v>
      </c>
      <c r="F12" s="8">
        <v>9.5999999999999992E-3</v>
      </c>
      <c r="G12" s="8">
        <v>1.03E-2</v>
      </c>
      <c r="H12" s="8">
        <v>8.3000000000000001E-3</v>
      </c>
      <c r="I12" s="8">
        <v>4.1000000000000003E-3</v>
      </c>
      <c r="J12" s="9">
        <v>-1.2999999999999999E-3</v>
      </c>
      <c r="K12" s="9">
        <v>-6.3E-3</v>
      </c>
      <c r="L12" s="9">
        <v>-9.5999999999999992E-3</v>
      </c>
      <c r="M12" s="9">
        <v>-1.03E-2</v>
      </c>
      <c r="N12" s="9">
        <v>-8.3000000000000001E-3</v>
      </c>
      <c r="O12" s="9">
        <v>-4.1000000000000003E-3</v>
      </c>
    </row>
    <row r="13" spans="3:15" ht="16" thickBot="1" x14ac:dyDescent="0.4">
      <c r="C13" s="2">
        <v>8</v>
      </c>
      <c r="D13" s="8">
        <v>1.4E-3</v>
      </c>
      <c r="E13" s="8">
        <v>6.4000000000000003E-3</v>
      </c>
      <c r="F13" s="8">
        <v>9.5999999999999992E-3</v>
      </c>
      <c r="G13" s="8">
        <v>1.03E-2</v>
      </c>
      <c r="H13" s="8">
        <v>8.2000000000000007E-3</v>
      </c>
      <c r="I13" s="8">
        <v>3.8999999999999998E-3</v>
      </c>
      <c r="J13" s="9">
        <v>-1.4E-3</v>
      </c>
      <c r="K13" s="9">
        <v>-6.4000000000000003E-3</v>
      </c>
      <c r="L13" s="9">
        <v>-9.5999999999999992E-3</v>
      </c>
      <c r="M13" s="9">
        <v>-1.03E-2</v>
      </c>
      <c r="N13" s="9">
        <v>-8.2000000000000007E-3</v>
      </c>
      <c r="O13" s="9">
        <v>-3.8999999999999998E-3</v>
      </c>
    </row>
    <row r="14" spans="3:15" ht="16" thickBot="1" x14ac:dyDescent="0.4">
      <c r="C14" s="2">
        <v>9</v>
      </c>
      <c r="D14" s="8">
        <v>1.6000000000000001E-3</v>
      </c>
      <c r="E14" s="8">
        <v>6.4999999999999997E-3</v>
      </c>
      <c r="F14" s="8">
        <v>9.7000000000000003E-3</v>
      </c>
      <c r="G14" s="8">
        <v>1.03E-2</v>
      </c>
      <c r="H14" s="8">
        <v>8.0999999999999996E-3</v>
      </c>
      <c r="I14" s="8">
        <v>3.7000000000000002E-3</v>
      </c>
      <c r="J14" s="9">
        <v>-1.6000000000000001E-3</v>
      </c>
      <c r="K14" s="9">
        <v>-6.4999999999999997E-3</v>
      </c>
      <c r="L14" s="9">
        <v>-9.7000000000000003E-3</v>
      </c>
      <c r="M14" s="9">
        <v>-1.03E-2</v>
      </c>
      <c r="N14" s="9">
        <v>-8.0999999999999996E-3</v>
      </c>
      <c r="O14" s="9">
        <v>-3.7000000000000002E-3</v>
      </c>
    </row>
    <row r="15" spans="3:15" ht="16" thickBot="1" x14ac:dyDescent="0.4">
      <c r="C15" s="2">
        <v>10</v>
      </c>
      <c r="D15" s="8">
        <v>1.8E-3</v>
      </c>
      <c r="E15" s="8">
        <v>6.7000000000000002E-3</v>
      </c>
      <c r="F15" s="8">
        <v>9.7999999999999997E-3</v>
      </c>
      <c r="G15" s="8">
        <v>1.0200000000000001E-2</v>
      </c>
      <c r="H15" s="8">
        <v>8.0000000000000002E-3</v>
      </c>
      <c r="I15" s="8">
        <v>3.5999999999999999E-3</v>
      </c>
      <c r="J15" s="9">
        <v>-1.8E-3</v>
      </c>
      <c r="K15" s="9">
        <v>-6.7000000000000002E-3</v>
      </c>
      <c r="L15" s="9">
        <v>-9.7999999999999997E-3</v>
      </c>
      <c r="M15" s="9">
        <v>-1.0200000000000001E-2</v>
      </c>
      <c r="N15" s="9">
        <v>-8.0000000000000002E-3</v>
      </c>
      <c r="O15" s="9">
        <v>-3.5999999999999999E-3</v>
      </c>
    </row>
    <row r="16" spans="3:15" ht="16" thickBot="1" x14ac:dyDescent="0.4">
      <c r="C16" s="2">
        <v>11</v>
      </c>
      <c r="D16" s="8">
        <v>2E-3</v>
      </c>
      <c r="E16" s="8">
        <v>6.7999999999999996E-3</v>
      </c>
      <c r="F16" s="8">
        <v>9.7999999999999997E-3</v>
      </c>
      <c r="G16" s="8">
        <v>1.0200000000000001E-2</v>
      </c>
      <c r="H16" s="8">
        <v>7.7999999999999996E-3</v>
      </c>
      <c r="I16" s="8">
        <v>3.3999999999999998E-3</v>
      </c>
      <c r="J16" s="9">
        <v>-2E-3</v>
      </c>
      <c r="K16" s="9">
        <v>-6.7999999999999996E-3</v>
      </c>
      <c r="L16" s="9">
        <v>-9.7999999999999997E-3</v>
      </c>
      <c r="M16" s="9">
        <v>-1.0200000000000001E-2</v>
      </c>
      <c r="N16" s="9">
        <v>-7.7999999999999996E-3</v>
      </c>
      <c r="O16" s="9">
        <v>-3.3999999999999998E-3</v>
      </c>
    </row>
    <row r="17" spans="3:15" ht="16" thickBot="1" x14ac:dyDescent="0.4">
      <c r="C17" s="2">
        <v>12</v>
      </c>
      <c r="D17" s="8">
        <v>2.2000000000000001E-3</v>
      </c>
      <c r="E17" s="8">
        <v>7.0000000000000001E-3</v>
      </c>
      <c r="F17" s="8">
        <v>9.9000000000000008E-3</v>
      </c>
      <c r="G17" s="8">
        <v>1.0200000000000001E-2</v>
      </c>
      <c r="H17" s="8">
        <v>7.7000000000000002E-3</v>
      </c>
      <c r="I17" s="8">
        <v>3.2000000000000002E-3</v>
      </c>
      <c r="J17" s="9">
        <v>-2.2000000000000001E-3</v>
      </c>
      <c r="K17" s="9">
        <v>-7.0000000000000001E-3</v>
      </c>
      <c r="L17" s="9">
        <v>-9.9000000000000008E-3</v>
      </c>
      <c r="M17" s="9">
        <v>-1.0200000000000001E-2</v>
      </c>
      <c r="N17" s="9">
        <v>-7.7000000000000002E-3</v>
      </c>
      <c r="O17" s="9">
        <v>-3.2000000000000002E-3</v>
      </c>
    </row>
    <row r="18" spans="3:15" ht="16" thickBot="1" x14ac:dyDescent="0.4">
      <c r="C18" s="2">
        <v>13</v>
      </c>
      <c r="D18" s="8">
        <v>2.3E-3</v>
      </c>
      <c r="E18" s="8">
        <v>7.1000000000000004E-3</v>
      </c>
      <c r="F18" s="8">
        <v>9.9000000000000008E-3</v>
      </c>
      <c r="G18" s="8">
        <v>1.01E-2</v>
      </c>
      <c r="H18" s="8">
        <v>7.6E-3</v>
      </c>
      <c r="I18" s="8">
        <v>3.0000000000000001E-3</v>
      </c>
      <c r="J18" s="9">
        <v>-2.3E-3</v>
      </c>
      <c r="K18" s="9">
        <v>-7.1000000000000004E-3</v>
      </c>
      <c r="L18" s="9">
        <v>-9.9000000000000008E-3</v>
      </c>
      <c r="M18" s="9">
        <v>-1.01E-2</v>
      </c>
      <c r="N18" s="9">
        <v>-7.6E-3</v>
      </c>
      <c r="O18" s="9">
        <v>-3.0000000000000001E-3</v>
      </c>
    </row>
    <row r="19" spans="3:15" ht="16" thickBot="1" x14ac:dyDescent="0.4">
      <c r="C19" s="2">
        <v>14</v>
      </c>
      <c r="D19" s="8">
        <v>2.5000000000000001E-3</v>
      </c>
      <c r="E19" s="8">
        <v>7.1999999999999998E-3</v>
      </c>
      <c r="F19" s="8">
        <v>0.01</v>
      </c>
      <c r="G19" s="8">
        <v>1.01E-2</v>
      </c>
      <c r="H19" s="8">
        <v>7.4999999999999997E-3</v>
      </c>
      <c r="I19" s="8">
        <v>2.8999999999999998E-3</v>
      </c>
      <c r="J19" s="9">
        <v>-2.5000000000000001E-3</v>
      </c>
      <c r="K19" s="9">
        <v>-7.1999999999999998E-3</v>
      </c>
      <c r="L19" s="9">
        <v>-0.01</v>
      </c>
      <c r="M19" s="9">
        <v>-1.01E-2</v>
      </c>
      <c r="N19" s="9">
        <v>-7.4999999999999997E-3</v>
      </c>
      <c r="O19" s="9">
        <v>-2.8999999999999998E-3</v>
      </c>
    </row>
    <row r="20" spans="3:15" ht="16" thickBot="1" x14ac:dyDescent="0.4">
      <c r="C20" s="2">
        <v>15</v>
      </c>
      <c r="D20" s="8">
        <v>2.7000000000000001E-3</v>
      </c>
      <c r="E20" s="8">
        <v>7.4000000000000003E-3</v>
      </c>
      <c r="F20" s="8">
        <v>0.01</v>
      </c>
      <c r="G20" s="8">
        <v>0.01</v>
      </c>
      <c r="H20" s="8">
        <v>7.4000000000000003E-3</v>
      </c>
      <c r="I20" s="8">
        <v>2.7000000000000001E-3</v>
      </c>
      <c r="J20" s="9">
        <v>-2.7000000000000001E-3</v>
      </c>
      <c r="K20" s="9">
        <v>-7.4000000000000003E-3</v>
      </c>
      <c r="L20" s="9">
        <v>-0.01</v>
      </c>
      <c r="M20" s="9">
        <v>-0.01</v>
      </c>
      <c r="N20" s="9">
        <v>-7.4000000000000003E-3</v>
      </c>
      <c r="O20" s="9">
        <v>-2.7000000000000001E-3</v>
      </c>
    </row>
    <row r="21" spans="3:15" ht="16" thickBot="1" x14ac:dyDescent="0.4">
      <c r="C21" s="2">
        <v>16</v>
      </c>
      <c r="D21" s="8">
        <v>2.8999999999999998E-3</v>
      </c>
      <c r="E21" s="8">
        <v>7.4999999999999997E-3</v>
      </c>
      <c r="F21" s="8">
        <v>1.01E-2</v>
      </c>
      <c r="G21" s="8">
        <v>0.01</v>
      </c>
      <c r="H21" s="8">
        <v>7.1999999999999998E-3</v>
      </c>
      <c r="I21" s="8">
        <v>2.5000000000000001E-3</v>
      </c>
      <c r="J21" s="9">
        <v>-2.8999999999999998E-3</v>
      </c>
      <c r="K21" s="9">
        <v>-7.4999999999999997E-3</v>
      </c>
      <c r="L21" s="9">
        <v>-1.01E-2</v>
      </c>
      <c r="M21" s="9">
        <v>-0.01</v>
      </c>
      <c r="N21" s="9">
        <v>-7.1999999999999998E-3</v>
      </c>
      <c r="O21" s="9">
        <v>-2.5000000000000001E-3</v>
      </c>
    </row>
    <row r="22" spans="3:15" ht="16" thickBot="1" x14ac:dyDescent="0.4">
      <c r="C22" s="2">
        <v>17</v>
      </c>
      <c r="D22" s="8">
        <v>3.0000000000000001E-3</v>
      </c>
      <c r="E22" s="8">
        <v>7.6E-3</v>
      </c>
      <c r="F22" s="8">
        <v>1.01E-2</v>
      </c>
      <c r="G22" s="8">
        <v>9.9000000000000008E-3</v>
      </c>
      <c r="H22" s="8">
        <v>7.1000000000000004E-3</v>
      </c>
      <c r="I22" s="8">
        <v>2.3E-3</v>
      </c>
      <c r="J22" s="9">
        <v>-3.0000000000000001E-3</v>
      </c>
      <c r="K22" s="9">
        <v>-7.6E-3</v>
      </c>
      <c r="L22" s="9">
        <v>-1.01E-2</v>
      </c>
      <c r="M22" s="9">
        <v>-9.9000000000000008E-3</v>
      </c>
      <c r="N22" s="9">
        <v>-7.1000000000000004E-3</v>
      </c>
      <c r="O22" s="9">
        <v>-2.3E-3</v>
      </c>
    </row>
    <row r="23" spans="3:15" ht="16" thickBot="1" x14ac:dyDescent="0.4">
      <c r="C23" s="2">
        <v>18</v>
      </c>
      <c r="D23" s="8">
        <v>3.2000000000000002E-3</v>
      </c>
      <c r="E23" s="8">
        <v>7.7000000000000002E-3</v>
      </c>
      <c r="F23" s="8">
        <v>1.0200000000000001E-2</v>
      </c>
      <c r="G23" s="8">
        <v>9.9000000000000008E-3</v>
      </c>
      <c r="H23" s="8">
        <v>7.0000000000000001E-3</v>
      </c>
      <c r="I23" s="8">
        <v>2.2000000000000001E-3</v>
      </c>
      <c r="J23" s="9">
        <v>-3.2000000000000002E-3</v>
      </c>
      <c r="K23" s="9">
        <v>-7.7000000000000002E-3</v>
      </c>
      <c r="L23" s="9">
        <v>-1.0200000000000001E-2</v>
      </c>
      <c r="M23" s="9">
        <v>-9.9000000000000008E-3</v>
      </c>
      <c r="N23" s="9">
        <v>-7.0000000000000001E-3</v>
      </c>
      <c r="O23" s="9">
        <v>-2.2000000000000001E-3</v>
      </c>
    </row>
    <row r="24" spans="3:15" ht="16" thickBot="1" x14ac:dyDescent="0.4">
      <c r="C24" s="2">
        <v>19</v>
      </c>
      <c r="D24" s="8">
        <v>3.3999999999999998E-3</v>
      </c>
      <c r="E24" s="8">
        <v>7.7999999999999996E-3</v>
      </c>
      <c r="F24" s="8">
        <v>1.0200000000000001E-2</v>
      </c>
      <c r="G24" s="8">
        <v>9.7999999999999997E-3</v>
      </c>
      <c r="H24" s="8">
        <v>6.7999999999999996E-3</v>
      </c>
      <c r="I24" s="8">
        <v>2E-3</v>
      </c>
      <c r="J24" s="9">
        <v>-3.3999999999999998E-3</v>
      </c>
      <c r="K24" s="9">
        <v>-7.7999999999999996E-3</v>
      </c>
      <c r="L24" s="9">
        <v>-1.0200000000000001E-2</v>
      </c>
      <c r="M24" s="9">
        <v>-9.7999999999999997E-3</v>
      </c>
      <c r="N24" s="9">
        <v>-6.7999999999999996E-3</v>
      </c>
      <c r="O24" s="9">
        <v>-2E-3</v>
      </c>
    </row>
    <row r="25" spans="3:15" ht="16" thickBot="1" x14ac:dyDescent="0.4">
      <c r="C25" s="2">
        <v>20</v>
      </c>
      <c r="D25" s="8">
        <v>3.5999999999999999E-3</v>
      </c>
      <c r="E25" s="8">
        <v>8.0000000000000002E-3</v>
      </c>
      <c r="F25" s="8">
        <v>1.0200000000000001E-2</v>
      </c>
      <c r="G25" s="8">
        <v>9.7999999999999997E-3</v>
      </c>
      <c r="H25" s="8" t="s">
        <v>93</v>
      </c>
      <c r="I25" s="8">
        <v>1.8E-3</v>
      </c>
      <c r="J25" s="9">
        <v>-3.5999999999999999E-3</v>
      </c>
      <c r="K25" s="8">
        <v>-8.0000000000000002E-3</v>
      </c>
      <c r="L25" s="9">
        <v>-1.0200000000000001E-2</v>
      </c>
      <c r="M25" s="9">
        <v>-9.7999999999999997E-3</v>
      </c>
      <c r="N25" s="9">
        <v>-6.7000000000000002E-3</v>
      </c>
      <c r="O25" s="9">
        <v>-1.8E-3</v>
      </c>
    </row>
    <row r="26" spans="3:15" ht="16" thickBot="1" x14ac:dyDescent="0.4">
      <c r="C26" s="2">
        <v>21</v>
      </c>
      <c r="D26" s="8">
        <v>3.7000000000000002E-3</v>
      </c>
      <c r="E26" s="8">
        <v>8.0999999999999996E-3</v>
      </c>
      <c r="F26" s="8">
        <v>1.03E-2</v>
      </c>
      <c r="G26" s="8">
        <v>9.7000000000000003E-3</v>
      </c>
      <c r="H26" s="8">
        <v>6.4999999999999997E-3</v>
      </c>
      <c r="I26" s="8">
        <v>1.6000000000000001E-3</v>
      </c>
      <c r="J26" s="9">
        <v>-3.7000000000000002E-3</v>
      </c>
      <c r="K26" s="9">
        <v>-8.0999999999999996E-3</v>
      </c>
      <c r="L26" s="9">
        <v>-1.03E-2</v>
      </c>
      <c r="M26" s="9">
        <v>-9.7000000000000003E-3</v>
      </c>
      <c r="N26" s="9">
        <v>-6.4999999999999997E-3</v>
      </c>
      <c r="O26" s="9">
        <v>-1.6000000000000001E-3</v>
      </c>
    </row>
    <row r="27" spans="3:15" ht="16" thickBot="1" x14ac:dyDescent="0.4">
      <c r="C27" s="2">
        <v>22</v>
      </c>
      <c r="D27" s="8">
        <v>3.8999999999999998E-3</v>
      </c>
      <c r="E27" s="8">
        <v>8.2000000000000007E-3</v>
      </c>
      <c r="F27" s="8">
        <v>1.03E-2</v>
      </c>
      <c r="G27" s="8">
        <v>9.5999999999999992E-3</v>
      </c>
      <c r="H27" s="8">
        <v>6.4000000000000003E-3</v>
      </c>
      <c r="I27" s="8">
        <v>1.4E-3</v>
      </c>
      <c r="J27" s="9">
        <v>-3.8999999999999998E-3</v>
      </c>
      <c r="K27" s="9">
        <v>-8.2000000000000007E-3</v>
      </c>
      <c r="L27" s="9">
        <v>-1.03E-2</v>
      </c>
      <c r="M27" s="9">
        <v>-9.5999999999999992E-3</v>
      </c>
      <c r="N27" s="9">
        <v>-6.4000000000000003E-3</v>
      </c>
      <c r="O27" s="9">
        <v>-1.4E-3</v>
      </c>
    </row>
    <row r="28" spans="3:15" ht="16" thickBot="1" x14ac:dyDescent="0.4">
      <c r="C28" s="2">
        <v>23</v>
      </c>
      <c r="D28" s="8">
        <v>4.1000000000000003E-3</v>
      </c>
      <c r="E28" s="8">
        <v>8.3000000000000001E-3</v>
      </c>
      <c r="F28" s="8">
        <v>1.03E-2</v>
      </c>
      <c r="G28" s="8">
        <v>9.5999999999999992E-3</v>
      </c>
      <c r="H28" s="8">
        <v>6.3E-3</v>
      </c>
      <c r="I28" s="8">
        <v>1.2999999999999999E-3</v>
      </c>
      <c r="J28" s="9">
        <v>-4.1000000000000003E-3</v>
      </c>
      <c r="K28" s="9">
        <v>-8.3000000000000001E-3</v>
      </c>
      <c r="L28" s="9">
        <v>-1.03E-2</v>
      </c>
      <c r="M28" s="9">
        <v>-9.5999999999999992E-3</v>
      </c>
      <c r="N28" s="9">
        <v>-6.3E-3</v>
      </c>
      <c r="O28" s="9">
        <v>-1.2999999999999999E-3</v>
      </c>
    </row>
    <row r="29" spans="3:15" ht="16" thickBot="1" x14ac:dyDescent="0.4">
      <c r="C29" s="2">
        <v>24</v>
      </c>
      <c r="D29" s="8">
        <v>4.1999999999999997E-3</v>
      </c>
      <c r="E29" s="8">
        <v>8.3999999999999995E-3</v>
      </c>
      <c r="F29" s="8">
        <v>1.03E-2</v>
      </c>
      <c r="G29" s="8">
        <v>9.4999999999999998E-3</v>
      </c>
      <c r="H29" s="8">
        <v>6.1000000000000004E-3</v>
      </c>
      <c r="I29" s="8">
        <v>1.1000000000000001E-3</v>
      </c>
      <c r="J29" s="9">
        <v>-4.1999999999999997E-3</v>
      </c>
      <c r="K29" s="9">
        <v>-8.3999999999999995E-3</v>
      </c>
      <c r="L29" s="9">
        <v>-1.03E-2</v>
      </c>
      <c r="M29" s="9">
        <v>-9.4999999999999998E-3</v>
      </c>
      <c r="N29" s="9">
        <v>-6.1000000000000004E-3</v>
      </c>
      <c r="O29" s="9">
        <v>-1.1000000000000001E-3</v>
      </c>
    </row>
    <row r="30" spans="3:15" ht="16" thickBot="1" x14ac:dyDescent="0.4">
      <c r="C30" s="2">
        <v>25</v>
      </c>
      <c r="D30" s="8">
        <v>4.4000000000000003E-3</v>
      </c>
      <c r="E30" s="8">
        <v>8.5000000000000006E-3</v>
      </c>
      <c r="F30" s="8">
        <v>1.04E-2</v>
      </c>
      <c r="G30" s="8">
        <v>9.4000000000000004E-3</v>
      </c>
      <c r="H30" s="8">
        <v>6.0000000000000001E-3</v>
      </c>
      <c r="I30" s="8">
        <v>8.9999999999999998E-4</v>
      </c>
      <c r="J30" s="9">
        <v>-4.4000000000000003E-3</v>
      </c>
      <c r="K30" s="9">
        <v>-8.5000000000000006E-3</v>
      </c>
      <c r="L30" s="9">
        <v>-1.04E-2</v>
      </c>
      <c r="M30" s="9">
        <v>-9.4000000000000004E-3</v>
      </c>
      <c r="N30" s="9">
        <v>-6.0000000000000001E-3</v>
      </c>
      <c r="O30" s="9">
        <v>-8.9999999999999998E-4</v>
      </c>
    </row>
    <row r="31" spans="3:15" ht="16" thickBot="1" x14ac:dyDescent="0.4">
      <c r="C31" s="2">
        <v>26</v>
      </c>
      <c r="D31" s="8">
        <v>4.5999999999999999E-3</v>
      </c>
      <c r="E31" s="8">
        <v>8.6E-3</v>
      </c>
      <c r="F31" s="8">
        <v>1.04E-2</v>
      </c>
      <c r="G31" s="8">
        <v>9.2999999999999992E-3</v>
      </c>
      <c r="H31" s="8">
        <v>5.7999999999999996E-3</v>
      </c>
      <c r="I31" s="8">
        <v>6.9999999999999999E-4</v>
      </c>
      <c r="J31" s="9">
        <v>-4.5999999999999999E-3</v>
      </c>
      <c r="K31" s="9">
        <v>-8.6E-3</v>
      </c>
      <c r="L31" s="9">
        <v>-1.04E-2</v>
      </c>
      <c r="M31" s="9">
        <v>-9.2999999999999992E-3</v>
      </c>
      <c r="N31" s="9">
        <v>-5.7999999999999996E-3</v>
      </c>
      <c r="O31" s="9">
        <v>-6.9999999999999999E-4</v>
      </c>
    </row>
    <row r="32" spans="3:15" ht="16" thickBot="1" x14ac:dyDescent="0.4">
      <c r="C32" s="2">
        <v>27</v>
      </c>
      <c r="D32" s="8">
        <v>4.7000000000000002E-3</v>
      </c>
      <c r="E32" s="8">
        <v>8.6999999999999994E-3</v>
      </c>
      <c r="F32" s="8">
        <v>1.04E-2</v>
      </c>
      <c r="G32" s="8">
        <v>9.2999999999999992E-3</v>
      </c>
      <c r="H32" s="8">
        <v>5.7000000000000002E-3</v>
      </c>
      <c r="I32" s="8">
        <v>5.0000000000000001E-4</v>
      </c>
      <c r="J32" s="9">
        <v>-4.7000000000000002E-3</v>
      </c>
      <c r="K32" s="9">
        <v>-8.6999999999999994E-3</v>
      </c>
      <c r="L32" s="9">
        <v>-1.04E-2</v>
      </c>
      <c r="M32" s="9">
        <v>-9.2999999999999992E-3</v>
      </c>
      <c r="N32" s="9">
        <v>-5.7000000000000002E-3</v>
      </c>
      <c r="O32" s="9">
        <v>-5.0000000000000001E-4</v>
      </c>
    </row>
    <row r="33" spans="3:15" ht="16" thickBot="1" x14ac:dyDescent="0.4">
      <c r="C33" s="2">
        <v>28</v>
      </c>
      <c r="D33" s="8">
        <v>4.8999999999999998E-3</v>
      </c>
      <c r="E33" s="8">
        <v>8.8000000000000005E-3</v>
      </c>
      <c r="F33" s="8">
        <v>1.04E-2</v>
      </c>
      <c r="G33" s="8">
        <v>9.1999999999999998E-3</v>
      </c>
      <c r="H33" s="8">
        <v>5.4999999999999997E-3</v>
      </c>
      <c r="I33" s="8">
        <v>4.0000000000000002E-4</v>
      </c>
      <c r="J33" s="9">
        <v>-4.8999999999999998E-3</v>
      </c>
      <c r="K33" s="9">
        <v>-8.8000000000000005E-3</v>
      </c>
      <c r="L33" s="9">
        <v>-1.04E-2</v>
      </c>
      <c r="M33" s="9">
        <v>-9.1999999999999998E-3</v>
      </c>
      <c r="N33" s="9">
        <v>-5.4999999999999997E-3</v>
      </c>
      <c r="O33" s="9">
        <v>-4.0000000000000002E-4</v>
      </c>
    </row>
    <row r="34" spans="3:15" ht="16" thickBot="1" x14ac:dyDescent="0.4">
      <c r="C34" s="2">
        <v>29</v>
      </c>
      <c r="D34" s="8">
        <v>5.0000000000000001E-3</v>
      </c>
      <c r="E34" s="8">
        <v>8.8999999999999999E-3</v>
      </c>
      <c r="F34" s="8">
        <v>1.04E-2</v>
      </c>
      <c r="G34" s="8">
        <v>9.1000000000000004E-3</v>
      </c>
      <c r="H34" s="8">
        <v>5.4000000000000003E-3</v>
      </c>
      <c r="I34" s="8">
        <v>2.0000000000000001E-4</v>
      </c>
      <c r="J34" s="9">
        <v>-5.0000000000000001E-3</v>
      </c>
      <c r="K34" s="9">
        <v>-8.8999999999999999E-3</v>
      </c>
      <c r="L34" s="9">
        <v>-1.04E-2</v>
      </c>
      <c r="M34" s="9">
        <v>-9.1000000000000004E-3</v>
      </c>
      <c r="N34" s="9">
        <v>-5.4000000000000003E-3</v>
      </c>
      <c r="O34" s="9">
        <v>-2.0000000000000001E-4</v>
      </c>
    </row>
    <row r="35" spans="3:15" ht="16" thickBot="1" x14ac:dyDescent="0.4">
      <c r="C35" s="2">
        <v>30</v>
      </c>
      <c r="D35" s="8">
        <v>5.1999999999999998E-3</v>
      </c>
      <c r="E35" s="8">
        <v>8.9999999999999993E-3</v>
      </c>
      <c r="F35" s="8">
        <v>1.04E-2</v>
      </c>
      <c r="G35" s="8">
        <v>8.9999999999999993E-3</v>
      </c>
      <c r="H35" s="8">
        <v>5.1999999999999998E-3</v>
      </c>
      <c r="I35" s="8">
        <v>0</v>
      </c>
      <c r="J35" s="9">
        <v>-5.1999999999999998E-3</v>
      </c>
      <c r="K35" s="9">
        <v>-8.9999999999999993E-3</v>
      </c>
      <c r="L35" s="9">
        <v>-1.04E-2</v>
      </c>
      <c r="M35" s="9">
        <v>-8.9999999999999993E-3</v>
      </c>
      <c r="N35" s="9">
        <v>-5.1999999999999998E-3</v>
      </c>
      <c r="O35" s="9">
        <v>0</v>
      </c>
    </row>
  </sheetData>
  <mergeCells count="1">
    <mergeCell ref="C3:O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2168-3C77-42D4-BB4E-63A10747CC8F}">
  <dimension ref="C2:O35"/>
  <sheetViews>
    <sheetView workbookViewId="0">
      <selection activeCell="B3" sqref="B3:O35"/>
    </sheetView>
  </sheetViews>
  <sheetFormatPr defaultRowHeight="14.5" x14ac:dyDescent="0.35"/>
  <sheetData>
    <row r="2" spans="3:15" ht="15" thickBot="1" x14ac:dyDescent="0.4"/>
    <row r="3" spans="3:15" ht="16" thickBot="1" x14ac:dyDescent="0.4">
      <c r="C3" s="56" t="s">
        <v>92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3:15" ht="16" thickBot="1" x14ac:dyDescent="0.4">
      <c r="C4" s="2" t="s">
        <v>0</v>
      </c>
      <c r="D4" s="7">
        <v>0</v>
      </c>
      <c r="E4" s="7">
        <v>30</v>
      </c>
      <c r="F4" s="7">
        <v>60</v>
      </c>
      <c r="G4" s="7">
        <v>90</v>
      </c>
      <c r="H4" s="7">
        <v>120</v>
      </c>
      <c r="I4" s="7">
        <v>150</v>
      </c>
      <c r="J4" s="6">
        <v>180</v>
      </c>
      <c r="K4" s="6">
        <v>210</v>
      </c>
      <c r="L4" s="6">
        <v>240</v>
      </c>
      <c r="M4" s="6">
        <v>270</v>
      </c>
      <c r="N4" s="6">
        <v>300</v>
      </c>
      <c r="O4" s="6">
        <v>330</v>
      </c>
    </row>
    <row r="5" spans="3:15" ht="16" thickBot="1" x14ac:dyDescent="0.4">
      <c r="C5" s="2">
        <v>0</v>
      </c>
      <c r="D5" s="8">
        <v>0</v>
      </c>
      <c r="E5" s="8">
        <v>5.0000000000000001E-4</v>
      </c>
      <c r="F5" s="8">
        <v>8.9999999999999998E-4</v>
      </c>
      <c r="G5" s="8">
        <v>1E-3</v>
      </c>
      <c r="H5" s="8">
        <v>8.9999999999999998E-4</v>
      </c>
      <c r="I5" s="8">
        <v>5.0000000000000001E-4</v>
      </c>
      <c r="J5" s="9">
        <v>0</v>
      </c>
      <c r="K5" s="9">
        <v>-5.0000000000000001E-4</v>
      </c>
      <c r="L5" s="9">
        <v>-8.9999999999999998E-4</v>
      </c>
      <c r="M5" s="9">
        <v>-1E-3</v>
      </c>
      <c r="N5" s="9">
        <v>-8.9999999999999998E-4</v>
      </c>
      <c r="O5" s="9">
        <v>-5.0000000000000001E-4</v>
      </c>
    </row>
    <row r="6" spans="3:15" ht="16" thickBot="1" x14ac:dyDescent="0.4">
      <c r="C6" s="2">
        <v>1</v>
      </c>
      <c r="D6" s="8">
        <v>0</v>
      </c>
      <c r="E6" s="8">
        <v>5.0000000000000001E-4</v>
      </c>
      <c r="F6" s="8">
        <v>8.9999999999999998E-4</v>
      </c>
      <c r="G6" s="8">
        <v>1E-3</v>
      </c>
      <c r="H6" s="8">
        <v>8.9999999999999998E-4</v>
      </c>
      <c r="I6" s="8">
        <v>5.0000000000000001E-4</v>
      </c>
      <c r="J6" s="9">
        <v>0</v>
      </c>
      <c r="K6" s="9">
        <v>-5.0000000000000001E-4</v>
      </c>
      <c r="L6" s="9">
        <v>-8.9999999999999998E-4</v>
      </c>
      <c r="M6" s="9">
        <v>-1E-3</v>
      </c>
      <c r="N6" s="9">
        <v>-8.9999999999999998E-4</v>
      </c>
      <c r="O6" s="9">
        <v>-5.0000000000000001E-4</v>
      </c>
    </row>
    <row r="7" spans="3:15" ht="16" thickBot="1" x14ac:dyDescent="0.4">
      <c r="C7" s="2">
        <v>2</v>
      </c>
      <c r="D7" s="8">
        <v>0</v>
      </c>
      <c r="E7" s="8">
        <v>5.0000000000000001E-4</v>
      </c>
      <c r="F7" s="8">
        <v>8.9999999999999998E-4</v>
      </c>
      <c r="G7" s="8">
        <v>1E-3</v>
      </c>
      <c r="H7" s="8">
        <v>8.0000000000000004E-4</v>
      </c>
      <c r="I7" s="8">
        <v>5.0000000000000001E-4</v>
      </c>
      <c r="J7" s="9">
        <v>0</v>
      </c>
      <c r="K7" s="9">
        <v>-5.0000000000000001E-4</v>
      </c>
      <c r="L7" s="9">
        <v>-8.9999999999999998E-4</v>
      </c>
      <c r="M7" s="9">
        <v>-1E-3</v>
      </c>
      <c r="N7" s="9">
        <v>-8.0000000000000004E-4</v>
      </c>
      <c r="O7" s="9">
        <v>-5.0000000000000001E-4</v>
      </c>
    </row>
    <row r="8" spans="3:15" ht="16" thickBot="1" x14ac:dyDescent="0.4">
      <c r="C8" s="2">
        <v>3</v>
      </c>
      <c r="D8" s="8">
        <v>1E-4</v>
      </c>
      <c r="E8" s="8">
        <v>5.0000000000000001E-4</v>
      </c>
      <c r="F8" s="8">
        <v>8.9999999999999998E-4</v>
      </c>
      <c r="G8" s="8">
        <v>1E-3</v>
      </c>
      <c r="H8" s="8">
        <v>8.0000000000000004E-4</v>
      </c>
      <c r="I8" s="8">
        <v>5.0000000000000001E-4</v>
      </c>
      <c r="J8" s="9">
        <v>-1E-4</v>
      </c>
      <c r="K8" s="9">
        <v>-5.0000000000000001E-4</v>
      </c>
      <c r="L8" s="9">
        <v>-8.9999999999999998E-4</v>
      </c>
      <c r="M8" s="9">
        <v>-1E-3</v>
      </c>
      <c r="N8" s="9">
        <v>-8.0000000000000004E-4</v>
      </c>
      <c r="O8" s="9">
        <v>-5.0000000000000001E-4</v>
      </c>
    </row>
    <row r="9" spans="3:15" ht="16" thickBot="1" x14ac:dyDescent="0.4">
      <c r="C9" s="2">
        <v>4</v>
      </c>
      <c r="D9" s="8">
        <v>1E-4</v>
      </c>
      <c r="E9" s="8">
        <v>5.9999999999999995E-4</v>
      </c>
      <c r="F9" s="8">
        <v>8.9999999999999998E-4</v>
      </c>
      <c r="G9" s="8">
        <v>1E-3</v>
      </c>
      <c r="H9" s="8">
        <v>8.0000000000000004E-4</v>
      </c>
      <c r="I9" s="8">
        <v>4.0000000000000002E-4</v>
      </c>
      <c r="J9" s="9">
        <v>-1E-4</v>
      </c>
      <c r="K9" s="9">
        <v>-5.9999999999999995E-4</v>
      </c>
      <c r="L9" s="9">
        <v>-8.9999999999999998E-4</v>
      </c>
      <c r="M9" s="9">
        <v>-1E-3</v>
      </c>
      <c r="N9" s="9">
        <v>-8.0000000000000004E-4</v>
      </c>
      <c r="O9" s="9">
        <v>-4.0000000000000002E-4</v>
      </c>
    </row>
    <row r="10" spans="3:15" ht="16" thickBot="1" x14ac:dyDescent="0.4">
      <c r="C10" s="2">
        <v>5</v>
      </c>
      <c r="D10" s="8">
        <v>1E-4</v>
      </c>
      <c r="E10" s="8">
        <v>5.9999999999999995E-4</v>
      </c>
      <c r="F10" s="8">
        <v>8.9999999999999998E-4</v>
      </c>
      <c r="G10" s="8">
        <v>1E-3</v>
      </c>
      <c r="H10" s="8">
        <v>8.0000000000000004E-4</v>
      </c>
      <c r="I10" s="8">
        <v>4.0000000000000002E-4</v>
      </c>
      <c r="J10" s="9">
        <v>-1E-4</v>
      </c>
      <c r="K10" s="9">
        <v>-5.9999999999999995E-4</v>
      </c>
      <c r="L10" s="9">
        <v>-8.9999999999999998E-4</v>
      </c>
      <c r="M10" s="9">
        <v>-1E-3</v>
      </c>
      <c r="N10" s="9">
        <v>-8.0000000000000004E-4</v>
      </c>
      <c r="O10" s="9">
        <v>-4.0000000000000002E-4</v>
      </c>
    </row>
    <row r="11" spans="3:15" ht="16" thickBot="1" x14ac:dyDescent="0.4">
      <c r="C11" s="2">
        <v>6</v>
      </c>
      <c r="D11" s="8">
        <v>1E-4</v>
      </c>
      <c r="E11" s="8">
        <v>5.9999999999999995E-4</v>
      </c>
      <c r="F11" s="8">
        <v>8.9999999999999998E-4</v>
      </c>
      <c r="G11" s="8">
        <v>1E-3</v>
      </c>
      <c r="H11" s="8">
        <v>8.0000000000000004E-4</v>
      </c>
      <c r="I11" s="8">
        <v>4.0000000000000002E-4</v>
      </c>
      <c r="J11" s="9">
        <v>-1E-4</v>
      </c>
      <c r="K11" s="9">
        <v>-5.9999999999999995E-4</v>
      </c>
      <c r="L11" s="9">
        <v>-8.9999999999999998E-4</v>
      </c>
      <c r="M11" s="9">
        <v>-1E-3</v>
      </c>
      <c r="N11" s="9">
        <v>-8.0000000000000004E-4</v>
      </c>
      <c r="O11" s="9">
        <v>-4.0000000000000002E-4</v>
      </c>
    </row>
    <row r="12" spans="3:15" ht="16" thickBot="1" x14ac:dyDescent="0.4">
      <c r="C12" s="2">
        <v>7</v>
      </c>
      <c r="D12" s="8">
        <v>1E-4</v>
      </c>
      <c r="E12" s="8">
        <v>5.9999999999999995E-4</v>
      </c>
      <c r="F12" s="8">
        <v>8.9999999999999998E-4</v>
      </c>
      <c r="G12" s="8">
        <v>1E-3</v>
      </c>
      <c r="H12" s="8">
        <v>8.0000000000000004E-4</v>
      </c>
      <c r="I12" s="8">
        <v>4.0000000000000002E-4</v>
      </c>
      <c r="J12" s="9">
        <v>-1E-4</v>
      </c>
      <c r="K12" s="9">
        <v>-5.9999999999999995E-4</v>
      </c>
      <c r="L12" s="9">
        <v>-8.9999999999999998E-4</v>
      </c>
      <c r="M12" s="9">
        <v>-1E-3</v>
      </c>
      <c r="N12" s="9">
        <v>-8.0000000000000004E-4</v>
      </c>
      <c r="O12" s="9">
        <v>-4.0000000000000002E-4</v>
      </c>
    </row>
    <row r="13" spans="3:15" ht="16" thickBot="1" x14ac:dyDescent="0.4">
      <c r="C13" s="2">
        <v>8</v>
      </c>
      <c r="D13" s="8">
        <v>1E-4</v>
      </c>
      <c r="E13" s="8">
        <v>5.9999999999999995E-4</v>
      </c>
      <c r="F13" s="8">
        <v>8.9999999999999998E-4</v>
      </c>
      <c r="G13" s="8">
        <v>1E-3</v>
      </c>
      <c r="H13" s="8">
        <v>8.0000000000000004E-4</v>
      </c>
      <c r="I13" s="8">
        <v>4.0000000000000002E-4</v>
      </c>
      <c r="J13" s="9">
        <v>-1E-4</v>
      </c>
      <c r="K13" s="9">
        <v>-5.9999999999999995E-4</v>
      </c>
      <c r="L13" s="9">
        <v>-8.9999999999999998E-4</v>
      </c>
      <c r="M13" s="9">
        <v>-1E-3</v>
      </c>
      <c r="N13" s="9">
        <v>-8.0000000000000004E-4</v>
      </c>
      <c r="O13" s="9">
        <v>-4.0000000000000002E-4</v>
      </c>
    </row>
    <row r="14" spans="3:15" ht="16" thickBot="1" x14ac:dyDescent="0.4">
      <c r="C14" s="2">
        <v>9</v>
      </c>
      <c r="D14" s="8">
        <v>2.0000000000000001E-4</v>
      </c>
      <c r="E14" s="8">
        <v>5.9999999999999995E-4</v>
      </c>
      <c r="F14" s="8">
        <v>8.9999999999999998E-4</v>
      </c>
      <c r="G14" s="8">
        <v>1E-3</v>
      </c>
      <c r="H14" s="8">
        <v>8.0000000000000004E-4</v>
      </c>
      <c r="I14" s="8">
        <v>4.0000000000000002E-4</v>
      </c>
      <c r="J14" s="9">
        <v>-2.0000000000000001E-4</v>
      </c>
      <c r="K14" s="9">
        <v>-5.9999999999999995E-4</v>
      </c>
      <c r="L14" s="9">
        <v>-8.9999999999999998E-4</v>
      </c>
      <c r="M14" s="9">
        <v>-1E-3</v>
      </c>
      <c r="N14" s="9">
        <v>-8.0000000000000004E-4</v>
      </c>
      <c r="O14" s="9">
        <v>-4.0000000000000002E-4</v>
      </c>
    </row>
    <row r="15" spans="3:15" ht="16" thickBot="1" x14ac:dyDescent="0.4">
      <c r="C15" s="2">
        <v>10</v>
      </c>
      <c r="D15" s="8">
        <v>2.0000000000000001E-4</v>
      </c>
      <c r="E15" s="8">
        <v>5.9999999999999995E-4</v>
      </c>
      <c r="F15" s="8">
        <v>8.9999999999999998E-4</v>
      </c>
      <c r="G15" s="8">
        <v>1E-3</v>
      </c>
      <c r="H15" s="8">
        <v>8.0000000000000004E-4</v>
      </c>
      <c r="I15" s="8">
        <v>2.9999999999999997E-4</v>
      </c>
      <c r="J15" s="9">
        <v>-2.0000000000000001E-4</v>
      </c>
      <c r="K15" s="9">
        <v>-5.9999999999999995E-4</v>
      </c>
      <c r="L15" s="9">
        <v>-8.9999999999999998E-4</v>
      </c>
      <c r="M15" s="9">
        <v>-1E-3</v>
      </c>
      <c r="N15" s="9">
        <v>-8.0000000000000004E-4</v>
      </c>
      <c r="O15" s="9">
        <v>-2.9999999999999997E-4</v>
      </c>
    </row>
    <row r="16" spans="3:15" ht="16" thickBot="1" x14ac:dyDescent="0.4">
      <c r="C16" s="2">
        <v>11</v>
      </c>
      <c r="D16" s="8">
        <v>2.0000000000000001E-4</v>
      </c>
      <c r="E16" s="8">
        <v>6.9999999999999999E-4</v>
      </c>
      <c r="F16" s="8">
        <v>8.9999999999999998E-4</v>
      </c>
      <c r="G16" s="8">
        <v>1E-3</v>
      </c>
      <c r="H16" s="8">
        <v>8.0000000000000004E-4</v>
      </c>
      <c r="I16" s="8">
        <v>2.9999999999999997E-4</v>
      </c>
      <c r="J16" s="9">
        <v>-2.0000000000000001E-4</v>
      </c>
      <c r="K16" s="9">
        <v>-6.9999999999999999E-4</v>
      </c>
      <c r="L16" s="9">
        <v>-8.9999999999999998E-4</v>
      </c>
      <c r="M16" s="9">
        <v>-1E-3</v>
      </c>
      <c r="N16" s="9">
        <v>-8.0000000000000004E-4</v>
      </c>
      <c r="O16" s="9">
        <v>-2.9999999999999997E-4</v>
      </c>
    </row>
    <row r="17" spans="3:15" ht="16" thickBot="1" x14ac:dyDescent="0.4">
      <c r="C17" s="2">
        <v>12</v>
      </c>
      <c r="D17" s="8">
        <v>2.0000000000000001E-4</v>
      </c>
      <c r="E17" s="8">
        <v>6.9999999999999999E-4</v>
      </c>
      <c r="F17" s="8">
        <v>1E-3</v>
      </c>
      <c r="G17" s="8">
        <v>1E-3</v>
      </c>
      <c r="H17" s="8">
        <v>6.9999999999999999E-4</v>
      </c>
      <c r="I17" s="8">
        <v>2.9999999999999997E-4</v>
      </c>
      <c r="J17" s="9">
        <v>-2.0000000000000001E-4</v>
      </c>
      <c r="K17" s="9">
        <v>-6.9999999999999999E-4</v>
      </c>
      <c r="L17" s="9">
        <v>-1E-3</v>
      </c>
      <c r="M17" s="9">
        <v>-1E-3</v>
      </c>
      <c r="N17" s="9">
        <v>-6.9999999999999999E-4</v>
      </c>
      <c r="O17" s="9">
        <v>-2.9999999999999997E-4</v>
      </c>
    </row>
    <row r="18" spans="3:15" ht="16" thickBot="1" x14ac:dyDescent="0.4">
      <c r="C18" s="2">
        <v>13</v>
      </c>
      <c r="D18" s="8">
        <v>2.0000000000000001E-4</v>
      </c>
      <c r="E18" s="8">
        <v>6.9999999999999999E-4</v>
      </c>
      <c r="F18" s="8">
        <v>1E-3</v>
      </c>
      <c r="G18" s="8">
        <v>1E-3</v>
      </c>
      <c r="H18" s="8">
        <v>6.9999999999999999E-4</v>
      </c>
      <c r="I18" s="8">
        <v>2.9999999999999997E-4</v>
      </c>
      <c r="J18" s="9">
        <v>-2.0000000000000001E-4</v>
      </c>
      <c r="K18" s="9">
        <v>-6.9999999999999999E-4</v>
      </c>
      <c r="L18" s="9">
        <v>-1E-3</v>
      </c>
      <c r="M18" s="9">
        <v>-1E-3</v>
      </c>
      <c r="N18" s="9">
        <v>-6.9999999999999999E-4</v>
      </c>
      <c r="O18" s="9">
        <v>-2.9999999999999997E-4</v>
      </c>
    </row>
    <row r="19" spans="3:15" ht="16" thickBot="1" x14ac:dyDescent="0.4">
      <c r="C19" s="2">
        <v>14</v>
      </c>
      <c r="D19" s="8">
        <v>2.0000000000000001E-4</v>
      </c>
      <c r="E19" s="8">
        <v>6.9999999999999999E-4</v>
      </c>
      <c r="F19" s="8">
        <v>1E-3</v>
      </c>
      <c r="G19" s="8">
        <v>1E-3</v>
      </c>
      <c r="H19" s="8">
        <v>6.9999999999999999E-4</v>
      </c>
      <c r="I19" s="8">
        <v>2.9999999999999997E-4</v>
      </c>
      <c r="J19" s="9">
        <v>-2.0000000000000001E-4</v>
      </c>
      <c r="K19" s="9">
        <v>-6.9999999999999999E-4</v>
      </c>
      <c r="L19" s="9">
        <v>-1E-3</v>
      </c>
      <c r="M19" s="9">
        <v>-1E-3</v>
      </c>
      <c r="N19" s="9">
        <v>-6.9999999999999999E-4</v>
      </c>
      <c r="O19" s="9">
        <v>-2.9999999999999997E-4</v>
      </c>
    </row>
    <row r="20" spans="3:15" ht="16" thickBot="1" x14ac:dyDescent="0.4">
      <c r="C20" s="2">
        <v>15</v>
      </c>
      <c r="D20" s="8">
        <v>2.9999999999999997E-4</v>
      </c>
      <c r="E20" s="8">
        <v>6.9999999999999999E-4</v>
      </c>
      <c r="F20" s="8">
        <v>1E-3</v>
      </c>
      <c r="G20" s="8">
        <v>1E-3</v>
      </c>
      <c r="H20" s="8">
        <v>6.9999999999999999E-4</v>
      </c>
      <c r="I20" s="8">
        <v>2.9999999999999997E-4</v>
      </c>
      <c r="J20" s="9">
        <v>-2.9999999999999997E-4</v>
      </c>
      <c r="K20" s="9">
        <v>-6.9999999999999999E-4</v>
      </c>
      <c r="L20" s="9">
        <v>-1E-3</v>
      </c>
      <c r="M20" s="9">
        <v>-1E-3</v>
      </c>
      <c r="N20" s="9">
        <v>-6.9999999999999999E-4</v>
      </c>
      <c r="O20" s="9">
        <v>-2.9999999999999997E-4</v>
      </c>
    </row>
    <row r="21" spans="3:15" ht="16" thickBot="1" x14ac:dyDescent="0.4">
      <c r="C21" s="2">
        <v>16</v>
      </c>
      <c r="D21" s="8">
        <v>2.9999999999999997E-4</v>
      </c>
      <c r="E21" s="8">
        <v>6.9999999999999999E-4</v>
      </c>
      <c r="F21" s="8">
        <v>1E-3</v>
      </c>
      <c r="G21" s="8">
        <v>1E-3</v>
      </c>
      <c r="H21" s="8">
        <v>6.9999999999999999E-4</v>
      </c>
      <c r="I21" s="8">
        <v>2.0000000000000001E-4</v>
      </c>
      <c r="J21" s="9">
        <v>-2.9999999999999997E-4</v>
      </c>
      <c r="K21" s="9">
        <v>-6.9999999999999999E-4</v>
      </c>
      <c r="L21" s="9">
        <v>-1E-3</v>
      </c>
      <c r="M21" s="9">
        <v>-1E-3</v>
      </c>
      <c r="N21" s="9">
        <v>-6.9999999999999999E-4</v>
      </c>
      <c r="O21" s="9">
        <v>-2.0000000000000001E-4</v>
      </c>
    </row>
    <row r="22" spans="3:15" ht="16" thickBot="1" x14ac:dyDescent="0.4">
      <c r="C22" s="2">
        <v>17</v>
      </c>
      <c r="D22" s="8">
        <v>2.9999999999999997E-4</v>
      </c>
      <c r="E22" s="8">
        <v>6.9999999999999999E-4</v>
      </c>
      <c r="F22" s="8">
        <v>1E-3</v>
      </c>
      <c r="G22" s="8">
        <v>1E-3</v>
      </c>
      <c r="H22" s="8">
        <v>6.9999999999999999E-4</v>
      </c>
      <c r="I22" s="8">
        <v>2.0000000000000001E-4</v>
      </c>
      <c r="J22" s="9">
        <v>-2.9999999999999997E-4</v>
      </c>
      <c r="K22" s="9">
        <v>-6.9999999999999999E-4</v>
      </c>
      <c r="L22" s="9">
        <v>-1E-3</v>
      </c>
      <c r="M22" s="9">
        <v>-1E-3</v>
      </c>
      <c r="N22" s="9">
        <v>-6.9999999999999999E-4</v>
      </c>
      <c r="O22" s="9">
        <v>-2.0000000000000001E-4</v>
      </c>
    </row>
    <row r="23" spans="3:15" ht="16" thickBot="1" x14ac:dyDescent="0.4">
      <c r="C23" s="2">
        <v>18</v>
      </c>
      <c r="D23" s="8">
        <v>2.9999999999999997E-4</v>
      </c>
      <c r="E23" s="8">
        <v>6.9999999999999999E-4</v>
      </c>
      <c r="F23" s="8">
        <v>1E-3</v>
      </c>
      <c r="G23" s="8">
        <v>1E-3</v>
      </c>
      <c r="H23" s="8">
        <v>6.9999999999999999E-4</v>
      </c>
      <c r="I23" s="8">
        <v>2.0000000000000001E-4</v>
      </c>
      <c r="J23" s="9">
        <v>-2.9999999999999997E-4</v>
      </c>
      <c r="K23" s="9">
        <v>-6.9999999999999999E-4</v>
      </c>
      <c r="L23" s="9">
        <v>-1E-3</v>
      </c>
      <c r="M23" s="9">
        <v>-1E-3</v>
      </c>
      <c r="N23" s="9">
        <v>-6.9999999999999999E-4</v>
      </c>
      <c r="O23" s="9">
        <v>-2.0000000000000001E-4</v>
      </c>
    </row>
    <row r="24" spans="3:15" ht="16" thickBot="1" x14ac:dyDescent="0.4">
      <c r="C24" s="2">
        <v>19</v>
      </c>
      <c r="D24" s="8">
        <v>2.9999999999999997E-4</v>
      </c>
      <c r="E24" s="8">
        <v>8.0000000000000004E-4</v>
      </c>
      <c r="F24" s="8">
        <v>1E-3</v>
      </c>
      <c r="G24" s="8">
        <v>8.9999999999999998E-4</v>
      </c>
      <c r="H24" s="8">
        <v>6.9999999999999999E-4</v>
      </c>
      <c r="I24" s="8">
        <v>2.0000000000000001E-4</v>
      </c>
      <c r="J24" s="9">
        <v>-2.9999999999999997E-4</v>
      </c>
      <c r="K24" s="9">
        <v>-8.0000000000000004E-4</v>
      </c>
      <c r="L24" s="9">
        <v>-1E-3</v>
      </c>
      <c r="M24" s="9">
        <v>-8.9999999999999998E-4</v>
      </c>
      <c r="N24" s="9">
        <v>-6.9999999999999999E-4</v>
      </c>
      <c r="O24" s="9">
        <v>-2.0000000000000001E-4</v>
      </c>
    </row>
    <row r="25" spans="3:15" ht="16" thickBot="1" x14ac:dyDescent="0.4">
      <c r="C25" s="2">
        <v>20</v>
      </c>
      <c r="D25" s="8">
        <v>2.9999999999999997E-4</v>
      </c>
      <c r="E25" s="8">
        <v>8.0000000000000004E-4</v>
      </c>
      <c r="F25" s="8">
        <v>1E-3</v>
      </c>
      <c r="G25" s="8">
        <v>8.9999999999999998E-4</v>
      </c>
      <c r="H25" s="8">
        <v>5.9999999999999995E-4</v>
      </c>
      <c r="I25" s="8">
        <v>2.0000000000000001E-4</v>
      </c>
      <c r="J25" s="9">
        <v>-2.9999999999999997E-4</v>
      </c>
      <c r="K25" s="8">
        <v>-8.0000000000000004E-4</v>
      </c>
      <c r="L25" s="9">
        <v>-1E-3</v>
      </c>
      <c r="M25" s="9">
        <v>-8.9999999999999998E-4</v>
      </c>
      <c r="N25" s="9">
        <v>-5.9999999999999995E-4</v>
      </c>
      <c r="O25" s="9">
        <v>-2.0000000000000001E-4</v>
      </c>
    </row>
    <row r="26" spans="3:15" ht="16" thickBot="1" x14ac:dyDescent="0.4">
      <c r="C26" s="2">
        <v>21</v>
      </c>
      <c r="D26" s="8">
        <v>4.0000000000000002E-4</v>
      </c>
      <c r="E26" s="8">
        <v>8.0000000000000004E-4</v>
      </c>
      <c r="F26" s="8">
        <v>1E-3</v>
      </c>
      <c r="G26" s="8">
        <v>8.9999999999999998E-4</v>
      </c>
      <c r="H26" s="8">
        <v>5.9999999999999995E-4</v>
      </c>
      <c r="I26" s="8">
        <v>2.0000000000000001E-4</v>
      </c>
      <c r="J26" s="9">
        <v>-4.0000000000000002E-4</v>
      </c>
      <c r="K26" s="9">
        <v>-8.0000000000000004E-4</v>
      </c>
      <c r="L26" s="9">
        <v>-1E-3</v>
      </c>
      <c r="M26" s="9">
        <v>-8.9999999999999998E-4</v>
      </c>
      <c r="N26" s="9">
        <v>-5.9999999999999995E-4</v>
      </c>
      <c r="O26" s="9">
        <v>-2.0000000000000001E-4</v>
      </c>
    </row>
    <row r="27" spans="3:15" ht="16" thickBot="1" x14ac:dyDescent="0.4">
      <c r="C27" s="2">
        <v>22</v>
      </c>
      <c r="D27" s="8">
        <v>4.0000000000000002E-4</v>
      </c>
      <c r="E27" s="8">
        <v>8.0000000000000004E-4</v>
      </c>
      <c r="F27" s="8">
        <v>1E-3</v>
      </c>
      <c r="G27" s="8">
        <v>8.9999999999999998E-4</v>
      </c>
      <c r="H27" s="8">
        <v>5.9999999999999995E-4</v>
      </c>
      <c r="I27" s="8">
        <v>1E-4</v>
      </c>
      <c r="J27" s="9">
        <v>-4.0000000000000002E-4</v>
      </c>
      <c r="K27" s="9">
        <v>-8.0000000000000004E-4</v>
      </c>
      <c r="L27" s="9">
        <v>-1E-3</v>
      </c>
      <c r="M27" s="9">
        <v>-8.9999999999999998E-4</v>
      </c>
      <c r="N27" s="9">
        <v>-5.9999999999999995E-4</v>
      </c>
      <c r="O27" s="9">
        <v>-1E-4</v>
      </c>
    </row>
    <row r="28" spans="3:15" ht="16" thickBot="1" x14ac:dyDescent="0.4">
      <c r="C28" s="2">
        <v>23</v>
      </c>
      <c r="D28" s="8">
        <v>4.0000000000000002E-4</v>
      </c>
      <c r="E28" s="8">
        <v>8.0000000000000004E-4</v>
      </c>
      <c r="F28" s="8">
        <v>1E-3</v>
      </c>
      <c r="G28" s="8">
        <v>8.9999999999999998E-4</v>
      </c>
      <c r="H28" s="8">
        <v>5.9999999999999995E-4</v>
      </c>
      <c r="I28" s="8">
        <v>1E-4</v>
      </c>
      <c r="J28" s="9">
        <v>-4.0000000000000002E-4</v>
      </c>
      <c r="K28" s="9">
        <v>-8.0000000000000004E-4</v>
      </c>
      <c r="L28" s="9">
        <v>-1E-3</v>
      </c>
      <c r="M28" s="9">
        <v>-8.9999999999999998E-4</v>
      </c>
      <c r="N28" s="9">
        <v>-5.9999999999999995E-4</v>
      </c>
      <c r="O28" s="9">
        <v>-1E-4</v>
      </c>
    </row>
    <row r="29" spans="3:15" ht="16" thickBot="1" x14ac:dyDescent="0.4">
      <c r="C29" s="2">
        <v>24</v>
      </c>
      <c r="D29" s="8">
        <v>4.0000000000000002E-4</v>
      </c>
      <c r="E29" s="8">
        <v>8.0000000000000004E-4</v>
      </c>
      <c r="F29" s="8">
        <v>1E-3</v>
      </c>
      <c r="G29" s="8">
        <v>8.9999999999999998E-4</v>
      </c>
      <c r="H29" s="8">
        <v>5.9999999999999995E-4</v>
      </c>
      <c r="I29" s="8">
        <v>1E-4</v>
      </c>
      <c r="J29" s="9">
        <v>-4.0000000000000002E-4</v>
      </c>
      <c r="K29" s="9">
        <v>-8.0000000000000004E-4</v>
      </c>
      <c r="L29" s="9">
        <v>-1E-3</v>
      </c>
      <c r="M29" s="9">
        <v>-8.9999999999999998E-4</v>
      </c>
      <c r="N29" s="9">
        <v>-5.9999999999999995E-4</v>
      </c>
      <c r="O29" s="9">
        <v>-1E-4</v>
      </c>
    </row>
    <row r="30" spans="3:15" ht="16" thickBot="1" x14ac:dyDescent="0.4">
      <c r="C30" s="2">
        <v>25</v>
      </c>
      <c r="D30" s="8">
        <v>4.0000000000000002E-4</v>
      </c>
      <c r="E30" s="8">
        <v>8.0000000000000004E-4</v>
      </c>
      <c r="F30" s="8">
        <v>1E-3</v>
      </c>
      <c r="G30" s="8">
        <v>8.9999999999999998E-4</v>
      </c>
      <c r="H30" s="8">
        <v>5.9999999999999995E-4</v>
      </c>
      <c r="I30" s="8">
        <v>1E-4</v>
      </c>
      <c r="J30" s="9">
        <v>-4.0000000000000002E-4</v>
      </c>
      <c r="K30" s="9">
        <v>-8.0000000000000004E-4</v>
      </c>
      <c r="L30" s="9">
        <v>-1E-3</v>
      </c>
      <c r="M30" s="9">
        <v>-8.9999999999999998E-4</v>
      </c>
      <c r="N30" s="9">
        <v>-5.9999999999999995E-4</v>
      </c>
      <c r="O30" s="9">
        <v>-1E-4</v>
      </c>
    </row>
    <row r="31" spans="3:15" ht="16" thickBot="1" x14ac:dyDescent="0.4">
      <c r="C31" s="2">
        <v>26</v>
      </c>
      <c r="D31" s="8">
        <v>4.0000000000000002E-4</v>
      </c>
      <c r="E31" s="8">
        <v>8.0000000000000004E-4</v>
      </c>
      <c r="F31" s="8">
        <v>1E-3</v>
      </c>
      <c r="G31" s="8">
        <v>8.9999999999999998E-4</v>
      </c>
      <c r="H31" s="8">
        <v>5.9999999999999995E-4</v>
      </c>
      <c r="I31" s="8">
        <v>1E-4</v>
      </c>
      <c r="J31" s="9">
        <v>-4.0000000000000002E-4</v>
      </c>
      <c r="K31" s="9">
        <v>-8.0000000000000004E-4</v>
      </c>
      <c r="L31" s="9">
        <v>-1E-3</v>
      </c>
      <c r="M31" s="9">
        <v>-8.9999999999999998E-4</v>
      </c>
      <c r="N31" s="9">
        <v>-5.9999999999999995E-4</v>
      </c>
      <c r="O31" s="9">
        <v>-1E-4</v>
      </c>
    </row>
    <row r="32" spans="3:15" ht="16" thickBot="1" x14ac:dyDescent="0.4">
      <c r="C32" s="2">
        <v>27</v>
      </c>
      <c r="D32" s="8">
        <v>5.0000000000000001E-4</v>
      </c>
      <c r="E32" s="8">
        <v>8.0000000000000004E-4</v>
      </c>
      <c r="F32" s="8">
        <v>1E-3</v>
      </c>
      <c r="G32" s="8">
        <v>8.9999999999999998E-4</v>
      </c>
      <c r="H32" s="8">
        <v>5.0000000000000001E-4</v>
      </c>
      <c r="I32" s="8">
        <v>1E-4</v>
      </c>
      <c r="J32" s="9">
        <v>-5.0000000000000001E-4</v>
      </c>
      <c r="K32" s="9">
        <v>-8.0000000000000004E-4</v>
      </c>
      <c r="L32" s="9">
        <v>-1E-3</v>
      </c>
      <c r="M32" s="9">
        <v>-8.9999999999999998E-4</v>
      </c>
      <c r="N32" s="9">
        <v>-5.0000000000000001E-4</v>
      </c>
      <c r="O32" s="9">
        <v>-1E-4</v>
      </c>
    </row>
    <row r="33" spans="3:15" ht="16" thickBot="1" x14ac:dyDescent="0.4">
      <c r="C33" s="2">
        <v>28</v>
      </c>
      <c r="D33" s="8">
        <v>5.0000000000000001E-4</v>
      </c>
      <c r="E33" s="8">
        <v>8.0000000000000004E-4</v>
      </c>
      <c r="F33" s="8">
        <v>1E-3</v>
      </c>
      <c r="G33" s="8">
        <v>8.9999999999999998E-4</v>
      </c>
      <c r="H33" s="8">
        <v>5.0000000000000001E-4</v>
      </c>
      <c r="I33" s="8">
        <v>0</v>
      </c>
      <c r="J33" s="9">
        <v>-5.0000000000000001E-4</v>
      </c>
      <c r="K33" s="9">
        <v>-8.0000000000000004E-4</v>
      </c>
      <c r="L33" s="9">
        <v>-1E-3</v>
      </c>
      <c r="M33" s="9">
        <v>-8.9999999999999998E-4</v>
      </c>
      <c r="N33" s="9">
        <v>-5.0000000000000001E-4</v>
      </c>
      <c r="O33" s="9">
        <v>0</v>
      </c>
    </row>
    <row r="34" spans="3:15" ht="16" thickBot="1" x14ac:dyDescent="0.4">
      <c r="C34" s="2">
        <v>29</v>
      </c>
      <c r="D34" s="8">
        <v>5.0000000000000001E-4</v>
      </c>
      <c r="E34" s="8">
        <v>8.9999999999999998E-4</v>
      </c>
      <c r="F34" s="8">
        <v>1E-3</v>
      </c>
      <c r="G34" s="8">
        <v>8.9999999999999998E-4</v>
      </c>
      <c r="H34" s="8">
        <v>5.0000000000000001E-4</v>
      </c>
      <c r="I34" s="8">
        <v>0</v>
      </c>
      <c r="J34" s="9">
        <v>-5.0000000000000001E-4</v>
      </c>
      <c r="K34" s="9">
        <v>-8.9999999999999998E-4</v>
      </c>
      <c r="L34" s="9">
        <v>-1E-3</v>
      </c>
      <c r="M34" s="9">
        <v>-8.9999999999999998E-4</v>
      </c>
      <c r="N34" s="9">
        <v>-5.0000000000000001E-4</v>
      </c>
      <c r="O34" s="9">
        <v>0</v>
      </c>
    </row>
    <row r="35" spans="3:15" ht="16" thickBot="1" x14ac:dyDescent="0.4">
      <c r="C35" s="2">
        <v>30</v>
      </c>
      <c r="D35" s="8">
        <v>5.0000000000000001E-4</v>
      </c>
      <c r="E35" s="8">
        <v>8.9999999999999998E-4</v>
      </c>
      <c r="F35" s="8">
        <v>1E-3</v>
      </c>
      <c r="G35" s="8">
        <v>8.9999999999999998E-4</v>
      </c>
      <c r="H35" s="8">
        <v>5.0000000000000001E-4</v>
      </c>
      <c r="I35" s="8">
        <v>0</v>
      </c>
      <c r="J35" s="9">
        <v>-5.0000000000000001E-4</v>
      </c>
      <c r="K35" s="9">
        <v>-8.9999999999999998E-4</v>
      </c>
      <c r="L35" s="9">
        <v>-1E-3</v>
      </c>
      <c r="M35" s="9">
        <v>-8.9999999999999998E-4</v>
      </c>
      <c r="N35" s="9">
        <v>-5.0000000000000001E-4</v>
      </c>
      <c r="O35" s="9">
        <v>0</v>
      </c>
    </row>
  </sheetData>
  <mergeCells count="1">
    <mergeCell ref="C3:O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AD0C-BAD1-4BD2-A7E1-1E2FBFC6E429}">
  <dimension ref="C3:D30"/>
  <sheetViews>
    <sheetView workbookViewId="0">
      <selection activeCell="B3" sqref="B3:D30"/>
    </sheetView>
  </sheetViews>
  <sheetFormatPr defaultRowHeight="14.5" x14ac:dyDescent="0.35"/>
  <sheetData>
    <row r="3" spans="3:4" x14ac:dyDescent="0.35">
      <c r="C3" s="113" t="s">
        <v>586</v>
      </c>
      <c r="D3" s="113"/>
    </row>
    <row r="4" spans="3:4" x14ac:dyDescent="0.35">
      <c r="C4" s="114" t="s">
        <v>587</v>
      </c>
      <c r="D4" s="114" t="s">
        <v>588</v>
      </c>
    </row>
    <row r="5" spans="3:4" x14ac:dyDescent="0.35">
      <c r="C5" s="114">
        <v>1867157</v>
      </c>
      <c r="D5" s="114">
        <v>400</v>
      </c>
    </row>
    <row r="6" spans="3:4" x14ac:dyDescent="0.35">
      <c r="C6" s="114">
        <v>1903682</v>
      </c>
      <c r="D6" s="114">
        <v>500</v>
      </c>
    </row>
    <row r="7" spans="3:4" x14ac:dyDescent="0.35">
      <c r="C7" s="114">
        <v>1940207</v>
      </c>
      <c r="D7" s="114">
        <v>600</v>
      </c>
    </row>
    <row r="8" spans="3:4" x14ac:dyDescent="0.35">
      <c r="C8" s="114">
        <v>1976732</v>
      </c>
      <c r="D8" s="114">
        <v>700</v>
      </c>
    </row>
    <row r="9" spans="3:4" x14ac:dyDescent="0.35">
      <c r="C9" s="114">
        <v>2013257</v>
      </c>
      <c r="D9" s="114">
        <v>800</v>
      </c>
    </row>
    <row r="10" spans="3:4" x14ac:dyDescent="0.35">
      <c r="C10" s="114">
        <v>2049782</v>
      </c>
      <c r="D10" s="114">
        <v>900</v>
      </c>
    </row>
    <row r="11" spans="3:4" x14ac:dyDescent="0.35">
      <c r="C11" s="114">
        <v>2086307</v>
      </c>
      <c r="D11" s="114">
        <v>1000</v>
      </c>
    </row>
    <row r="12" spans="3:4" x14ac:dyDescent="0.35">
      <c r="C12" s="114">
        <v>2122832</v>
      </c>
      <c r="D12" s="114">
        <v>1100</v>
      </c>
    </row>
    <row r="13" spans="3:4" x14ac:dyDescent="0.35">
      <c r="C13" s="114">
        <v>2159357</v>
      </c>
      <c r="D13" s="114">
        <v>1200</v>
      </c>
    </row>
    <row r="14" spans="3:4" x14ac:dyDescent="0.35">
      <c r="C14" s="114">
        <v>2195882</v>
      </c>
      <c r="D14" s="114">
        <v>1300</v>
      </c>
    </row>
    <row r="15" spans="3:4" x14ac:dyDescent="0.35">
      <c r="C15" s="114">
        <v>2232407</v>
      </c>
      <c r="D15" s="114">
        <v>1400</v>
      </c>
    </row>
    <row r="16" spans="3:4" x14ac:dyDescent="0.35">
      <c r="C16" s="114">
        <v>2268932</v>
      </c>
      <c r="D16" s="114">
        <v>1500</v>
      </c>
    </row>
    <row r="17" spans="3:4" x14ac:dyDescent="0.35">
      <c r="C17" s="114">
        <v>2305447</v>
      </c>
      <c r="D17" s="114">
        <v>1600</v>
      </c>
    </row>
    <row r="18" spans="3:4" x14ac:dyDescent="0.35">
      <c r="C18" s="114">
        <v>2341971</v>
      </c>
      <c r="D18" s="114">
        <v>1700</v>
      </c>
    </row>
    <row r="19" spans="3:4" x14ac:dyDescent="0.35">
      <c r="C19" s="114">
        <v>2378495</v>
      </c>
      <c r="D19" s="114">
        <v>1800</v>
      </c>
    </row>
    <row r="20" spans="3:4" x14ac:dyDescent="0.35">
      <c r="C20" s="114">
        <v>2415019</v>
      </c>
      <c r="D20" s="114">
        <v>1900</v>
      </c>
    </row>
    <row r="21" spans="3:4" x14ac:dyDescent="0.35">
      <c r="C21" s="114">
        <v>2451544</v>
      </c>
      <c r="D21" s="114">
        <v>2000</v>
      </c>
    </row>
    <row r="22" spans="3:4" x14ac:dyDescent="0.35">
      <c r="C22" s="114">
        <v>2488068</v>
      </c>
      <c r="D22" s="114">
        <v>2100</v>
      </c>
    </row>
    <row r="23" spans="3:4" x14ac:dyDescent="0.35">
      <c r="C23" s="114">
        <v>2524592</v>
      </c>
      <c r="D23" s="114">
        <v>2200</v>
      </c>
    </row>
    <row r="24" spans="3:4" x14ac:dyDescent="0.35">
      <c r="C24" s="114">
        <v>2561116</v>
      </c>
      <c r="D24" s="114">
        <v>2300</v>
      </c>
    </row>
    <row r="25" spans="3:4" x14ac:dyDescent="0.35">
      <c r="C25" s="114">
        <v>2597641</v>
      </c>
      <c r="D25" s="114">
        <v>2400</v>
      </c>
    </row>
    <row r="26" spans="3:4" x14ac:dyDescent="0.35">
      <c r="C26" s="114">
        <v>2634165</v>
      </c>
      <c r="D26" s="114">
        <v>2500</v>
      </c>
    </row>
    <row r="27" spans="3:4" x14ac:dyDescent="0.35">
      <c r="C27" s="114">
        <v>2670689</v>
      </c>
      <c r="D27" s="114">
        <v>2600</v>
      </c>
    </row>
    <row r="28" spans="3:4" x14ac:dyDescent="0.35">
      <c r="C28" s="114">
        <v>2707213</v>
      </c>
      <c r="D28" s="114">
        <v>2700</v>
      </c>
    </row>
    <row r="29" spans="3:4" x14ac:dyDescent="0.35">
      <c r="C29" s="114">
        <v>2743738</v>
      </c>
      <c r="D29" s="114">
        <v>2800</v>
      </c>
    </row>
    <row r="30" spans="3:4" x14ac:dyDescent="0.35">
      <c r="C30" s="114">
        <v>2780262</v>
      </c>
      <c r="D30" s="114">
        <v>2900</v>
      </c>
    </row>
  </sheetData>
  <mergeCells count="1">
    <mergeCell ref="C3:D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9CC-1125-4499-90FB-E5B2339D3ABF}">
  <dimension ref="B3:J29"/>
  <sheetViews>
    <sheetView workbookViewId="0">
      <selection activeCell="B3" sqref="B3:J29"/>
    </sheetView>
  </sheetViews>
  <sheetFormatPr defaultRowHeight="14.5" x14ac:dyDescent="0.35"/>
  <sheetData>
    <row r="3" spans="2:10" x14ac:dyDescent="0.35">
      <c r="B3" s="115"/>
      <c r="C3" s="113" t="s">
        <v>589</v>
      </c>
      <c r="D3" s="113"/>
      <c r="E3" s="113"/>
      <c r="F3" s="113"/>
      <c r="G3" s="113"/>
      <c r="H3" s="113"/>
      <c r="I3" s="113"/>
      <c r="J3" s="113"/>
    </row>
    <row r="4" spans="2:10" x14ac:dyDescent="0.35">
      <c r="B4" s="115"/>
      <c r="C4" s="114" t="s">
        <v>587</v>
      </c>
      <c r="D4" s="114" t="s">
        <v>588</v>
      </c>
      <c r="E4" s="114" t="s">
        <v>587</v>
      </c>
      <c r="F4" s="114" t="s">
        <v>588</v>
      </c>
      <c r="G4" s="114" t="s">
        <v>587</v>
      </c>
      <c r="H4" s="114" t="s">
        <v>588</v>
      </c>
      <c r="I4" s="114" t="s">
        <v>587</v>
      </c>
      <c r="J4" s="114" t="s">
        <v>588</v>
      </c>
    </row>
    <row r="5" spans="2:10" x14ac:dyDescent="0.35">
      <c r="B5" s="115"/>
      <c r="C5" s="114">
        <v>0</v>
      </c>
      <c r="D5" s="114">
        <v>0</v>
      </c>
      <c r="E5" s="114">
        <v>9131</v>
      </c>
      <c r="F5" s="114">
        <v>25</v>
      </c>
      <c r="G5" s="114">
        <v>18262</v>
      </c>
      <c r="H5" s="114">
        <v>50</v>
      </c>
      <c r="I5" s="114">
        <v>27393</v>
      </c>
      <c r="J5" s="114">
        <v>75</v>
      </c>
    </row>
    <row r="6" spans="2:10" x14ac:dyDescent="0.35">
      <c r="B6" s="115"/>
      <c r="C6" s="114">
        <v>365</v>
      </c>
      <c r="D6" s="114">
        <v>1</v>
      </c>
      <c r="E6" s="114">
        <v>9496</v>
      </c>
      <c r="F6" s="114">
        <v>26</v>
      </c>
      <c r="G6" s="114">
        <v>18627</v>
      </c>
      <c r="H6" s="114">
        <v>51</v>
      </c>
      <c r="I6" s="114">
        <v>27759</v>
      </c>
      <c r="J6" s="114">
        <v>76</v>
      </c>
    </row>
    <row r="7" spans="2:10" x14ac:dyDescent="0.35">
      <c r="B7" s="115"/>
      <c r="C7" s="114">
        <v>730</v>
      </c>
      <c r="D7" s="114">
        <v>2</v>
      </c>
      <c r="E7" s="114">
        <v>9861</v>
      </c>
      <c r="F7" s="114">
        <v>27</v>
      </c>
      <c r="G7" s="114">
        <v>18993</v>
      </c>
      <c r="H7" s="114">
        <v>52</v>
      </c>
      <c r="I7" s="114">
        <v>28124</v>
      </c>
      <c r="J7" s="114">
        <v>77</v>
      </c>
    </row>
    <row r="8" spans="2:10" x14ac:dyDescent="0.35">
      <c r="B8" s="115"/>
      <c r="C8" s="114">
        <v>1095</v>
      </c>
      <c r="D8" s="114">
        <v>3</v>
      </c>
      <c r="E8" s="114">
        <v>10227</v>
      </c>
      <c r="F8" s="114">
        <v>28</v>
      </c>
      <c r="G8" s="114">
        <v>19358</v>
      </c>
      <c r="H8" s="114">
        <v>53</v>
      </c>
      <c r="I8" s="114">
        <v>28489</v>
      </c>
      <c r="J8" s="114">
        <v>78</v>
      </c>
    </row>
    <row r="9" spans="2:10" x14ac:dyDescent="0.35">
      <c r="B9" s="115"/>
      <c r="C9" s="114">
        <v>1461</v>
      </c>
      <c r="D9" s="114">
        <v>4</v>
      </c>
      <c r="E9" s="114">
        <v>10592</v>
      </c>
      <c r="F9" s="114">
        <v>29</v>
      </c>
      <c r="G9" s="114">
        <v>19723</v>
      </c>
      <c r="H9" s="114">
        <v>54</v>
      </c>
      <c r="I9" s="114">
        <v>28854</v>
      </c>
      <c r="J9" s="114">
        <v>79</v>
      </c>
    </row>
    <row r="10" spans="2:10" x14ac:dyDescent="0.35">
      <c r="B10" s="115"/>
      <c r="C10" s="114">
        <v>1826</v>
      </c>
      <c r="D10" s="114">
        <v>5</v>
      </c>
      <c r="E10" s="114">
        <v>10957</v>
      </c>
      <c r="F10" s="114">
        <v>30</v>
      </c>
      <c r="G10" s="114">
        <v>20088</v>
      </c>
      <c r="H10" s="114">
        <v>55</v>
      </c>
      <c r="I10" s="114">
        <v>29220</v>
      </c>
      <c r="J10" s="114">
        <v>80</v>
      </c>
    </row>
    <row r="11" spans="2:10" x14ac:dyDescent="0.35">
      <c r="B11" s="115"/>
      <c r="C11" s="114">
        <v>2191</v>
      </c>
      <c r="D11" s="114">
        <v>6</v>
      </c>
      <c r="E11" s="114">
        <v>11322</v>
      </c>
      <c r="F11" s="114">
        <v>31</v>
      </c>
      <c r="G11" s="114">
        <v>20454</v>
      </c>
      <c r="H11" s="114">
        <v>56</v>
      </c>
      <c r="I11" s="114">
        <v>29585</v>
      </c>
      <c r="J11" s="114">
        <v>81</v>
      </c>
    </row>
    <row r="12" spans="2:10" x14ac:dyDescent="0.35">
      <c r="B12" s="115"/>
      <c r="C12" s="114">
        <v>2556</v>
      </c>
      <c r="D12" s="114">
        <v>7</v>
      </c>
      <c r="E12" s="114">
        <v>11688</v>
      </c>
      <c r="F12" s="114">
        <v>32</v>
      </c>
      <c r="G12" s="114">
        <v>20819</v>
      </c>
      <c r="H12" s="114">
        <v>57</v>
      </c>
      <c r="I12" s="114">
        <v>29950</v>
      </c>
      <c r="J12" s="114">
        <v>82</v>
      </c>
    </row>
    <row r="13" spans="2:10" x14ac:dyDescent="0.35">
      <c r="B13" s="115"/>
      <c r="C13" s="114">
        <v>2922</v>
      </c>
      <c r="D13" s="114">
        <v>8</v>
      </c>
      <c r="E13" s="114">
        <v>12053</v>
      </c>
      <c r="F13" s="114">
        <v>33</v>
      </c>
      <c r="G13" s="114">
        <v>21184</v>
      </c>
      <c r="H13" s="114">
        <v>58</v>
      </c>
      <c r="I13" s="114">
        <v>30315</v>
      </c>
      <c r="J13" s="114">
        <v>83</v>
      </c>
    </row>
    <row r="14" spans="2:10" x14ac:dyDescent="0.35">
      <c r="B14" s="115"/>
      <c r="C14" s="114">
        <v>3287</v>
      </c>
      <c r="D14" s="114">
        <v>9</v>
      </c>
      <c r="E14" s="114">
        <v>12418</v>
      </c>
      <c r="F14" s="114">
        <v>34</v>
      </c>
      <c r="G14" s="114">
        <v>21549</v>
      </c>
      <c r="H14" s="114">
        <v>59</v>
      </c>
      <c r="I14" s="114">
        <v>30681</v>
      </c>
      <c r="J14" s="114">
        <v>84</v>
      </c>
    </row>
    <row r="15" spans="2:10" x14ac:dyDescent="0.35">
      <c r="B15" s="115"/>
      <c r="C15" s="114">
        <v>3652</v>
      </c>
      <c r="D15" s="114">
        <v>10</v>
      </c>
      <c r="E15" s="114">
        <v>12783</v>
      </c>
      <c r="F15" s="114">
        <v>35</v>
      </c>
      <c r="G15" s="114">
        <v>21915</v>
      </c>
      <c r="H15" s="114">
        <v>60</v>
      </c>
      <c r="I15" s="114">
        <v>31046</v>
      </c>
      <c r="J15" s="114">
        <v>85</v>
      </c>
    </row>
    <row r="16" spans="2:10" x14ac:dyDescent="0.35">
      <c r="B16" s="115"/>
      <c r="C16" s="114">
        <v>4017</v>
      </c>
      <c r="D16" s="114">
        <v>11</v>
      </c>
      <c r="E16" s="114">
        <v>13149</v>
      </c>
      <c r="F16" s="114">
        <v>36</v>
      </c>
      <c r="G16" s="114">
        <v>22280</v>
      </c>
      <c r="H16" s="114">
        <v>61</v>
      </c>
      <c r="I16" s="114">
        <v>31411</v>
      </c>
      <c r="J16" s="114">
        <v>86</v>
      </c>
    </row>
    <row r="17" spans="2:10" x14ac:dyDescent="0.35">
      <c r="B17" s="115"/>
      <c r="C17" s="114">
        <v>4383</v>
      </c>
      <c r="D17" s="114">
        <v>12</v>
      </c>
      <c r="E17" s="114">
        <v>13514</v>
      </c>
      <c r="F17" s="114">
        <v>37</v>
      </c>
      <c r="G17" s="114">
        <v>22645</v>
      </c>
      <c r="H17" s="114">
        <v>62</v>
      </c>
      <c r="I17" s="114">
        <v>31776</v>
      </c>
      <c r="J17" s="114">
        <v>87</v>
      </c>
    </row>
    <row r="18" spans="2:10" x14ac:dyDescent="0.35">
      <c r="B18" s="115"/>
      <c r="C18" s="114">
        <v>4748</v>
      </c>
      <c r="D18" s="114">
        <v>13</v>
      </c>
      <c r="E18" s="114">
        <v>13879</v>
      </c>
      <c r="F18" s="114">
        <v>38</v>
      </c>
      <c r="G18" s="114">
        <v>23010</v>
      </c>
      <c r="H18" s="114">
        <v>63</v>
      </c>
      <c r="I18" s="114">
        <v>32142</v>
      </c>
      <c r="J18" s="114">
        <v>88</v>
      </c>
    </row>
    <row r="19" spans="2:10" x14ac:dyDescent="0.35">
      <c r="B19" s="115"/>
      <c r="C19" s="114">
        <v>5113</v>
      </c>
      <c r="D19" s="114">
        <v>14</v>
      </c>
      <c r="E19" s="114">
        <v>14244</v>
      </c>
      <c r="F19" s="114">
        <v>39</v>
      </c>
      <c r="G19" s="114">
        <v>23376</v>
      </c>
      <c r="H19" s="114">
        <v>64</v>
      </c>
      <c r="I19" s="114">
        <v>32507</v>
      </c>
      <c r="J19" s="114">
        <v>89</v>
      </c>
    </row>
    <row r="20" spans="2:10" x14ac:dyDescent="0.35">
      <c r="B20" s="115"/>
      <c r="C20" s="114">
        <v>5478</v>
      </c>
      <c r="D20" s="114">
        <v>15</v>
      </c>
      <c r="E20" s="114">
        <v>14610</v>
      </c>
      <c r="F20" s="114">
        <v>40</v>
      </c>
      <c r="G20" s="114">
        <v>23741</v>
      </c>
      <c r="H20" s="114">
        <v>65</v>
      </c>
      <c r="I20" s="114">
        <v>32872</v>
      </c>
      <c r="J20" s="114">
        <v>90</v>
      </c>
    </row>
    <row r="21" spans="2:10" x14ac:dyDescent="0.35">
      <c r="B21" s="115"/>
      <c r="C21" s="114">
        <v>5844</v>
      </c>
      <c r="D21" s="114">
        <v>16</v>
      </c>
      <c r="E21" s="114">
        <v>14975</v>
      </c>
      <c r="F21" s="114">
        <v>41</v>
      </c>
      <c r="G21" s="114">
        <v>24106</v>
      </c>
      <c r="H21" s="114">
        <v>66</v>
      </c>
      <c r="I21" s="114">
        <v>33237</v>
      </c>
      <c r="J21" s="114">
        <v>91</v>
      </c>
    </row>
    <row r="22" spans="2:10" x14ac:dyDescent="0.35">
      <c r="B22" s="115"/>
      <c r="C22" s="114">
        <v>6209</v>
      </c>
      <c r="D22" s="114">
        <v>17</v>
      </c>
      <c r="E22" s="114">
        <v>15340</v>
      </c>
      <c r="F22" s="114">
        <v>42</v>
      </c>
      <c r="G22" s="114">
        <v>24471</v>
      </c>
      <c r="H22" s="114">
        <v>67</v>
      </c>
      <c r="I22" s="114">
        <v>33603</v>
      </c>
      <c r="J22" s="114">
        <v>92</v>
      </c>
    </row>
    <row r="23" spans="2:10" x14ac:dyDescent="0.35">
      <c r="B23" s="115"/>
      <c r="C23" s="114">
        <v>6574</v>
      </c>
      <c r="D23" s="114">
        <v>18</v>
      </c>
      <c r="E23" s="114">
        <v>15705</v>
      </c>
      <c r="F23" s="114">
        <v>43</v>
      </c>
      <c r="G23" s="114">
        <v>24837</v>
      </c>
      <c r="H23" s="114">
        <v>68</v>
      </c>
      <c r="I23" s="114">
        <v>33968</v>
      </c>
      <c r="J23" s="114">
        <v>93</v>
      </c>
    </row>
    <row r="24" spans="2:10" x14ac:dyDescent="0.35">
      <c r="B24" s="115"/>
      <c r="C24" s="114">
        <v>6939</v>
      </c>
      <c r="D24" s="114">
        <v>19</v>
      </c>
      <c r="E24" s="114">
        <v>16071</v>
      </c>
      <c r="F24" s="114">
        <v>44</v>
      </c>
      <c r="G24" s="114">
        <v>25202</v>
      </c>
      <c r="H24" s="114">
        <v>69</v>
      </c>
      <c r="I24" s="114">
        <v>34333</v>
      </c>
      <c r="J24" s="114">
        <v>94</v>
      </c>
    </row>
    <row r="25" spans="2:10" x14ac:dyDescent="0.35">
      <c r="B25" s="115"/>
      <c r="C25" s="114">
        <v>7305</v>
      </c>
      <c r="D25" s="114">
        <v>20</v>
      </c>
      <c r="E25" s="114">
        <v>16436</v>
      </c>
      <c r="F25" s="114">
        <v>45</v>
      </c>
      <c r="G25" s="114">
        <v>25567</v>
      </c>
      <c r="H25" s="114">
        <v>70</v>
      </c>
      <c r="I25" s="114">
        <v>34698</v>
      </c>
      <c r="J25" s="114">
        <v>95</v>
      </c>
    </row>
    <row r="26" spans="2:10" x14ac:dyDescent="0.35">
      <c r="B26" s="115"/>
      <c r="C26" s="114">
        <v>7670</v>
      </c>
      <c r="D26" s="114">
        <v>21</v>
      </c>
      <c r="E26" s="114">
        <v>16801</v>
      </c>
      <c r="F26" s="114">
        <v>46</v>
      </c>
      <c r="G26" s="114">
        <v>25932</v>
      </c>
      <c r="H26" s="114">
        <v>71</v>
      </c>
      <c r="I26" s="114">
        <v>35064</v>
      </c>
      <c r="J26" s="114">
        <v>96</v>
      </c>
    </row>
    <row r="27" spans="2:10" x14ac:dyDescent="0.35">
      <c r="B27" s="115"/>
      <c r="C27" s="114">
        <v>8035</v>
      </c>
      <c r="D27" s="114">
        <v>22</v>
      </c>
      <c r="E27" s="114">
        <v>17166</v>
      </c>
      <c r="F27" s="114">
        <v>47</v>
      </c>
      <c r="G27" s="114">
        <v>26298</v>
      </c>
      <c r="H27" s="114">
        <v>72</v>
      </c>
      <c r="I27" s="114">
        <v>35429</v>
      </c>
      <c r="J27" s="114">
        <v>97</v>
      </c>
    </row>
    <row r="28" spans="2:10" x14ac:dyDescent="0.35">
      <c r="B28" s="115"/>
      <c r="C28" s="114">
        <v>8400</v>
      </c>
      <c r="D28" s="114">
        <v>23</v>
      </c>
      <c r="E28" s="114">
        <v>17532</v>
      </c>
      <c r="F28" s="114">
        <v>48</v>
      </c>
      <c r="G28" s="114">
        <v>26663</v>
      </c>
      <c r="H28" s="114">
        <v>73</v>
      </c>
      <c r="I28" s="114">
        <v>35794</v>
      </c>
      <c r="J28" s="114">
        <v>98</v>
      </c>
    </row>
    <row r="29" spans="2:10" x14ac:dyDescent="0.35">
      <c r="B29" s="115"/>
      <c r="C29" s="114">
        <v>8766</v>
      </c>
      <c r="D29" s="114">
        <v>24</v>
      </c>
      <c r="E29" s="114">
        <v>17897</v>
      </c>
      <c r="F29" s="114">
        <v>49</v>
      </c>
      <c r="G29" s="114">
        <v>27028</v>
      </c>
      <c r="H29" s="114">
        <v>74</v>
      </c>
      <c r="I29" s="114">
        <v>36159</v>
      </c>
      <c r="J29" s="114">
        <v>99</v>
      </c>
    </row>
  </sheetData>
  <mergeCells count="1">
    <mergeCell ref="C3:J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2EE3-0286-4414-B77E-7ECF934D46DC}">
  <dimension ref="B3:D18"/>
  <sheetViews>
    <sheetView workbookViewId="0">
      <selection activeCell="B3" sqref="B3:D18"/>
    </sheetView>
  </sheetViews>
  <sheetFormatPr defaultRowHeight="14.5" x14ac:dyDescent="0.35"/>
  <cols>
    <col min="4" max="4" width="12.6328125" customWidth="1"/>
  </cols>
  <sheetData>
    <row r="3" spans="2:4" x14ac:dyDescent="0.35">
      <c r="B3" s="115"/>
      <c r="C3" s="113" t="s">
        <v>590</v>
      </c>
      <c r="D3" s="113"/>
    </row>
    <row r="4" spans="2:4" x14ac:dyDescent="0.35">
      <c r="B4" s="115"/>
      <c r="C4" s="114" t="s">
        <v>591</v>
      </c>
      <c r="D4" s="114" t="s">
        <v>187</v>
      </c>
    </row>
    <row r="5" spans="2:4" x14ac:dyDescent="0.35">
      <c r="B5" s="115"/>
      <c r="C5" s="114">
        <v>0</v>
      </c>
      <c r="D5" s="116" t="s">
        <v>592</v>
      </c>
    </row>
    <row r="6" spans="2:4" x14ac:dyDescent="0.35">
      <c r="B6" s="115"/>
      <c r="C6" s="114">
        <v>-1</v>
      </c>
      <c r="D6" s="116" t="s">
        <v>593</v>
      </c>
    </row>
    <row r="7" spans="2:4" x14ac:dyDescent="0.35">
      <c r="B7" s="115"/>
      <c r="C7" s="114">
        <v>31</v>
      </c>
      <c r="D7" s="116" t="s">
        <v>594</v>
      </c>
    </row>
    <row r="8" spans="2:4" x14ac:dyDescent="0.35">
      <c r="B8" s="115"/>
      <c r="C8" s="114">
        <v>30</v>
      </c>
      <c r="D8" s="116" t="s">
        <v>595</v>
      </c>
    </row>
    <row r="9" spans="2:4" x14ac:dyDescent="0.35">
      <c r="B9" s="115"/>
      <c r="C9" s="114">
        <v>59</v>
      </c>
      <c r="D9" s="116" t="s">
        <v>596</v>
      </c>
    </row>
    <row r="10" spans="2:4" x14ac:dyDescent="0.35">
      <c r="B10" s="115"/>
      <c r="C10" s="114">
        <v>90</v>
      </c>
      <c r="D10" s="116" t="s">
        <v>597</v>
      </c>
    </row>
    <row r="11" spans="2:4" x14ac:dyDescent="0.35">
      <c r="B11" s="115"/>
      <c r="C11" s="114">
        <v>120</v>
      </c>
      <c r="D11" s="116" t="s">
        <v>598</v>
      </c>
    </row>
    <row r="12" spans="2:4" x14ac:dyDescent="0.35">
      <c r="B12" s="115"/>
      <c r="C12" s="114">
        <v>151</v>
      </c>
      <c r="D12" s="116" t="s">
        <v>599</v>
      </c>
    </row>
    <row r="13" spans="2:4" x14ac:dyDescent="0.35">
      <c r="B13" s="115"/>
      <c r="C13" s="114">
        <v>181</v>
      </c>
      <c r="D13" s="116" t="s">
        <v>600</v>
      </c>
    </row>
    <row r="14" spans="2:4" x14ac:dyDescent="0.35">
      <c r="B14" s="115"/>
      <c r="C14" s="114">
        <v>212</v>
      </c>
      <c r="D14" s="116" t="s">
        <v>601</v>
      </c>
    </row>
    <row r="15" spans="2:4" x14ac:dyDescent="0.35">
      <c r="B15" s="115"/>
      <c r="C15" s="114">
        <v>243</v>
      </c>
      <c r="D15" s="116" t="s">
        <v>602</v>
      </c>
    </row>
    <row r="16" spans="2:4" x14ac:dyDescent="0.35">
      <c r="B16" s="115"/>
      <c r="C16" s="114">
        <v>273</v>
      </c>
      <c r="D16" s="116" t="s">
        <v>603</v>
      </c>
    </row>
    <row r="17" spans="2:4" x14ac:dyDescent="0.35">
      <c r="B17" s="115"/>
      <c r="C17" s="114">
        <v>304</v>
      </c>
      <c r="D17" s="116" t="s">
        <v>604</v>
      </c>
    </row>
    <row r="18" spans="2:4" x14ac:dyDescent="0.35">
      <c r="B18" s="115"/>
      <c r="C18" s="114">
        <v>334</v>
      </c>
      <c r="D18" s="116" t="s">
        <v>605</v>
      </c>
    </row>
  </sheetData>
  <mergeCells count="1">
    <mergeCell ref="C3:D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EC7C-4732-4675-A364-4504D00A8D53}">
  <dimension ref="C3:O70"/>
  <sheetViews>
    <sheetView workbookViewId="0">
      <selection activeCell="B38" sqref="B38:O70"/>
    </sheetView>
  </sheetViews>
  <sheetFormatPr defaultRowHeight="14.5" x14ac:dyDescent="0.35"/>
  <sheetData>
    <row r="3" spans="3:15" x14ac:dyDescent="0.35">
      <c r="C3" s="65" t="s">
        <v>504</v>
      </c>
      <c r="D3" s="61" t="s">
        <v>505</v>
      </c>
      <c r="E3" s="61"/>
      <c r="F3" s="61" t="s">
        <v>506</v>
      </c>
      <c r="G3" s="61"/>
      <c r="H3" s="61" t="s">
        <v>507</v>
      </c>
      <c r="I3" s="61"/>
      <c r="J3" s="61" t="s">
        <v>508</v>
      </c>
      <c r="K3" s="61"/>
      <c r="L3" s="61" t="s">
        <v>509</v>
      </c>
      <c r="M3" s="61"/>
      <c r="N3" s="61" t="s">
        <v>510</v>
      </c>
      <c r="O3" s="61"/>
    </row>
    <row r="4" spans="3:15" x14ac:dyDescent="0.35">
      <c r="C4" s="65"/>
      <c r="D4" s="36" t="s">
        <v>511</v>
      </c>
      <c r="E4" s="36" t="s">
        <v>512</v>
      </c>
      <c r="F4" s="36" t="s">
        <v>511</v>
      </c>
      <c r="G4" s="36" t="s">
        <v>512</v>
      </c>
      <c r="H4" s="36" t="s">
        <v>511</v>
      </c>
      <c r="I4" s="36" t="s">
        <v>512</v>
      </c>
      <c r="J4" s="36" t="s">
        <v>511</v>
      </c>
      <c r="K4" s="36" t="s">
        <v>512</v>
      </c>
      <c r="L4" s="36" t="s">
        <v>511</v>
      </c>
      <c r="M4" s="36" t="s">
        <v>512</v>
      </c>
      <c r="N4" s="36" t="s">
        <v>511</v>
      </c>
      <c r="O4" s="36" t="s">
        <v>512</v>
      </c>
    </row>
    <row r="5" spans="3:15" x14ac:dyDescent="0.35">
      <c r="C5" s="36">
        <v>1</v>
      </c>
      <c r="D5" s="37">
        <f xml:space="preserve"> -23 + (1 / 60) + (28.93 / 3600)</f>
        <v>-22.975297222222224</v>
      </c>
      <c r="E5" s="37">
        <f>(-3 / 60) + (16.48 / 3600)</f>
        <v>-4.5422222222222225E-2</v>
      </c>
      <c r="F5" s="37">
        <f xml:space="preserve"> -17 + (11 / 60) + (12.21 / 3600)</f>
        <v>-16.813275000000001</v>
      </c>
      <c r="G5" s="37">
        <f xml:space="preserve"> (-13 / 60) + (28.08 / 3600)</f>
        <v>-0.20886666666666667</v>
      </c>
      <c r="H5" s="37">
        <f xml:space="preserve"> -7 + (19 / 60) + (27.98 / 3600)</f>
        <v>-6.6755611111111115</v>
      </c>
      <c r="I5" s="37">
        <f xml:space="preserve"> (-12 / 60) + (13.08 / 3600)</f>
        <v>-0.19636666666666669</v>
      </c>
      <c r="J5" s="37">
        <f xml:space="preserve"> 4 + (48 / 60) + (18.41 / 3600)</f>
        <v>4.8051138888888891</v>
      </c>
      <c r="K5" s="37">
        <f>(-3 / 60) + ( 42.85 / 3600)</f>
        <v>-3.8097222222222227E-2</v>
      </c>
      <c r="L5" s="37">
        <f xml:space="preserve"> 15 + (16 / 60) + (59.2 / 3600)</f>
        <v>15.283111111111111</v>
      </c>
      <c r="M5" s="37">
        <f>(2 / 60) + (59.26 / 3600)</f>
        <v>4.9794444444444447E-2</v>
      </c>
      <c r="N5" s="37">
        <f xml:space="preserve"> 22 + (8 / 60) + (36.63 / 3600)</f>
        <v>22.143508333333333</v>
      </c>
      <c r="O5" s="37">
        <f>(2 / 60) + (8.35 / 3600)</f>
        <v>3.5652777777777776E-2</v>
      </c>
    </row>
    <row r="6" spans="3:15" x14ac:dyDescent="0.35">
      <c r="C6" s="36">
        <v>2</v>
      </c>
      <c r="D6" s="37">
        <f xml:space="preserve"> -22 + (56 / 60) + (27.24 / 3600)</f>
        <v>-21.059100000000001</v>
      </c>
      <c r="E6" s="37">
        <f>(-3 / 60) + (44.75 / 3600)</f>
        <v>-3.7569444444444447E-2</v>
      </c>
      <c r="F6" s="37">
        <f xml:space="preserve"> -16 + (54 / 60) + (4.73 / 3600)</f>
        <v>-15.09868611111111</v>
      </c>
      <c r="G6" s="37">
        <f>(-13 / 60) + (36.04 / 3600)</f>
        <v>-0.20665555555555556</v>
      </c>
      <c r="H6" s="37">
        <f xml:space="preserve"> -6 + (56 / 60) + (32.62 / 3600)</f>
        <v>-5.057605555555555</v>
      </c>
      <c r="I6" s="37">
        <f xml:space="preserve"> (-12 / 60) + (0.9 / 3600)</f>
        <v>-0.19975000000000001</v>
      </c>
      <c r="J6" s="37">
        <f xml:space="preserve"> 5 + (11 / 60) + (21.66 / 3600)</f>
        <v>5.1893500000000001</v>
      </c>
      <c r="K6" s="37">
        <f>(-3 / 60) + ( 25.14 / 3600)</f>
        <v>-4.3016666666666668E-2</v>
      </c>
      <c r="L6" s="37">
        <f xml:space="preserve"> 15 + (34 / 60) + (50.27 / 3600)</f>
        <v>15.580630555555555</v>
      </c>
      <c r="M6" s="37">
        <f>(3 / 60) + (5.9 / 3600)</f>
        <v>5.1638888888888894E-2</v>
      </c>
      <c r="N6" s="37">
        <f xml:space="preserve"> 22 + (16 / 60) + (17.8 / 3600)</f>
        <v>22.27161111111111</v>
      </c>
      <c r="O6" s="37">
        <f>(1 / 60) + (58.77 / 3600)</f>
        <v>3.2991666666666669E-2</v>
      </c>
    </row>
    <row r="7" spans="3:15" x14ac:dyDescent="0.35">
      <c r="C7" s="36">
        <v>3</v>
      </c>
      <c r="D7" s="37">
        <f xml:space="preserve"> -22 + (50 / 60) + (58.13 / 3600)</f>
        <v>-21.150519444444445</v>
      </c>
      <c r="E7" s="37">
        <f>(-4 / 60) + (12.68 / 3600)</f>
        <v>-6.3144444444444447E-2</v>
      </c>
      <c r="F7" s="37">
        <f xml:space="preserve"> -16 + (36 / 60) + (39.47 / 3600)</f>
        <v>-15.389036111111112</v>
      </c>
      <c r="G7" s="37">
        <f>(-13 / 60) + (43.17 / 3600)</f>
        <v>-0.204675</v>
      </c>
      <c r="H7" s="37">
        <f xml:space="preserve"> -6 + (33 / 60) + (31.36 / 3600)</f>
        <v>-5.4412888888888888</v>
      </c>
      <c r="I7" s="37">
        <f xml:space="preserve"> (-11 / 60) + (48.25 / 3600)</f>
        <v>-0.16993055555555553</v>
      </c>
      <c r="J7" s="37">
        <f xml:space="preserve"> 5 + (34 / 60) + (19.39 / 3600)</f>
        <v>5.5720527777777775</v>
      </c>
      <c r="K7" s="37">
        <f>(-3 / 60) + (7.58 / 3600)</f>
        <v>-4.7894444444444448E-2</v>
      </c>
      <c r="L7" s="37">
        <f xml:space="preserve"> 15 + (52 / 60) + (25.86 / 3600)</f>
        <v>15.873850000000001</v>
      </c>
      <c r="M7" s="37">
        <f>(3 / 60) + (11.98 / 3600)</f>
        <v>5.3327777777777779E-2</v>
      </c>
      <c r="N7" s="37">
        <f xml:space="preserve"> 22 + (23 / 60) + (35.62 / 3600)</f>
        <v>22.393227777777778</v>
      </c>
      <c r="O7" s="37">
        <f>(1 / 60) + (48.82 / 3600)</f>
        <v>3.0227777777777777E-2</v>
      </c>
    </row>
    <row r="8" spans="3:15" x14ac:dyDescent="0.35">
      <c r="C8" s="36">
        <v>4</v>
      </c>
      <c r="D8" s="37">
        <f xml:space="preserve"> -22 + (45 / 60) + (1.75 / 3600)</f>
        <v>-21.249513888888888</v>
      </c>
      <c r="E8" s="37">
        <f>(-4 / 60) + (40.25 / 3600)</f>
        <v>-5.5486111111111111E-2</v>
      </c>
      <c r="F8" s="37">
        <f xml:space="preserve"> -16 + (18 / 60) + (56.84 / 3600)</f>
        <v>-15.684211111111111</v>
      </c>
      <c r="G8" s="37">
        <f>(-13 / 60) + (49.5 / 3600)</f>
        <v>-0.20291666666666666</v>
      </c>
      <c r="H8" s="37">
        <f xml:space="preserve"> -6 + (10 / 60) + (24.61 / 3600)</f>
        <v>-5.8264972222222218</v>
      </c>
      <c r="I8" s="37">
        <f xml:space="preserve"> (-11 / 60) + (35.15 / 3600)</f>
        <v>-0.17356944444444444</v>
      </c>
      <c r="J8" s="37">
        <f xml:space="preserve"> 5 + (57 / 60) + (11.28 / 3600)</f>
        <v>5.9531333333333336</v>
      </c>
      <c r="K8" s="37">
        <f>(-2 / 60) + (50.17 / 3600)</f>
        <v>-1.9397222222222222E-2</v>
      </c>
      <c r="L8" s="37">
        <f xml:space="preserve"> 16 + (9 / 60) + (45.65 / 3600)</f>
        <v>16.162680555555553</v>
      </c>
      <c r="M8" s="37">
        <f>(3 / 60) + (17.52 / 3600)</f>
        <v>5.4866666666666668E-2</v>
      </c>
      <c r="N8" s="37">
        <f xml:space="preserve"> 22 + (30 / 60) + (29.95 / 3600)</f>
        <v>22.508319444444446</v>
      </c>
      <c r="O8" s="37">
        <f>(1 / 60) + (38.52 / 3600)</f>
        <v>2.7366666666666668E-2</v>
      </c>
    </row>
    <row r="9" spans="3:15" x14ac:dyDescent="0.35">
      <c r="C9" s="36">
        <v>5</v>
      </c>
      <c r="D9" s="37">
        <f xml:space="preserve"> -22 + (38 / 60) + (38.27 / 3600)</f>
        <v>-21.356036111111113</v>
      </c>
      <c r="E9" s="37">
        <f>(-5 / 60) + (7.41 / 3600)</f>
        <v>-8.1275E-2</v>
      </c>
      <c r="F9" s="37">
        <f xml:space="preserve"> -16 + (0 / 60) + (57.25 / 3600)</f>
        <v>-15.984097222222223</v>
      </c>
      <c r="G9" s="37">
        <f>(-13 / 60) + (55.01 / 3600)</f>
        <v>-0.20138611111111113</v>
      </c>
      <c r="H9" s="37">
        <f xml:space="preserve"> -5 + (47 / 60) + (12.75 / 3600)</f>
        <v>-4.2131249999999998</v>
      </c>
      <c r="I9" s="37">
        <f xml:space="preserve"> (-11 / 60) + (21.6 / 3600)</f>
        <v>-0.17733333333333332</v>
      </c>
      <c r="J9" s="37">
        <f xml:space="preserve"> 6 + (19 / 60) + (56.97 / 3600)</f>
        <v>6.3324916666666669</v>
      </c>
      <c r="K9" s="37">
        <f>(-2 / 60) + (32.95 / 3600)</f>
        <v>-2.4180555555555552E-2</v>
      </c>
      <c r="L9" s="37">
        <f xml:space="preserve"> 16 + (26 / 60) + (49.34 / 3600)</f>
        <v>16.447038888888891</v>
      </c>
      <c r="M9" s="37">
        <f>(3 / 60) + (22.49 / 3600)</f>
        <v>5.6247222222222226E-2</v>
      </c>
      <c r="N9" s="37">
        <f xml:space="preserve"> 22 + (37 / 60) + (0.63 / 3600)</f>
        <v>22.616841666666666</v>
      </c>
      <c r="O9" s="37">
        <f>(1 / 60) + (27.89 / 3600)</f>
        <v>2.4413888888888888E-2</v>
      </c>
    </row>
    <row r="10" spans="3:15" x14ac:dyDescent="0.35">
      <c r="C10" s="36">
        <v>6</v>
      </c>
      <c r="D10" s="37">
        <f xml:space="preserve"> -22 + (31 / 60) + (47.89 / 3600)</f>
        <v>-21.470030555555557</v>
      </c>
      <c r="E10" s="37">
        <f>(-5 / 60) + (34.15 / 3600)</f>
        <v>-7.3847222222222217E-2</v>
      </c>
      <c r="F10" s="37">
        <f xml:space="preserve"> -15 + (42 / 60) + (41.11 / 3600)</f>
        <v>-14.288580555555557</v>
      </c>
      <c r="G10" s="37">
        <f>(-13 / 60) + (59.72 / 3600)</f>
        <v>-0.2000777777777778</v>
      </c>
      <c r="H10" s="37">
        <f xml:space="preserve"> -5 + (23 / 60) + (56.18 / 3600)</f>
        <v>-4.601061111111111</v>
      </c>
      <c r="I10" s="37">
        <f xml:space="preserve"> (-11 / 60) + (7.63 / 3600)</f>
        <v>-0.18121388888888887</v>
      </c>
      <c r="J10" s="37">
        <f xml:space="preserve"> 6 + (42 / 60) + (36.12 / 3600)</f>
        <v>6.7100333333333335</v>
      </c>
      <c r="K10" s="37">
        <f>(-2 / 60) + ( 15.92 / 3600)</f>
        <v>-2.891111111111111E-2</v>
      </c>
      <c r="L10" s="37">
        <f xml:space="preserve"> 16 + (43 / 60) + (36.61 / 3600)</f>
        <v>16.726836111111108</v>
      </c>
      <c r="M10" s="37">
        <f>(3 / 60) + (26.9 / 3600)</f>
        <v>5.7472222222222223E-2</v>
      </c>
      <c r="N10" s="37">
        <f xml:space="preserve"> 22 + (43 / 60) + (7.51 / 3600)</f>
        <v>22.718752777777777</v>
      </c>
      <c r="O10" s="37">
        <f>(1 / 60) + (16.95 / 3600)</f>
        <v>2.1374999999999998E-2</v>
      </c>
    </row>
    <row r="11" spans="3:15" x14ac:dyDescent="0.35">
      <c r="C11" s="36">
        <v>7</v>
      </c>
      <c r="D11" s="37">
        <f xml:space="preserve"> -22 + (24 / 60) + (30.8 / 3600)</f>
        <v>-21.591444444444445</v>
      </c>
      <c r="E11" s="37">
        <f>(-6 / 60) + (0.44 / 3600)</f>
        <v>-9.9877777777777788E-2</v>
      </c>
      <c r="F11" s="37">
        <f xml:space="preserve"> -15 + (24 / 60) + (8.84 / 3600)</f>
        <v>-14.597544444444445</v>
      </c>
      <c r="G11" s="37">
        <f>(-14 / 60) + (3.62 / 3600)</f>
        <v>-0.23232777777777777</v>
      </c>
      <c r="H11" s="37">
        <f xml:space="preserve"> -5 + (0 / 60) + (35.28 / 3600)</f>
        <v>-4.9901999999999997</v>
      </c>
      <c r="I11" s="37">
        <f xml:space="preserve"> (-10 / 60) + (53.27 / 3600)</f>
        <v>-0.15186944444444445</v>
      </c>
      <c r="J11" s="37">
        <f xml:space="preserve"> 7 + (5 / 60) + (8.38 / 3600)</f>
        <v>7.0856611111111105</v>
      </c>
      <c r="K11" s="37">
        <f>(-1 / 60) + (59.1 / 3600)</f>
        <v>-2.5000000000000022E-4</v>
      </c>
      <c r="L11" s="37">
        <f xml:space="preserve"> 17 + (0 /60) + (7.17 / 3600)</f>
        <v>17.001991666666665</v>
      </c>
      <c r="M11" s="37">
        <f>(3 / 60) + (30.75 / 3600)</f>
        <v>5.8541666666666672E-2</v>
      </c>
      <c r="N11" s="37">
        <f xml:space="preserve"> 22 + (48 / 60) + (50.48 / 3600)</f>
        <v>22.814022222222224</v>
      </c>
      <c r="O11" s="37">
        <f>(1 / 60) + (5.71 / 3600)</f>
        <v>1.8252777777777777E-2</v>
      </c>
    </row>
    <row r="12" spans="3:15" x14ac:dyDescent="0.35">
      <c r="C12" s="36">
        <v>8</v>
      </c>
      <c r="D12" s="37">
        <f xml:space="preserve"> -22 + (16 / 60) + (47.21 / 3600)</f>
        <v>-21.720219444444446</v>
      </c>
      <c r="E12" s="37">
        <f>(-6 / 60) + (26.24 / 3600)</f>
        <v>-9.2711111111111119E-2</v>
      </c>
      <c r="F12" s="37">
        <f xml:space="preserve"> -15 + (5 / 60) + (20.84 / 3600)</f>
        <v>-14.910877777777777</v>
      </c>
      <c r="G12" s="37">
        <f>(-14 / 60) + (6.72 / 3600)</f>
        <v>-0.23146666666666668</v>
      </c>
      <c r="H12" s="37">
        <f xml:space="preserve"> -4 + (37 / 60) + (10.43 / 3600)</f>
        <v>-3.380436111111111</v>
      </c>
      <c r="I12" s="37">
        <f xml:space="preserve"> (-10 / 60) + (38.52 / 3600)</f>
        <v>-0.15596666666666664</v>
      </c>
      <c r="J12" s="37">
        <f xml:space="preserve"> 7 + (27 / 60) + (33.42 / 3600)</f>
        <v>7.4592833333333335</v>
      </c>
      <c r="K12" s="37">
        <f>(-1 / 60) + (42.51 / 3600)</f>
        <v>-4.8583333333333343E-3</v>
      </c>
      <c r="L12" s="37">
        <f xml:space="preserve"> 17 + (16 / 60) + (20.7 / 3600)</f>
        <v>17.272416666666665</v>
      </c>
      <c r="M12" s="37">
        <f>(3 / 60) + (34.03 / 3600)</f>
        <v>5.9452777777777785E-2</v>
      </c>
      <c r="N12" s="37">
        <f xml:space="preserve"> 22 + (54 / 60) + (9.4 / 3600)</f>
        <v>22.90261111111111</v>
      </c>
      <c r="O12" s="37">
        <f>(0 / 60) + (54.2 / 3600)</f>
        <v>1.5055555555555556E-2</v>
      </c>
    </row>
    <row r="13" spans="3:15" x14ac:dyDescent="0.35">
      <c r="C13" s="36">
        <v>9</v>
      </c>
      <c r="D13" s="37">
        <f xml:space="preserve"> -22 + (8 / 60) + (37.36 / 3600)</f>
        <v>-21.856288888888891</v>
      </c>
      <c r="E13" s="37">
        <f>(-6 / 60) + (51.53 / 3600)</f>
        <v>-8.5686111111111116E-2</v>
      </c>
      <c r="F13" s="37">
        <f xml:space="preserve"> -14 + (46 / 60) + (17.54 / 3600)</f>
        <v>-13.228461111111111</v>
      </c>
      <c r="G13" s="37">
        <f>(-14 / 60) + (9.03 / 3600)</f>
        <v>-0.230825</v>
      </c>
      <c r="H13" s="37">
        <f xml:space="preserve"> -4 + (13 / 60) + (42.02 / 3600)</f>
        <v>-3.7716611111111109</v>
      </c>
      <c r="I13" s="37">
        <f xml:space="preserve"> (-10 / 60) + (23.41 / 3600)</f>
        <v>-0.16016388888888888</v>
      </c>
      <c r="J13" s="37">
        <f xml:space="preserve"> 7 + (49 / 60) + (50.89 / 3600)</f>
        <v>7.8308027777777776</v>
      </c>
      <c r="K13" s="37">
        <f>(-1 / 60) + ( 26.17 / 3600)</f>
        <v>-9.3972222222222217E-3</v>
      </c>
      <c r="L13" s="37">
        <f xml:space="preserve"> 17 + (32 / 60) + (16.91 / 3600)</f>
        <v>17.538030555555558</v>
      </c>
      <c r="M13" s="37">
        <f>(3 / 60) + (36.74 / 3600)</f>
        <v>6.0205555555555561E-2</v>
      </c>
      <c r="N13" s="37">
        <f xml:space="preserve"> 22 + (59 / 60) + (4.15 / 3600)</f>
        <v>22.984486111111114</v>
      </c>
      <c r="O13" s="37">
        <f>(0 / 60) + (42.44 / 3600)</f>
        <v>1.1788888888888889E-2</v>
      </c>
    </row>
    <row r="14" spans="3:15" x14ac:dyDescent="0.35">
      <c r="C14" s="36">
        <v>10</v>
      </c>
      <c r="D14" s="37">
        <f xml:space="preserve"> -22 + (0 / 60) + (1.48 / 3600)</f>
        <v>-21.999588888888891</v>
      </c>
      <c r="E14" s="37">
        <f>(-7 / 60) + (16.29 / 3600)</f>
        <v>-0.11214166666666667</v>
      </c>
      <c r="F14" s="37">
        <f xml:space="preserve"> -14 + (26 / 60) + (59.35 / 3600)</f>
        <v>-13.550180555555555</v>
      </c>
      <c r="G14" s="37">
        <f>(-14 / 60) + (10.55 / 3600)</f>
        <v>-0.23040277777777779</v>
      </c>
      <c r="H14" s="37">
        <f xml:space="preserve"> -3 + (50 / 60) + (10.43 / 3600)</f>
        <v>-2.1637694444444442</v>
      </c>
      <c r="I14" s="37">
        <f xml:space="preserve"> (-10 / 60) + (7.96 / 3600)</f>
        <v>-0.16445555555555555</v>
      </c>
      <c r="J14" s="37">
        <f xml:space="preserve"> 8 + (12 / 60) + (0.46 / 3600)</f>
        <v>8.2001277777777766</v>
      </c>
      <c r="K14" s="37">
        <f>(-1 / 60) + (10.1 / 3600)</f>
        <v>-1.3861111111111111E-2</v>
      </c>
      <c r="L14" s="37">
        <f xml:space="preserve"> 17 + (47 / 60) + (55.51 / 3600)</f>
        <v>17.798752777777779</v>
      </c>
      <c r="M14" s="37">
        <f>(3 / 60) + (38.88 / 3600)</f>
        <v>6.0800000000000007E-2</v>
      </c>
      <c r="N14" s="37">
        <f xml:space="preserve"> 23 + (3 / 60) + (34.64 / 3600)</f>
        <v>23.059622222222224</v>
      </c>
      <c r="O14" s="37">
        <f>(0 / 60) + (30.45 / 3600)</f>
        <v>8.4583333333333333E-3</v>
      </c>
    </row>
    <row r="15" spans="3:15" x14ac:dyDescent="0.35">
      <c r="C15" s="36">
        <v>11</v>
      </c>
      <c r="D15" s="37">
        <f xml:space="preserve"> -21 + (50 / 60) + (59.82 / 3600)</f>
        <v>-20.15005</v>
      </c>
      <c r="E15" s="37">
        <f>(-7 / 60) + (40.49 / 3600)</f>
        <v>-0.10541944444444444</v>
      </c>
      <c r="F15" s="37">
        <f xml:space="preserve"> -14 + (7 / 60) + (26.68 / 3600)</f>
        <v>-13.875922222222222</v>
      </c>
      <c r="G15" s="37">
        <f>(-14 / 60) + (11.3 / 3600)</f>
        <v>-0.23019444444444445</v>
      </c>
      <c r="H15" s="37">
        <f xml:space="preserve"> -3 + (26 / 60) + (36.04 / 3600)</f>
        <v>-2.5566555555555555</v>
      </c>
      <c r="I15" s="37">
        <f xml:space="preserve"> (-9 / 60) + (52.19 / 3600)</f>
        <v>-0.13550277777777778</v>
      </c>
      <c r="J15" s="37">
        <f xml:space="preserve"> 8 + (34 / 60) + (1.77 / 3600)</f>
        <v>8.5671583333333334</v>
      </c>
      <c r="K15" s="38">
        <f>(0 / 60) + (54.31 / 3600)</f>
        <v>1.5086111111111111E-2</v>
      </c>
      <c r="L15" s="37">
        <f xml:space="preserve"> 18 + (3 / 60) + (16.19 / 3600)</f>
        <v>18.054497222222224</v>
      </c>
      <c r="M15" s="37">
        <f>(3 / 60) + (40.44 / 3600)</f>
        <v>6.1233333333333334E-2</v>
      </c>
      <c r="N15" s="37">
        <f xml:space="preserve"> 23 + (7 / 60) + (40.77 / 3600)</f>
        <v>23.127991666666667</v>
      </c>
      <c r="O15" s="37">
        <f>(0 / 60) + (18.24 / 3600)</f>
        <v>5.0666666666666664E-3</v>
      </c>
    </row>
    <row r="16" spans="3:15" x14ac:dyDescent="0.35">
      <c r="C16" s="36">
        <v>12</v>
      </c>
      <c r="D16" s="37">
        <f xml:space="preserve"> -21 + (41 / 60) + (32.63 / 3600)</f>
        <v>-20.307602777777777</v>
      </c>
      <c r="E16" s="37">
        <f>(-8 / 60) + (4.11 / 3600)</f>
        <v>-0.13219166666666665</v>
      </c>
      <c r="F16" s="37">
        <f xml:space="preserve"> -13 + (47 / 60) + (39.96 / 3600)</f>
        <v>-12.205566666666666</v>
      </c>
      <c r="G16" s="37">
        <f>(-14 / 60) + (11.28 / 3600)</f>
        <v>-0.23020000000000002</v>
      </c>
      <c r="H16" s="37">
        <f xml:space="preserve"> -3 + (2 / 60) + (59.23 / 3600)</f>
        <v>-2.9502138888888889</v>
      </c>
      <c r="I16" s="37">
        <f xml:space="preserve"> (-9 / 60) + (36.12 / 3600)</f>
        <v>-0.13996666666666666</v>
      </c>
      <c r="J16" s="37">
        <f xml:space="preserve"> 8 + (55 / 60) + (54.49 / 3600)</f>
        <v>8.9318027777777775</v>
      </c>
      <c r="K16" s="38">
        <f>(0 / 60) + (38.83 / 3600)</f>
        <v>1.0786111111111111E-2</v>
      </c>
      <c r="L16" s="37">
        <f xml:space="preserve"> 18 + (18 / 60) + (18.67 / 3600)</f>
        <v>18.305186111111112</v>
      </c>
      <c r="M16" s="37">
        <f>(3 / 60) + (41.43 / 3600)</f>
        <v>6.1508333333333338E-2</v>
      </c>
      <c r="N16" s="37">
        <f xml:space="preserve"> 23 + (11 / 60) + (22.44 / 3600)</f>
        <v>23.189566666666668</v>
      </c>
      <c r="O16" s="37">
        <f>( 0/ 60) + (5.85 / 3600)</f>
        <v>1.6249999999999999E-3</v>
      </c>
    </row>
    <row r="17" spans="3:15" x14ac:dyDescent="0.35">
      <c r="C17" s="36">
        <v>13</v>
      </c>
      <c r="D17" s="37">
        <f xml:space="preserve"> -21 + (31 / 60) + (40.2 / 3600)</f>
        <v>-20.472166666666666</v>
      </c>
      <c r="E17" s="37">
        <f>(-8 / 60) + (27.13 / 3600)</f>
        <v>-0.12579722222222223</v>
      </c>
      <c r="F17" s="37">
        <f xml:space="preserve"> -13 + (27 / 60) + (39.6 / 3600)</f>
        <v>-12.539000000000001</v>
      </c>
      <c r="G17" s="37">
        <f>(-14 / 60) + (10.5 / 3600)</f>
        <v>-0.23041666666666666</v>
      </c>
      <c r="H17" s="37">
        <f xml:space="preserve"> -2 + (39 / 60) + (20.38 / 3600)</f>
        <v>-1.344338888888889</v>
      </c>
      <c r="I17" s="37">
        <f xml:space="preserve"> (-9 / 60) + (19.77 / 3600)</f>
        <v>-0.14450833333333332</v>
      </c>
      <c r="J17" s="37">
        <f xml:space="preserve"> 9 + (17 / 60) + (38.28 / 3600)</f>
        <v>9.293966666666666</v>
      </c>
      <c r="K17" s="38">
        <f>(0 / 60) + (23.65 / 3600)</f>
        <v>6.5694444444444437E-3</v>
      </c>
      <c r="L17" s="37">
        <f xml:space="preserve"> 18 + (33 / 60) + (2.66 / 3600)</f>
        <v>18.55073888888889</v>
      </c>
      <c r="M17" s="37">
        <f>(3 / 60) + (41.85 / 3600)</f>
        <v>6.1624999999999999E-2</v>
      </c>
      <c r="N17" s="37">
        <f xml:space="preserve"> 23 + (14 / 60) + (39.59 / 3600)</f>
        <v>23.244330555555557</v>
      </c>
      <c r="O17" s="38">
        <f xml:space="preserve"> - (0 / 60) + (6.71 / 3600)</f>
        <v>1.8638888888888889E-3</v>
      </c>
    </row>
    <row r="18" spans="3:15" x14ac:dyDescent="0.35">
      <c r="C18" s="36">
        <v>14</v>
      </c>
      <c r="D18" s="37">
        <f xml:space="preserve"> -21 + (21 / 60) + (22.8 / 3600)</f>
        <v>-20.643666666666665</v>
      </c>
      <c r="E18" s="37">
        <f>(-8 / 60) + (49.52 / 3600)</f>
        <v>-0.11957777777777778</v>
      </c>
      <c r="F18" s="37">
        <f xml:space="preserve"> -13 + (7 / 60) + (26.02 / 3600)</f>
        <v>-12.876105555555554</v>
      </c>
      <c r="G18" s="37">
        <f>(-14 / 60) + (8.97 / 3600)</f>
        <v>-0.23084166666666667</v>
      </c>
      <c r="H18" s="37">
        <f xml:space="preserve"> -2 + (15 / 60) + (39.85 / 3600)</f>
        <v>-1.7389305555555556</v>
      </c>
      <c r="I18" s="37">
        <f xml:space="preserve"> (-9 / 60) + (3.16 / 3600)</f>
        <v>-0.14912222222222221</v>
      </c>
      <c r="J18" s="37">
        <f xml:space="preserve"> 9 + (39 / 60) + (12.81 / 3600)</f>
        <v>9.6535583333333346</v>
      </c>
      <c r="K18" s="38">
        <f>(0 / 60) + (8.81 / 3600)</f>
        <v>2.4472222222222222E-3</v>
      </c>
      <c r="L18" s="37">
        <f xml:space="preserve"> 18 + (47 / 60) + (27.88 / 3600)</f>
        <v>18.79107777777778</v>
      </c>
      <c r="M18" s="37">
        <f>(3 / 60) + (41.7 / 3600)</f>
        <v>6.1583333333333337E-2</v>
      </c>
      <c r="N18" s="37">
        <f xml:space="preserve"> 23 + (17 / 60) + (32.14 / 3600)</f>
        <v>23.292261111111113</v>
      </c>
      <c r="O18" s="38">
        <f xml:space="preserve"> - (0 / 60) + (19.41 / 3600)</f>
        <v>5.391666666666667E-3</v>
      </c>
    </row>
    <row r="19" spans="3:15" x14ac:dyDescent="0.35">
      <c r="C19" s="36">
        <v>15</v>
      </c>
      <c r="D19" s="37">
        <f xml:space="preserve"> -21 + (10 / 60) + (40.72 / 3600)</f>
        <v>-20.82202222222222</v>
      </c>
      <c r="E19" s="37">
        <f>(-9 / 60) + (11.27 / 3600)</f>
        <v>-0.14686944444444444</v>
      </c>
      <c r="F19" s="37">
        <f xml:space="preserve"> -12 + (46 / 60) + (59.64 / 3600)</f>
        <v>-11.216766666666667</v>
      </c>
      <c r="G19" s="37">
        <f>(-14 / 60) + (6.7 / 3600)</f>
        <v>-0.23147222222222222</v>
      </c>
      <c r="H19" s="37">
        <f xml:space="preserve"> -1 + (51 / 60) + (58.02 / 3600)</f>
        <v>-0.13388333333333335</v>
      </c>
      <c r="I19" s="37">
        <f xml:space="preserve"> (-8 / 60) + (46.31 / 3600)</f>
        <v>-0.12046944444444443</v>
      </c>
      <c r="J19" s="37">
        <f xml:space="preserve"> 10 + (0 / 60) + (37.73 / 3600)</f>
        <v>10.010480555555555</v>
      </c>
      <c r="K19" s="37">
        <f>(0 / 60) + (5.68 / 3600)</f>
        <v>1.5777777777777778E-3</v>
      </c>
      <c r="L19" s="37">
        <f xml:space="preserve"> 19 + (1 / 60) + (34.06 / 3600)</f>
        <v>19.026127777777777</v>
      </c>
      <c r="M19" s="37">
        <f>(3 / 60) + (40.98 / 3600)</f>
        <v>6.1383333333333331E-2</v>
      </c>
      <c r="N19" s="37">
        <f xml:space="preserve"> 23 + (20 / 60) + (0.03 / 3600)</f>
        <v>23.333341666666666</v>
      </c>
      <c r="O19" s="38">
        <f xml:space="preserve"> - (0 / 60) + (32.23 / 3600)</f>
        <v>8.9527777777777765E-3</v>
      </c>
    </row>
    <row r="20" spans="3:15" x14ac:dyDescent="0.35">
      <c r="C20" s="36">
        <v>16</v>
      </c>
      <c r="D20" s="37">
        <f xml:space="preserve"> -20 + (59 / 60) + (34.26 / 3600)</f>
        <v>-19.007149999999999</v>
      </c>
      <c r="E20" s="37">
        <f>(-9 / 60) + (32.35 / 3600)</f>
        <v>-0.14101388888888888</v>
      </c>
      <c r="F20" s="37">
        <f xml:space="preserve"> -12 + (26 / 60) + (20.86 / 3600)</f>
        <v>-11.560872222222223</v>
      </c>
      <c r="G20" s="37">
        <f>(-14 / 60) + (3.7 / 3600)</f>
        <v>-0.23230555555555557</v>
      </c>
      <c r="H20" s="37">
        <f xml:space="preserve"> -1 + (28 / 60) + (15.26 / 3600)</f>
        <v>-0.52909444444444442</v>
      </c>
      <c r="I20" s="37">
        <f xml:space="preserve"> (-8 / 60) + (29.24 / 3600)</f>
        <v>-0.12521111111111111</v>
      </c>
      <c r="J20" s="37">
        <f xml:space="preserve"> 10 + (21 / 60) + (52.72 / 3600)</f>
        <v>10.364644444444444</v>
      </c>
      <c r="K20" s="37">
        <f>(0 / 60) + (19.81 / 3600)</f>
        <v>5.5027777777777774E-3</v>
      </c>
      <c r="L20" s="37">
        <f xml:space="preserve"> 19 + (15 / 60) + (20.9 / 3600)</f>
        <v>19.255805555555554</v>
      </c>
      <c r="M20" s="37">
        <f>(3 / 60) + (39.7 / 3600)</f>
        <v>6.1027777777777778E-2</v>
      </c>
      <c r="N20" s="37">
        <f xml:space="preserve"> 23 + (22 / 60) + (3.22 / 3600)</f>
        <v>23.367561111111112</v>
      </c>
      <c r="O20" s="38">
        <f xml:space="preserve"> - (0 / 60) + (45.14 / 3600)</f>
        <v>1.2538888888888889E-2</v>
      </c>
    </row>
    <row r="21" spans="3:15" x14ac:dyDescent="0.35">
      <c r="C21" s="36">
        <v>17</v>
      </c>
      <c r="D21" s="37">
        <f xml:space="preserve"> -20 + (48 / 60) + (3.74 / 3600)</f>
        <v>-19.19896111111111</v>
      </c>
      <c r="E21" s="37">
        <f>(-9 / 60) + (52.75 / 3600)</f>
        <v>-0.13534722222222223</v>
      </c>
      <c r="F21" s="37">
        <f xml:space="preserve"> -12 + (5 / 60) + (30.11 / 3600)</f>
        <v>-11.908302777777777</v>
      </c>
      <c r="G21" s="37">
        <f>(-13 / 60) + (59.99 / 3600)</f>
        <v>-0.20000277777777778</v>
      </c>
      <c r="H21" s="37">
        <f xml:space="preserve"> -1 + (4 / 60) + (31.95 / 3600)</f>
        <v>-0.92445833333333338</v>
      </c>
      <c r="I21" s="37">
        <f xml:space="preserve"> (-8 / 60) + (11.97 / 3600)</f>
        <v>-0.13000833333333334</v>
      </c>
      <c r="J21" s="37">
        <f xml:space="preserve"> 10 + (42 / 60) + (57.43 / 3600)</f>
        <v>10.715952777777778</v>
      </c>
      <c r="K21" s="37">
        <f>(0 / 60) + (33.56 / 3600)</f>
        <v>9.3222222222222231E-3</v>
      </c>
      <c r="L21" s="37">
        <f xml:space="preserve"> 19 + (28 / 60) + (48.15 / 3600)</f>
        <v>19.480041666666665</v>
      </c>
      <c r="M21" s="37">
        <f>(3 / 60) + (37.86 / 3600)</f>
        <v>6.051666666666667E-2</v>
      </c>
      <c r="N21" s="37">
        <f xml:space="preserve"> 23 + (23 / 60) + (41.67 / 3600)</f>
        <v>23.394908333333333</v>
      </c>
      <c r="O21" s="38">
        <f xml:space="preserve"> - (0 / 60) + (58.13 / 3600)</f>
        <v>1.6147222222222223E-2</v>
      </c>
    </row>
    <row r="22" spans="3:15" x14ac:dyDescent="0.35">
      <c r="C22" s="36">
        <v>18</v>
      </c>
      <c r="D22" s="37">
        <f xml:space="preserve"> -20 + (36 / 60) + (9.46 / 3600)</f>
        <v>-19.39737222222222</v>
      </c>
      <c r="E22" s="37">
        <f>(-10 / 60) + (12.45 / 3600)</f>
        <v>-0.16320833333333332</v>
      </c>
      <c r="F22" s="37">
        <f xml:space="preserve"> -11 + (44 / 60) + (27.8 / 3600)</f>
        <v>-10.258944444444445</v>
      </c>
      <c r="G22" s="37">
        <f>(-13 / 60) + (55.57 / 3600)</f>
        <v>-0.20123055555555555</v>
      </c>
      <c r="H22" s="38">
        <f xml:space="preserve"> - + (40 / 60) + (48.44 / 3600)</f>
        <v>-0.65321111111111108</v>
      </c>
      <c r="I22" s="37">
        <f xml:space="preserve"> (-7 / 60) + (54.52 / 3600)</f>
        <v>-0.10152222222222222</v>
      </c>
      <c r="J22" s="37">
        <f xml:space="preserve"> 11 + (3 / 60) + (51.53 / 3600)</f>
        <v>11.06431388888889</v>
      </c>
      <c r="K22" s="37">
        <f>(0 / 60) + (46.92 / 3600)</f>
        <v>1.3033333333333334E-2</v>
      </c>
      <c r="L22" s="37">
        <f xml:space="preserve"> 19 + (41 / 60) + (55.54 / 3600)</f>
        <v>19.698761111111111</v>
      </c>
      <c r="M22" s="37">
        <f>(3 / 60) + (35.46 / 3600)</f>
        <v>5.985E-2</v>
      </c>
      <c r="N22" s="37">
        <f xml:space="preserve"> 23 + (24 / 60) + (55.34 / 3600)</f>
        <v>23.415372222222221</v>
      </c>
      <c r="O22" s="37">
        <f xml:space="preserve"> - (1 / 60) + (11.17 / 3600)</f>
        <v>-1.3563888888888889E-2</v>
      </c>
    </row>
    <row r="23" spans="3:15" x14ac:dyDescent="0.35">
      <c r="C23" s="36">
        <v>19</v>
      </c>
      <c r="D23" s="37">
        <f xml:space="preserve"> -20 + (23 / 60) + (51.77 / 3600)</f>
        <v>-19.602286111111113</v>
      </c>
      <c r="E23" s="37">
        <f>(-10 / 60) + (31.43 / 3600)</f>
        <v>-0.15793611111111111</v>
      </c>
      <c r="F23" s="37">
        <f xml:space="preserve"> -11 + (23 / 60) + (14.35 / 3600)</f>
        <v>-10.612680555555556</v>
      </c>
      <c r="G23" s="37">
        <f>(-13 / 60) + (50.46 / 3600)</f>
        <v>-0.20265</v>
      </c>
      <c r="H23" s="38">
        <f xml:space="preserve"> - + (17 / 60) + (5.11 / 3600)</f>
        <v>-0.28191388888888891</v>
      </c>
      <c r="I23" s="37">
        <f xml:space="preserve"> (-7 / 60) + (36.91 / 3600)</f>
        <v>-0.10641388888888889</v>
      </c>
      <c r="J23" s="37">
        <f xml:space="preserve"> 11 + (24 / 60) + (34.69 / 3600)</f>
        <v>11.409636111111112</v>
      </c>
      <c r="K23" s="37">
        <f>(0 / 60) + (59.88 / 3600)</f>
        <v>1.6633333333333333E-2</v>
      </c>
      <c r="L23" s="37">
        <f xml:space="preserve"> 19 + (54 / 60) + (42.8 / 3600)</f>
        <v>19.911888888888889</v>
      </c>
      <c r="M23" s="37">
        <f>(3 / 60) + (32.52 / 3600)</f>
        <v>5.903333333333334E-2</v>
      </c>
      <c r="N23" s="37">
        <f xml:space="preserve"> 23 + (25 / 60) + (44.23 / 3600)</f>
        <v>23.428952777777781</v>
      </c>
      <c r="O23" s="37">
        <f xml:space="preserve"> - (1 / 60) + (24.24 / 3600)</f>
        <v>-9.9333333333333339E-3</v>
      </c>
    </row>
    <row r="24" spans="3:15" x14ac:dyDescent="0.35">
      <c r="C24" s="36">
        <v>20</v>
      </c>
      <c r="D24" s="37">
        <f xml:space="preserve"> -20 + (11 / 60) + (11 /3600)</f>
        <v>-19.813611111111111</v>
      </c>
      <c r="E24" s="37">
        <f>(-10 / 60) + (49.69 / 3600)</f>
        <v>-0.15286388888888888</v>
      </c>
      <c r="F24" s="37">
        <f xml:space="preserve"> -11 + (1 / 60) + (50.16 / 3600)</f>
        <v>-10.969399999999998</v>
      </c>
      <c r="G24" s="37">
        <f>(-13 / 60) + (44.68 / 3600)</f>
        <v>-0.20425555555555555</v>
      </c>
      <c r="H24" s="37">
        <f xml:space="preserve"> 0 + (6 / 60) + (37.69 / 3600)</f>
        <v>0.11046944444444445</v>
      </c>
      <c r="I24" s="37">
        <f xml:space="preserve"> (-7 / 60) + (19.17 / 3600)</f>
        <v>-0.11134166666666667</v>
      </c>
      <c r="J24" s="37">
        <f xml:space="preserve"> 11 + (45 / 60) + (6.58 / 3600)</f>
        <v>11.751827777777779</v>
      </c>
      <c r="K24" s="37">
        <f>(1 / 60) + (12.41 / 3600)</f>
        <v>2.0113888888888889E-2</v>
      </c>
      <c r="L24" s="37">
        <f xml:space="preserve"> 20 + (7 / 60) + (9.68 / 3600)</f>
        <v>20.119355555555558</v>
      </c>
      <c r="M24" s="37">
        <f>(3 / 60) + (29.03 / 3600)</f>
        <v>5.8063888888888894E-2</v>
      </c>
      <c r="N24" s="37">
        <f xml:space="preserve"> 23 + (26 / 60) + (8.3 / 3600)</f>
        <v>23.435638888888889</v>
      </c>
      <c r="O24" s="37">
        <f xml:space="preserve"> - (1 / 60) + (37.31 / 3600)</f>
        <v>-6.3027777777777769E-3</v>
      </c>
    </row>
    <row r="25" spans="3:15" x14ac:dyDescent="0.35">
      <c r="C25" s="36">
        <v>21</v>
      </c>
      <c r="D25" s="37">
        <f xml:space="preserve"> -19 + (58 / 60) + (7.48 / 3600)</f>
        <v>-18.031255555555557</v>
      </c>
      <c r="E25" s="37">
        <f>(-11 / 60) + (7.2 / 3600)</f>
        <v>-0.18133333333333332</v>
      </c>
      <c r="F25" s="37">
        <f xml:space="preserve"> -10 + (40 / 60) + (15.66 / 3600)</f>
        <v>-9.3289833333333334</v>
      </c>
      <c r="G25" s="37">
        <f>(-13 / 60) + (38.24 / 3600)</f>
        <v>-0.20604444444444445</v>
      </c>
      <c r="H25" s="37">
        <f xml:space="preserve"> 0 + (30 / 60) + (19.58 / 3600)</f>
        <v>0.50543888888888888</v>
      </c>
      <c r="I25" s="37">
        <f xml:space="preserve"> (-7 / 60) + (1.3 / 3600)</f>
        <v>-0.11630555555555555</v>
      </c>
      <c r="J25" s="37">
        <f xml:space="preserve"> 12 + (5 / 60) + (26.86 / 3600)</f>
        <v>12.090794444444445</v>
      </c>
      <c r="K25" s="37">
        <f>(1 / 60) + (24.52 / 3600)</f>
        <v>2.3477777777777778E-2</v>
      </c>
      <c r="L25" s="37">
        <f xml:space="preserve"> 20 + (19 / 60) + (15.93 / 3600)</f>
        <v>20.321091666666668</v>
      </c>
      <c r="M25" s="37">
        <f>(3 / 60) + (25.01 / 3600)</f>
        <v>5.6947222222222225E-2</v>
      </c>
      <c r="N25" s="37">
        <f xml:space="preserve"> 23 + (26 / 60) + (7.58 / 3600)</f>
        <v>23.435438888888889</v>
      </c>
      <c r="O25" s="37">
        <f xml:space="preserve"> - (1 / 60) + (50.36 / 3600)</f>
        <v>-2.6777777777777772E-3</v>
      </c>
    </row>
    <row r="26" spans="3:15" x14ac:dyDescent="0.35">
      <c r="C26" s="36">
        <v>22</v>
      </c>
      <c r="D26" s="37">
        <f xml:space="preserve"> -19 + (44 / 60) + (41.57 / 3600)</f>
        <v>-18.255119444444443</v>
      </c>
      <c r="E26" s="37">
        <f>(-11 / 60) + (23.96 / 3600)</f>
        <v>-0.17667777777777777</v>
      </c>
      <c r="F26" s="37">
        <f xml:space="preserve"> -10 + (18 / 60) + (31.24 / 3600)</f>
        <v>-9.6913222222222224</v>
      </c>
      <c r="G26" s="37">
        <f>(-13 / 60) + (31.15 / 3600)</f>
        <v>-0.20801388888888889</v>
      </c>
      <c r="H26" s="37">
        <f xml:space="preserve"> 0 + (54 / 60) + (0.21 / 3600)</f>
        <v>0.9000583333333334</v>
      </c>
      <c r="I26" s="37">
        <f xml:space="preserve"> (-6 / 60) + (43.34 / 3600)</f>
        <v>-8.7961111111111115E-2</v>
      </c>
      <c r="J26" s="37">
        <f xml:space="preserve"> 12 + (25 / 60) + (35.2 / 3600)</f>
        <v>12.426444444444444</v>
      </c>
      <c r="K26" s="37">
        <f>(1 / 60) + (36.18 / 3600)</f>
        <v>2.6716666666666666E-2</v>
      </c>
      <c r="L26" s="37">
        <f xml:space="preserve"> 20 + (31 / 60) + (1.29 / 3600)</f>
        <v>20.517025</v>
      </c>
      <c r="M26" s="37">
        <f>(3 / 60) + (20.46 / 3600)</f>
        <v>5.5683333333333335E-2</v>
      </c>
      <c r="N26" s="37">
        <f xml:space="preserve"> 23 + (25 / 60) + (42.06 / 3600)</f>
        <v>23.428350000000002</v>
      </c>
      <c r="O26" s="37">
        <f xml:space="preserve"> - (2 / 60) + (3.36 / 3600)</f>
        <v>-3.2399999999999998E-2</v>
      </c>
    </row>
    <row r="27" spans="3:15" x14ac:dyDescent="0.35">
      <c r="C27" s="36">
        <v>23</v>
      </c>
      <c r="D27" s="37">
        <f xml:space="preserve"> -19 + (30 / 60) + (53.62 / 3600)</f>
        <v>-18.485105555555556</v>
      </c>
      <c r="E27" s="37">
        <f>(-11 / 60) + (39.95 / 3600)</f>
        <v>-0.17223611111111109</v>
      </c>
      <c r="F27" s="37">
        <f xml:space="preserve"> -9 + (56 / 60) + (37.33 / 3600)</f>
        <v>-8.0562972222222218</v>
      </c>
      <c r="G27" s="37">
        <f>(-13 / 60) + (23.43 / 3600)</f>
        <v>-0.21015833333333334</v>
      </c>
      <c r="H27" s="37">
        <f xml:space="preserve"> 1 + (17 / 60) + (39.22 / 3600)</f>
        <v>1.2942277777777778</v>
      </c>
      <c r="I27" s="37">
        <f xml:space="preserve"> (-6 / 60) + (25.31 / 3600)</f>
        <v>-9.2969444444444452E-2</v>
      </c>
      <c r="J27" s="37">
        <f xml:space="preserve"> 12 + (45 / 60) + (31.28 / 3600)</f>
        <v>12.758688888888889</v>
      </c>
      <c r="K27" s="37">
        <f>(1 / 60) + (47.38 / 3600)</f>
        <v>2.9827777777777779E-2</v>
      </c>
      <c r="L27" s="37">
        <f xml:space="preserve"> 20 + (42 / 60) + (25.54 / 3600)</f>
        <v>20.707094444444444</v>
      </c>
      <c r="M27" s="37">
        <f>(3 / 60) + (15.39 / 3600)</f>
        <v>5.4275000000000004E-2</v>
      </c>
      <c r="N27" s="37">
        <f xml:space="preserve"> 23 + (24 / 60) + (51.77 / 3600)</f>
        <v>23.414380555555553</v>
      </c>
      <c r="O27" s="37">
        <f xml:space="preserve"> - (2 / 60) + (16.3 / 3600)</f>
        <v>-2.8805555555555556E-2</v>
      </c>
    </row>
    <row r="28" spans="3:15" x14ac:dyDescent="0.35">
      <c r="C28" s="36">
        <v>24</v>
      </c>
      <c r="D28" s="37">
        <f xml:space="preserve"> -19 + (16 / 60) + (44.01 / 3600)</f>
        <v>-18.721108333333333</v>
      </c>
      <c r="E28" s="37">
        <f>(-11 / 60) + (55.16 / 3600)</f>
        <v>-0.16801111111111111</v>
      </c>
      <c r="F28" s="37">
        <f xml:space="preserve"> -9 + (34 / 60) + (34.32 / 3600)</f>
        <v>-8.4238</v>
      </c>
      <c r="G28" s="37">
        <f>(-13 / 60) + (15.1 / 3600)</f>
        <v>-0.21247222222222223</v>
      </c>
      <c r="H28" s="37">
        <f xml:space="preserve"> 1 + (41 / 60) + (16.24 / 3600)</f>
        <v>1.6878444444444445</v>
      </c>
      <c r="I28" s="37">
        <f xml:space="preserve"> (-6 / 60) + (7.21 / 3600)</f>
        <v>-9.7997222222222222E-2</v>
      </c>
      <c r="J28" s="37">
        <f xml:space="preserve"> 13 + (5 / 60) + (14.76 / 3600)</f>
        <v>13.087433333333333</v>
      </c>
      <c r="K28" s="37">
        <f>(1 / 60) + (58.11 / 3600)</f>
        <v>3.2808333333333328E-2</v>
      </c>
      <c r="L28" s="37">
        <f xml:space="preserve"> 20 + (53 / 60) + (28.43 / 3600)</f>
        <v>20.891230555555556</v>
      </c>
      <c r="M28" s="37">
        <f>(3 / 60) + (9.82 / 3600)</f>
        <v>5.2727777777777783E-2</v>
      </c>
      <c r="N28" s="37">
        <f xml:space="preserve"> 23 + (23 / 60) + (36.74 / 3600)</f>
        <v>23.393538888888887</v>
      </c>
      <c r="O28" s="37">
        <f xml:space="preserve"> - (2 / 60) + (29.14 / 3600)</f>
        <v>-2.5238888888888887E-2</v>
      </c>
    </row>
    <row r="29" spans="3:15" x14ac:dyDescent="0.35">
      <c r="C29" s="36">
        <v>25</v>
      </c>
      <c r="D29" s="37">
        <f xml:space="preserve"> -19 + (2 / 60) + (13.09 / 3600)</f>
        <v>-18.963030555555555</v>
      </c>
      <c r="E29" s="37">
        <f>(-12 / 60) + (9.59 / 3600)</f>
        <v>-0.19733611111111113</v>
      </c>
      <c r="F29" s="37">
        <f xml:space="preserve"> -9 + (12 / 60) + (22.63 / 3600)</f>
        <v>-8.7937138888888899</v>
      </c>
      <c r="G29" s="37">
        <f>(-13 / 60) + (6.16 / 3600)</f>
        <v>-0.21495555555555557</v>
      </c>
      <c r="H29" s="37">
        <f xml:space="preserve"> 2 + (4 / 60) + (50.92 / 3600)</f>
        <v>2.0808111111111112</v>
      </c>
      <c r="I29" s="37">
        <f xml:space="preserve"> (-5 / 60) + (49.09 / 3600)</f>
        <v>-6.9697222222222216E-2</v>
      </c>
      <c r="J29" s="37">
        <f xml:space="preserve"> 13 + (24 / 60) + (45.32 / 3600)</f>
        <v>13.412588888888889</v>
      </c>
      <c r="K29" s="37">
        <f>(2 / 60) + (8.36 / 3600)</f>
        <v>3.5655555555555551E-2</v>
      </c>
      <c r="L29" s="37">
        <f xml:space="preserve"> 21 + (4 / 60) + (9.74 / 3600)</f>
        <v>21.069372222222221</v>
      </c>
      <c r="M29" s="37">
        <f>(3 / 60) + (3.74 / 3600)</f>
        <v>5.1038888888888891E-2</v>
      </c>
      <c r="N29" s="37">
        <f xml:space="preserve"> 23 + (21 / 60) + (57 / 3600)</f>
        <v>23.365833333333335</v>
      </c>
      <c r="O29" s="37">
        <f xml:space="preserve"> - (2 / 60) + (41.87 / 3600)</f>
        <v>-2.1702777777777779E-2</v>
      </c>
    </row>
    <row r="30" spans="3:15" x14ac:dyDescent="0.35">
      <c r="C30" s="36">
        <v>26</v>
      </c>
      <c r="D30" s="37">
        <f xml:space="preserve"> -18 + (47 / 60) + (21.24 / 3600)</f>
        <v>-17.210766666666665</v>
      </c>
      <c r="E30" s="37">
        <f>(-12 / 60) + (23.23 / 3600)</f>
        <v>-0.19354722222222223</v>
      </c>
      <c r="F30" s="37">
        <f xml:space="preserve"> -8 + (50 / 60) + (2.65 / 3600)</f>
        <v>-7.1659305555555557</v>
      </c>
      <c r="G30" s="37">
        <f>(-12 / 60) + (56.64 / 3600)</f>
        <v>-0.18426666666666669</v>
      </c>
      <c r="H30" s="37">
        <f xml:space="preserve"> 2 + (28 / 60) + (22.91 / 3600)</f>
        <v>2.4730305555555558</v>
      </c>
      <c r="I30" s="37">
        <f xml:space="preserve"> (-5 / 60) + (30.94 / 3600)</f>
        <v>-7.4738888888888882E-2</v>
      </c>
      <c r="J30" s="37">
        <f xml:space="preserve"> 13 + (44 / 60) + (2.64 / 3600)</f>
        <v>13.734066666666665</v>
      </c>
      <c r="K30" s="37">
        <f>(2 / 60) + (18.13 / 3600)</f>
        <v>3.8369444444444442E-2</v>
      </c>
      <c r="L30" s="37">
        <f xml:space="preserve"> 21 + (14 / 60) + (29.24 / 3600)</f>
        <v>21.241455555555557</v>
      </c>
      <c r="M30" s="37">
        <f>(2 / 60) + (57.18 / 3600)</f>
        <v>4.9216666666666666E-2</v>
      </c>
      <c r="N30" s="37">
        <f xml:space="preserve"> 23 + (19 / 60) + (52.61 / 3600)</f>
        <v>23.331280555555555</v>
      </c>
      <c r="O30" s="37">
        <f xml:space="preserve"> - (2 / 60) + (54.46 / 3600)</f>
        <v>-1.8205555555555555E-2</v>
      </c>
    </row>
    <row r="31" spans="3:15" x14ac:dyDescent="0.35">
      <c r="C31" s="36">
        <v>27</v>
      </c>
      <c r="D31" s="37">
        <f xml:space="preserve"> -18 + (32 / 60) + (8.84 / 3600)</f>
        <v>-17.464211111111108</v>
      </c>
      <c r="E31" s="37">
        <f>(-12 / 60) + (36.06 / 3600)</f>
        <v>-0.18998333333333334</v>
      </c>
      <c r="F31" s="37">
        <f xml:space="preserve"> -8 + (27 / 60) + (34.8 / 3600)</f>
        <v>-7.5403333333333329</v>
      </c>
      <c r="G31" s="37">
        <f>(-12 / 60) + (46.56 / 3600)</f>
        <v>-0.18706666666666669</v>
      </c>
      <c r="H31" s="37">
        <f xml:space="preserve"> 2 + (51 / 60) + (51.84 / 3600)</f>
        <v>2.8644000000000003</v>
      </c>
      <c r="I31" s="37">
        <f xml:space="preserve"> (-5 / 60) + (12.8 / 3600)</f>
        <v>-7.9777777777777767E-2</v>
      </c>
      <c r="J31" s="37">
        <f xml:space="preserve"> 14 + (3 / 60) + (6.38 / 3600)</f>
        <v>14.051772222222223</v>
      </c>
      <c r="K31" s="37">
        <f>(2 / 60) + (27.39 / 3600)</f>
        <v>4.0941666666666668E-2</v>
      </c>
      <c r="L31" s="37">
        <f xml:space="preserve"> 21 + (24 / 60) + (26.71 / 3600)</f>
        <v>21.407419444444443</v>
      </c>
      <c r="M31" s="37">
        <f>(2 / 60) + (50.15 / 3600)</f>
        <v>4.726388888888889E-2</v>
      </c>
      <c r="N31" s="37">
        <f xml:space="preserve"> 23 + (17 / 60) + (23.62 / 3600)</f>
        <v>23.289894444444446</v>
      </c>
      <c r="O31" s="37">
        <f xml:space="preserve"> - (3 / 60) + (6.89 / 3600)</f>
        <v>-4.8086111111111114E-2</v>
      </c>
    </row>
    <row r="32" spans="3:15" x14ac:dyDescent="0.35">
      <c r="C32" s="36">
        <v>28</v>
      </c>
      <c r="D32" s="37">
        <f xml:space="preserve"> -18 + (16 / 60) + (36.27 / 3600)</f>
        <v>-17.723258333333334</v>
      </c>
      <c r="E32" s="37">
        <f>(-12 / 60) + (48.09 / 3600)</f>
        <v>-0.18664166666666668</v>
      </c>
      <c r="F32" s="37">
        <f xml:space="preserve"> -8 + (4 / 60) + (59.47 / 3600)</f>
        <v>-7.916813888888889</v>
      </c>
      <c r="G32" s="37">
        <f>(-12 / 60) + (35.92 / 3600)</f>
        <v>-0.19002222222222223</v>
      </c>
      <c r="H32" s="37">
        <f xml:space="preserve"> 3 + (15 / 60) + (17.37 / 3600)</f>
        <v>3.2548249999999999</v>
      </c>
      <c r="I32" s="37">
        <f xml:space="preserve"> (-4 / 60) + (54.68 / 3600)</f>
        <v>-5.1477777777777775E-2</v>
      </c>
      <c r="J32" s="37">
        <f xml:space="preserve"> 14 + (21 / 60) + (56.23 / 3600)</f>
        <v>14.365619444444444</v>
      </c>
      <c r="K32" s="37">
        <f>(2 / 60) + (36.14 / 3600)</f>
        <v>4.3372222222222222E-2</v>
      </c>
      <c r="L32" s="37">
        <f xml:space="preserve"> 21 + (34 / 60) + (1.76 / 3600)</f>
        <v>21.567155555555555</v>
      </c>
      <c r="M32" s="37">
        <f>(2 / 60) + (42.65 / 3600)</f>
        <v>4.5180555555555557E-2</v>
      </c>
      <c r="N32" s="37">
        <f xml:space="preserve"> 23 + (14 / 60) + (30.1 / 3600)</f>
        <v>23.241694444444445</v>
      </c>
      <c r="O32" s="37">
        <f xml:space="preserve"> - (3 / 60) + (19.13 / 3600)</f>
        <v>-4.4686111111111114E-2</v>
      </c>
    </row>
    <row r="33" spans="3:15" x14ac:dyDescent="0.35">
      <c r="C33" s="36">
        <v>29</v>
      </c>
      <c r="D33" s="37">
        <f xml:space="preserve"> -18 + (0 / 60) + (43.94 / 3600)</f>
        <v>-17.987794444444443</v>
      </c>
      <c r="E33" s="37">
        <f>(-12 / 60) + (59.31 / 3600)</f>
        <v>-0.18352500000000002</v>
      </c>
      <c r="F33" s="37">
        <f xml:space="preserve"> -7 + (42 / 60) + (17.07 / 3600)</f>
        <v>-6.295258333333333</v>
      </c>
      <c r="G33" s="37">
        <f>(-12 / 60) + (24.76 / 3600)</f>
        <v>-0.19312222222222222</v>
      </c>
      <c r="H33" s="37">
        <f xml:space="preserve"> 3 + (38 / 60) + (39.15 / 3600)</f>
        <v>3.6442083333333333</v>
      </c>
      <c r="I33" s="37">
        <f xml:space="preserve"> (-4 / 60) + (36.61 / 3600)</f>
        <v>-5.649722222222222E-2</v>
      </c>
      <c r="J33" s="37">
        <f xml:space="preserve"> 14 + (40 / 60) + (31.86 / 3600)</f>
        <v>14.675516666666667</v>
      </c>
      <c r="K33" s="37">
        <f>(2 / 60) + (44.38 / 3600)</f>
        <v>4.5661111111111111E-2</v>
      </c>
      <c r="L33" s="37">
        <f xml:space="preserve"> 21 + (43 / 60) + (14.76 / 3600)</f>
        <v>21.720766666666666</v>
      </c>
      <c r="M33" s="37">
        <f>(2 / 60) + (34.71 / 3600)</f>
        <v>4.2974999999999999E-2</v>
      </c>
      <c r="N33" s="37">
        <f xml:space="preserve"> 23 + (11 / 60) + (12.13 / 3600)</f>
        <v>23.186702777777779</v>
      </c>
      <c r="O33" s="37">
        <f xml:space="preserve"> - (3 / 60) + (31.17 / 3600)</f>
        <v>-4.1341666666666665E-2</v>
      </c>
    </row>
    <row r="34" spans="3:15" x14ac:dyDescent="0.35">
      <c r="C34" s="36">
        <v>30</v>
      </c>
      <c r="D34" s="37">
        <f xml:space="preserve"> -17 + (44 / 60) + (32.21 / 3600)</f>
        <v>-16.257719444444444</v>
      </c>
      <c r="E34" s="37">
        <f>(-13 / 60) + (9.71 / 3600)</f>
        <v>-0.21396944444444446</v>
      </c>
      <c r="F34" s="37"/>
      <c r="G34" s="37"/>
      <c r="H34" s="37">
        <f xml:space="preserve"> 4 + (1 / 60) + (56.81 / 3600)</f>
        <v>4.0324472222222223</v>
      </c>
      <c r="I34" s="37">
        <f xml:space="preserve"> (-4 / 60) + (18.6 / 3600)</f>
        <v>-6.1499999999999999E-2</v>
      </c>
      <c r="J34" s="37">
        <f xml:space="preserve"> 14 + (58 / 60) + (52.96 / 3600)</f>
        <v>14.981377777777778</v>
      </c>
      <c r="K34" s="37">
        <f>(2 / 60) + (52.09 / 3600)</f>
        <v>4.7802777777777777E-2</v>
      </c>
      <c r="L34" s="37">
        <f xml:space="preserve"> 21 + (52 / 60) + (4.93 / 3600)</f>
        <v>21.868036111111113</v>
      </c>
      <c r="M34" s="37">
        <f>(2 / 60) + (26.34 / 3600)</f>
        <v>4.0649999999999999E-2</v>
      </c>
      <c r="N34" s="37">
        <f xml:space="preserve"> 23 + (7 / 60) + (29.79 / 3600)</f>
        <v>23.124941666666668</v>
      </c>
      <c r="O34" s="37">
        <f xml:space="preserve"> - (3 / 60) + (42.97 / 3600)</f>
        <v>-3.806388888888889E-2</v>
      </c>
    </row>
    <row r="35" spans="3:15" x14ac:dyDescent="0.35">
      <c r="C35" s="36">
        <v>31</v>
      </c>
      <c r="D35" s="37">
        <f xml:space="preserve"> -17 + (28 / 60) + (1.5 / 3600)</f>
        <v>-16.532916666666669</v>
      </c>
      <c r="E35" s="37">
        <f>(-13 / 60) + (19.31 / 3600)</f>
        <v>-0.21130277777777778</v>
      </c>
      <c r="F35" s="37"/>
      <c r="G35" s="37"/>
      <c r="H35" s="37">
        <f xml:space="preserve"> 4 + (25 / 60) + (10.02 / 3600)</f>
        <v>4.4194500000000003</v>
      </c>
      <c r="I35" s="37">
        <f xml:space="preserve"> (-4 / 60) + (0.67 / 3600)</f>
        <v>-6.6480555555555557E-2</v>
      </c>
      <c r="J35" s="37"/>
      <c r="K35" s="37"/>
      <c r="L35" s="37">
        <f xml:space="preserve"> 22 + (0 / 60) + (32.28 / 3600)</f>
        <v>22.008966666666666</v>
      </c>
      <c r="M35" s="37">
        <f>(2 / 60) + (17.54 / 3600)</f>
        <v>3.8205555555555555E-2</v>
      </c>
      <c r="N35" s="37"/>
      <c r="O35" s="37"/>
    </row>
    <row r="38" spans="3:15" x14ac:dyDescent="0.35">
      <c r="C38" s="62" t="s">
        <v>513</v>
      </c>
      <c r="D38" s="61" t="s">
        <v>514</v>
      </c>
      <c r="E38" s="61"/>
      <c r="F38" s="61" t="s">
        <v>515</v>
      </c>
      <c r="G38" s="61"/>
      <c r="H38" s="61" t="s">
        <v>516</v>
      </c>
      <c r="I38" s="61"/>
      <c r="J38" s="61" t="s">
        <v>517</v>
      </c>
      <c r="K38" s="61"/>
      <c r="L38" s="61" t="s">
        <v>518</v>
      </c>
      <c r="M38" s="61"/>
      <c r="N38" s="61" t="s">
        <v>519</v>
      </c>
      <c r="O38" s="64"/>
    </row>
    <row r="39" spans="3:15" x14ac:dyDescent="0.35">
      <c r="C39" s="63"/>
      <c r="D39" s="36" t="s">
        <v>511</v>
      </c>
      <c r="E39" s="36" t="s">
        <v>512</v>
      </c>
      <c r="F39" s="36" t="s">
        <v>511</v>
      </c>
      <c r="G39" s="36" t="s">
        <v>512</v>
      </c>
      <c r="H39" s="36" t="s">
        <v>511</v>
      </c>
      <c r="I39" s="36" t="s">
        <v>512</v>
      </c>
      <c r="J39" s="36" t="s">
        <v>511</v>
      </c>
      <c r="K39" s="36" t="s">
        <v>512</v>
      </c>
      <c r="L39" s="36" t="s">
        <v>511</v>
      </c>
      <c r="M39" s="36" t="s">
        <v>512</v>
      </c>
      <c r="N39" s="36" t="s">
        <v>511</v>
      </c>
      <c r="O39" s="36" t="s">
        <v>512</v>
      </c>
    </row>
    <row r="40" spans="3:15" x14ac:dyDescent="0.35">
      <c r="C40" s="39">
        <v>1</v>
      </c>
      <c r="D40" s="37">
        <f xml:space="preserve"> 23 + (3 / 60) + (23.19 / 3600)</f>
        <v>23.056441666666668</v>
      </c>
      <c r="E40" s="37">
        <f xml:space="preserve"> (-3 / 60) + (54.53 / 3600)</f>
        <v>-3.4852777777777781E-2</v>
      </c>
      <c r="F40" s="37">
        <f xml:space="preserve"> 17 + (50 / 60) + (18.2 / 3600)</f>
        <v>17.838388888888886</v>
      </c>
      <c r="G40" s="37">
        <f xml:space="preserve"> (-6 / 60) + (15.91 / 3600)</f>
        <v>-9.5580555555555557E-2</v>
      </c>
      <c r="H40" s="37">
        <f xml:space="preserve"> 8 + (1 / 60) + (42.66 / 3600)</f>
        <v>8.0285166666666683</v>
      </c>
      <c r="I40" s="37">
        <f xml:space="preserve"> (0 / 60) + (10.82 / 3600)</f>
        <v>3.0055555555555556E-3</v>
      </c>
      <c r="J40" s="37">
        <f xml:space="preserve"> -3 + (27 / 60) + (2.49 / 3600)</f>
        <v>-2.5493083333333333</v>
      </c>
      <c r="K40" s="37">
        <f xml:space="preserve"> (10 / 60) + (31.31 / 3600)</f>
        <v>0.17536388888888887</v>
      </c>
      <c r="L40" s="37">
        <f xml:space="preserve"> -14 + (38 / 60) + (33.48 / 3600)</f>
        <v>-13.357366666666667</v>
      </c>
      <c r="M40" s="37">
        <f xml:space="preserve"> (16 / 60) + (27.83 / 3600)</f>
        <v>0.27439722222222224</v>
      </c>
      <c r="N40" s="37">
        <f xml:space="preserve"> -21 + (54 / 60) + (5.21 / 3600)</f>
        <v>-20.09855277777778</v>
      </c>
      <c r="O40" s="37">
        <f xml:space="preserve"> (10 / 60) + (51.19 / 3600)</f>
        <v>0.18088611111111111</v>
      </c>
    </row>
    <row r="41" spans="3:15" x14ac:dyDescent="0.35">
      <c r="C41" s="39">
        <v>2</v>
      </c>
      <c r="D41" s="37">
        <f xml:space="preserve"> 22 + (58 / 60) + (52.42 / 3600)</f>
        <v>22.981227777777775</v>
      </c>
      <c r="E41" s="37">
        <f xml:space="preserve"> (-4 / 60) + (5.81 / 3600)</f>
        <v>-6.5052777777777779E-2</v>
      </c>
      <c r="F41" s="37">
        <f xml:space="preserve"> 17 + (34 / 60) + (51.67 / 3600)</f>
        <v>17.581019444444443</v>
      </c>
      <c r="G41" s="37">
        <f xml:space="preserve"> (-6 / 60) + (11.55 / 3600)</f>
        <v>-9.6791666666666679E-2</v>
      </c>
      <c r="H41" s="37">
        <f xml:space="preserve"> 7 + (39 / 60) + (48.46 / 3600)</f>
        <v>7.6634611111111113</v>
      </c>
      <c r="I41" s="37">
        <f xml:space="preserve"> (0 / 60) + (30.15 / 3600)</f>
        <v>8.3749999999999988E-3</v>
      </c>
      <c r="J41" s="37">
        <f xml:space="preserve"> -3 + (50 / 60) + (15.8 / 3600)</f>
        <v>-2.1622777777777777</v>
      </c>
      <c r="K41" s="37">
        <f xml:space="preserve"> (10 / 60) + (50.36 / 3600)</f>
        <v>0.18065555555555554</v>
      </c>
      <c r="L41" s="37">
        <f xml:space="preserve"> -14 + (57 / 60) + (29.66 / 3600)</f>
        <v>-13.041761111111112</v>
      </c>
      <c r="M41" s="37">
        <f xml:space="preserve"> (16 / 60) + (28.58 / 3600)</f>
        <v>0.27460555555555555</v>
      </c>
      <c r="N41" s="37">
        <f xml:space="preserve"> -22 + (2 / 60) + (55.42 / 3600)</f>
        <v>-21.951272222222222</v>
      </c>
      <c r="O41" s="37">
        <f xml:space="preserve"> (10 / 60) + (28.12 / 3600)</f>
        <v>0.17447777777777776</v>
      </c>
    </row>
    <row r="42" spans="3:15" x14ac:dyDescent="0.35">
      <c r="C42" s="39">
        <v>3</v>
      </c>
      <c r="D42" s="37">
        <f xml:space="preserve"> 22 + (53 / 60) + (57.61 / 3600)</f>
        <v>22.899336111111111</v>
      </c>
      <c r="E42" s="37">
        <f xml:space="preserve"> (-4 / 60) + (16.8 / 3600)</f>
        <v>-6.2E-2</v>
      </c>
      <c r="F42" s="37">
        <f xml:space="preserve"> 17 + (19 / 60) + (8.01 / 3600)</f>
        <v>17.318891666666666</v>
      </c>
      <c r="G42" s="37">
        <f xml:space="preserve"> (-6 / 60) + (6.58 / 3600)</f>
        <v>-9.817222222222223E-2</v>
      </c>
      <c r="H42" s="37">
        <f xml:space="preserve"> 7 + (17 / 60) + (46.83 / 3600)</f>
        <v>7.2963416666666667</v>
      </c>
      <c r="I42" s="37">
        <f xml:space="preserve"> (0 / 60) + (49.76 / 3600)</f>
        <v>1.3822222222222222E-2</v>
      </c>
      <c r="J42" s="37">
        <f xml:space="preserve"> -4 + (13 / 60) + (26.45 / 3600)</f>
        <v>-3.775986111111111</v>
      </c>
      <c r="K42" s="37">
        <f xml:space="preserve"> (11 / 60) + (9.08 / 3600)</f>
        <v>0.18585555555555555</v>
      </c>
      <c r="L42" s="37">
        <f xml:space="preserve"> -15 + (16 / 60) + (11.24 / 3600)</f>
        <v>-14.73021111111111</v>
      </c>
      <c r="M42" s="37">
        <f xml:space="preserve"> (16 / 60) + (28.51 / 3600)</f>
        <v>0.27458611111111109</v>
      </c>
      <c r="N42" s="37">
        <f xml:space="preserve"> -22 + (11 / 60) + (20.15 / 3600)</f>
        <v>-21.811069444444446</v>
      </c>
      <c r="O42" s="37">
        <f xml:space="preserve"> (10 / 60) + (4.43 / 3600)</f>
        <v>0.16789722222222223</v>
      </c>
    </row>
    <row r="43" spans="3:15" x14ac:dyDescent="0.35">
      <c r="C43" s="39">
        <v>4</v>
      </c>
      <c r="D43" s="37">
        <f xml:space="preserve"> 22 + (48 / 60) + (38.87 / 3600)</f>
        <v>22.810797222222224</v>
      </c>
      <c r="E43" s="37">
        <f xml:space="preserve"> (-4 / 60) + (27.48 / 3600)</f>
        <v>-5.9033333333333333E-2</v>
      </c>
      <c r="F43" s="37">
        <f xml:space="preserve"> 17 + (3 / 60) + (7.5 / 3600)</f>
        <v>17.052083333333336</v>
      </c>
      <c r="G43" s="37">
        <f xml:space="preserve"> (-6 / 60) + (1.01 / 3600)</f>
        <v>-9.9719444444444444E-2</v>
      </c>
      <c r="H43" s="37">
        <f xml:space="preserve"> 6 + (55 / 60) + (38.11 / 3600)</f>
        <v>6.9272527777777784</v>
      </c>
      <c r="I43" s="37">
        <f xml:space="preserve"> (1 / 60) + (9.62 / 3600)</f>
        <v>1.9338888888888888E-2</v>
      </c>
      <c r="J43" s="37">
        <f xml:space="preserve"> -4 + (36 / 60) + (34.1 / 3600)</f>
        <v>-3.3905277777777778</v>
      </c>
      <c r="K43" s="37">
        <f xml:space="preserve"> (11 / 60) + (27.46 / 3600)</f>
        <v>0.19096111111111111</v>
      </c>
      <c r="L43" s="37">
        <f xml:space="preserve"> -15 + (34 / 60) + (37.83 / 3600)</f>
        <v>-14.422825</v>
      </c>
      <c r="M43" s="37">
        <f xml:space="preserve"> (16 / 60) + (27.62 / 3600)</f>
        <v>0.27433888888888891</v>
      </c>
      <c r="N43" s="37">
        <f xml:space="preserve"> -22 + (19 / 60) + (19.13 / 3600)</f>
        <v>-21.678019444444445</v>
      </c>
      <c r="O43" s="37">
        <f xml:space="preserve"> (9 / 60) + (40.17 / 3600)</f>
        <v>0.16115833333333332</v>
      </c>
    </row>
    <row r="44" spans="3:15" x14ac:dyDescent="0.35">
      <c r="C44" s="39">
        <v>5</v>
      </c>
      <c r="D44" s="37">
        <f xml:space="preserve"> 22 + (42 / 60) + (56.34 / 3600)</f>
        <v>22.71565</v>
      </c>
      <c r="E44" s="37">
        <f xml:space="preserve"> (-4 / 60) + (37.83 / 3600)</f>
        <v>-5.6158333333333331E-2</v>
      </c>
      <c r="F44" s="37">
        <f xml:space="preserve"> 16 + (46 / 60) + (50.46 / 3600)</f>
        <v>16.780683333333332</v>
      </c>
      <c r="G44" s="37">
        <f xml:space="preserve"> (-5 / 60) + (54.84 / 3600)</f>
        <v>-6.8099999999999994E-2</v>
      </c>
      <c r="H44" s="37">
        <f xml:space="preserve"> 6 + (33 / 60) + (22.6 / 3600)</f>
        <v>6.5562777777777779</v>
      </c>
      <c r="I44" s="37">
        <f xml:space="preserve"> (1 / 60) + (29.71 / 3600)</f>
        <v>2.4919444444444445E-2</v>
      </c>
      <c r="J44" s="37">
        <f xml:space="preserve"> -4 + (59 / 60) + (38.37 / 3600)</f>
        <v>-3.0060083333333334</v>
      </c>
      <c r="K44" s="37">
        <f xml:space="preserve"> (11 / 60) + (45.48 / 3600)</f>
        <v>0.19596666666666665</v>
      </c>
      <c r="L44" s="37">
        <f xml:space="preserve"> -15 + (52 / 60) + (49 / 3600)</f>
        <v>-14.119722222222222</v>
      </c>
      <c r="M44" s="37">
        <f xml:space="preserve"> (16 / 60) + (25.91 / 3600)</f>
        <v>0.27386388888888891</v>
      </c>
      <c r="N44" s="37">
        <f xml:space="preserve"> -22 + (26 / 60) + (52.12 / 3600)</f>
        <v>-21.552188888888889</v>
      </c>
      <c r="O44" s="37">
        <f xml:space="preserve"> (9 / 60) + (15.34 / 3600)</f>
        <v>0.1542611111111111</v>
      </c>
    </row>
    <row r="45" spans="3:15" x14ac:dyDescent="0.35">
      <c r="C45" s="39">
        <v>6</v>
      </c>
      <c r="D45" s="37">
        <f xml:space="preserve"> 22 + (36 / 60) + (50.15 / 3600)</f>
        <v>22.613930555555555</v>
      </c>
      <c r="E45" s="37">
        <f xml:space="preserve"> (-4 / 60) + (47.82 / 3600)</f>
        <v>-5.3383333333333331E-2</v>
      </c>
      <c r="F45" s="37">
        <f xml:space="preserve"> 16 + (30 / 60) + (17.16 / 3600)</f>
        <v>16.504766666666665</v>
      </c>
      <c r="G45" s="37">
        <f xml:space="preserve"> (-5 / 60) + (48.08 / 3600)</f>
        <v>-6.9977777777777778E-2</v>
      </c>
      <c r="H45" s="37">
        <f xml:space="preserve"> 6 + (11 / 60) + (0.64 / 3600)</f>
        <v>6.1835111111111116</v>
      </c>
      <c r="I45" s="37">
        <f xml:space="preserve"> (1 / 60) + (50.02 / 3600)</f>
        <v>3.0561111111111112E-2</v>
      </c>
      <c r="J45" s="37">
        <f xml:space="preserve"> -5 + (22 / 60) + (38.92 / 3600)</f>
        <v>-4.6225222222222229</v>
      </c>
      <c r="K45" s="37">
        <f xml:space="preserve"> (12 / 60) + (3.12 / 3600)</f>
        <v>0.20086666666666667</v>
      </c>
      <c r="L45" s="37">
        <f xml:space="preserve"> -16 + (10 / 60) + (44.37 / 3600)</f>
        <v>-15.821008333333333</v>
      </c>
      <c r="M45" s="37">
        <f xml:space="preserve"> (16 / 60) + (23.36 / 3600)</f>
        <v>0.27315555555555554</v>
      </c>
      <c r="N45" s="37">
        <f xml:space="preserve"> -22 + (33 / 60) + (58.89 / 3600)</f>
        <v>-21.433641666666666</v>
      </c>
      <c r="O45" s="37">
        <f xml:space="preserve"> (8 / 60) + (49.97 / 3600)</f>
        <v>0.14721388888888889</v>
      </c>
    </row>
    <row r="46" spans="3:15" x14ac:dyDescent="0.35">
      <c r="C46" s="39">
        <v>7</v>
      </c>
      <c r="D46" s="37">
        <f xml:space="preserve"> 22 + (30 / 60) + (20.45 / 3600)</f>
        <v>22.505680555555557</v>
      </c>
      <c r="E46" s="37">
        <f xml:space="preserve"> (-4 / 60) + (57.43 / 3600)</f>
        <v>-5.0713888888888892E-2</v>
      </c>
      <c r="F46" s="37">
        <f xml:space="preserve"> 16 + (13 / 60) + (27.93 / 3600)</f>
        <v>16.224425</v>
      </c>
      <c r="G46" s="37">
        <f xml:space="preserve"> (-5 / 60) + (40.72 / 3600)</f>
        <v>-7.2022222222222224E-2</v>
      </c>
      <c r="H46" s="37">
        <f xml:space="preserve"> 5 + (48 / 60) + (32.55 / 3600)</f>
        <v>5.8090416666666664</v>
      </c>
      <c r="I46" s="37">
        <f xml:space="preserve"> (2 / 60) + (10.52 / 3600)</f>
        <v>3.6255555555555555E-2</v>
      </c>
      <c r="J46" s="37">
        <f xml:space="preserve"> -5 + (45 / 60) + (35.37 / 3600)</f>
        <v>-4.2401749999999998</v>
      </c>
      <c r="K46" s="37">
        <f xml:space="preserve"> (12 / 60) + (20.36 / 3600)</f>
        <v>0.20565555555555556</v>
      </c>
      <c r="L46" s="37">
        <f xml:space="preserve"> -16 + (28 / 60) + (23.51 / 3600)</f>
        <v>-15.526802777777778</v>
      </c>
      <c r="M46" s="37">
        <f xml:space="preserve"> (16 / 60) + (19.98 / 3600)</f>
        <v>0.27221666666666666</v>
      </c>
      <c r="N46" s="37">
        <f xml:space="preserve"> -22 + (40 / 60) + (39.19 / 3600)</f>
        <v>-21.32244722222222</v>
      </c>
      <c r="O46" s="37">
        <f xml:space="preserve"> (8 / 60) + (24.09 / 3600)</f>
        <v>0.14002500000000001</v>
      </c>
    </row>
    <row r="47" spans="3:15" x14ac:dyDescent="0.35">
      <c r="C47" s="39">
        <v>8</v>
      </c>
      <c r="D47" s="37">
        <f xml:space="preserve"> 22 + (23 / 60) + (27.41 / 3600)</f>
        <v>22.390947222222223</v>
      </c>
      <c r="E47" s="37">
        <f xml:space="preserve"> (-5 / 60) + (6.66 / 3600)</f>
        <v>-8.1483333333333324E-2</v>
      </c>
      <c r="F47" s="37">
        <f xml:space="preserve"> 15 + (56 / 60) + (23.05 / 3600)</f>
        <v>15.939736111111111</v>
      </c>
      <c r="G47" s="37">
        <f xml:space="preserve"> (-5 / 60) + (32.77 / 3600)</f>
        <v>-7.423055555555555E-2</v>
      </c>
      <c r="H47" s="37">
        <f xml:space="preserve"> 5 + (25 / 60) + (58.65 / 3600)</f>
        <v>5.4329583333333336</v>
      </c>
      <c r="I47" s="37">
        <f xml:space="preserve"> (2 / 60) + (31.21 / 3600)</f>
        <v>4.2002777777777778E-2</v>
      </c>
      <c r="J47" s="37">
        <f xml:space="preserve"> -6 + (8 / 60) + (27.36 / 3600)</f>
        <v>-5.8590666666666662</v>
      </c>
      <c r="K47" s="37">
        <f xml:space="preserve"> (12 / 60) + (37.17 / 3600)</f>
        <v>0.21032500000000001</v>
      </c>
      <c r="L47" s="37">
        <f xml:space="preserve"> -16 + (45 / 60) + (46.04 / 3600)</f>
        <v>-15.237211111111112</v>
      </c>
      <c r="M47" s="37">
        <f xml:space="preserve"> (16 / 60) + (15.75 / 3600)</f>
        <v>0.27104166666666668</v>
      </c>
      <c r="N47" s="37">
        <f xml:space="preserve"> -22 + (46 / 60) + (52.83 / 3600)</f>
        <v>-21.218658333333334</v>
      </c>
      <c r="O47" s="37">
        <f xml:space="preserve"> (7 / 60) + (57.74 / 3600)</f>
        <v>0.13270555555555555</v>
      </c>
    </row>
    <row r="48" spans="3:15" x14ac:dyDescent="0.35">
      <c r="C48" s="39">
        <v>9</v>
      </c>
      <c r="D48" s="37">
        <f xml:space="preserve"> 22 + (16 / 60) + (11.18 / 3600)</f>
        <v>22.269772222222223</v>
      </c>
      <c r="E48" s="37">
        <f xml:space="preserve"> (-5 / 60) + (15.48 / 3600)</f>
        <v>-7.903333333333333E-2</v>
      </c>
      <c r="F48" s="37">
        <f xml:space="preserve"> 15 + (39 / 60) + (2.84 / 3600)</f>
        <v>15.65078888888889</v>
      </c>
      <c r="G48" s="37">
        <f xml:space="preserve"> (-5 / 60) + (24.24 / 3600)</f>
        <v>-7.6600000000000001E-2</v>
      </c>
      <c r="H48" s="37">
        <f xml:space="preserve"> 5 + (3 / 60) + (19.28 / 3600)</f>
        <v>5.0553555555555549</v>
      </c>
      <c r="I48" s="37">
        <f xml:space="preserve"> (2 / 60) + (52.05 / 3600)</f>
        <v>4.7791666666666663E-2</v>
      </c>
      <c r="J48" s="37">
        <f xml:space="preserve"> -6 + (31 / 60) + (14.52 / 3600)</f>
        <v>-5.4793000000000003</v>
      </c>
      <c r="K48" s="37">
        <f xml:space="preserve"> (12 / 60) + (53.55 / 3600)</f>
        <v>0.21487500000000001</v>
      </c>
      <c r="L48" s="37">
        <f xml:space="preserve"> -17 + (2 / 60) + (51.54 / 3600)</f>
        <v>-16.952349999999999</v>
      </c>
      <c r="M48" s="37">
        <f xml:space="preserve"> (16 / 60) + (10.68 / 3600)</f>
        <v>0.26963333333333334</v>
      </c>
      <c r="N48" s="37">
        <f xml:space="preserve"> -22 + (52 / 60) + (39.6 / 3600)</f>
        <v>-21.122333333333334</v>
      </c>
      <c r="O48" s="37">
        <f xml:space="preserve"> (7 / 60) + (30.92 / 3600)</f>
        <v>0.12525555555555556</v>
      </c>
    </row>
    <row r="49" spans="3:15" x14ac:dyDescent="0.35">
      <c r="C49" s="39">
        <v>10</v>
      </c>
      <c r="D49" s="37">
        <f xml:space="preserve"> 22 + (8 / 60) + (31.94 / 3600)</f>
        <v>22.142205555555556</v>
      </c>
      <c r="E49" s="37">
        <f xml:space="preserve"> (-5 / 60) + (23.88 / 3600)</f>
        <v>-7.669999999999999E-2</v>
      </c>
      <c r="F49" s="37">
        <f xml:space="preserve"> 15 + (21 / 60) + (27.6 / 3600)</f>
        <v>15.357666666666667</v>
      </c>
      <c r="G49" s="37">
        <f xml:space="preserve"> (-5 / 60) + (15.14 / 3600)</f>
        <v>-7.9127777777777769E-2</v>
      </c>
      <c r="H49" s="37">
        <f xml:space="preserve"> 4 + (40 / 60) + (34.75 / 3600)</f>
        <v>4.6763194444444451</v>
      </c>
      <c r="I49" s="37">
        <f xml:space="preserve"> (3 / 60) + (13.04 / 3600)</f>
        <v>5.3622222222222224E-2</v>
      </c>
      <c r="J49" s="37">
        <f xml:space="preserve"> -6 + (53 / 60) + (56.49 / 3600)</f>
        <v>-5.100975</v>
      </c>
      <c r="K49" s="37">
        <f xml:space="preserve"> (13 / 60) + (9.46 / 3600)</f>
        <v>0.21929444444444446</v>
      </c>
      <c r="L49" s="37">
        <f xml:space="preserve"> -17 + (19 / 60) + (39.61 / 3600)</f>
        <v>-16.672330555555554</v>
      </c>
      <c r="M49" s="37">
        <f xml:space="preserve"> (16 / 60) + (4.76 / 3600)</f>
        <v>0.26798888888888889</v>
      </c>
      <c r="N49" s="37">
        <f xml:space="preserve"> -22 + (57 / 60) + (59.31 / 3600)</f>
        <v>-21.033525000000001</v>
      </c>
      <c r="O49" s="37">
        <f xml:space="preserve"> (7 / 60) + (3.69 / 3600)</f>
        <v>0.11769166666666667</v>
      </c>
    </row>
    <row r="50" spans="3:15" x14ac:dyDescent="0.35">
      <c r="C50" s="39">
        <v>11</v>
      </c>
      <c r="D50" s="37">
        <f xml:space="preserve"> 22 + (0 / 60) + (29.87 / 3600)</f>
        <v>22.008297222222222</v>
      </c>
      <c r="E50" s="37">
        <f xml:space="preserve"> (-5 / 60) + (31.83 / 3600)</f>
        <v>-7.4491666666666664E-2</v>
      </c>
      <c r="F50" s="37">
        <f xml:space="preserve"> 15 + (3 / 60) + (37.63 / 3600)</f>
        <v>15.060452777777778</v>
      </c>
      <c r="G50" s="37">
        <f xml:space="preserve"> (-5 / 60) + (5.46 / 3600)</f>
        <v>-8.1816666666666663E-2</v>
      </c>
      <c r="H50" s="37">
        <f xml:space="preserve"> 4 + (17 / 60) + (45.4 / 3600)</f>
        <v>4.2959444444444443</v>
      </c>
      <c r="I50" s="37">
        <f xml:space="preserve"> (3 / 60) + (34.14 / 3600)</f>
        <v>5.9483333333333333E-2</v>
      </c>
      <c r="J50" s="37">
        <f xml:space="preserve"> -7 + (16 / 60) + (32.9 / 3600)</f>
        <v>-6.7241944444444446</v>
      </c>
      <c r="K50" s="37">
        <f xml:space="preserve"> (13 / 60) + (24.89 / 3600)</f>
        <v>0.22358055555555556</v>
      </c>
      <c r="L50" s="37">
        <f xml:space="preserve"> -17 + (36 / 60) + (9.86 / 3600)</f>
        <v>-16.39726111111111</v>
      </c>
      <c r="M50" s="37">
        <f xml:space="preserve"> (15 / 60) + (57.99 / 3600)</f>
        <v>0.26610833333333334</v>
      </c>
      <c r="N50" s="37">
        <f xml:space="preserve"> -23 + (2 / 60) + (51.77 / 3600)</f>
        <v>-22.952286111111111</v>
      </c>
      <c r="O50" s="37">
        <f xml:space="preserve"> (6 / 60) + (36.05 / 3600)</f>
        <v>0.1100138888888889</v>
      </c>
    </row>
    <row r="51" spans="3:15" x14ac:dyDescent="0.35">
      <c r="C51" s="39">
        <v>12</v>
      </c>
      <c r="D51" s="37">
        <f xml:space="preserve"> 21 + (52 / 60) + (5.15 / 3600)</f>
        <v>21.868097222222222</v>
      </c>
      <c r="E51" s="37">
        <f xml:space="preserve"> (-5 / 60) + (39.33 / 3600)</f>
        <v>-7.2408333333333325E-2</v>
      </c>
      <c r="F51" s="37">
        <f xml:space="preserve"> 14 + (45 / 60) + (33.26 / 3600)</f>
        <v>14.759238888888889</v>
      </c>
      <c r="G51" s="37">
        <f xml:space="preserve"> (-4 / 60) + (55.23 / 3600)</f>
        <v>-5.1324999999999996E-2</v>
      </c>
      <c r="H51" s="37">
        <f xml:space="preserve"> 3 + (54 / 60) + (51.55 / 3600)</f>
        <v>3.9143194444444442</v>
      </c>
      <c r="I51" s="37">
        <f xml:space="preserve"> (3 / 60) + (55.35 / 3600)</f>
        <v>6.5375000000000003E-2</v>
      </c>
      <c r="J51" s="37">
        <f xml:space="preserve"> -7 + (39 / 60) + (3.37 / 3600)</f>
        <v>-6.3490638888888888</v>
      </c>
      <c r="K51" s="37">
        <f xml:space="preserve"> (13 / 60) + (39.83 / 3600)</f>
        <v>0.22773055555555557</v>
      </c>
      <c r="L51" s="37">
        <f xml:space="preserve"> -17 + (20 / 60) + (21.88 / 3600)</f>
        <v>-16.660588888888888</v>
      </c>
      <c r="M51" s="37">
        <f xml:space="preserve"> (15 / 60) + (50.37 / 3600)</f>
        <v>0.26399166666666668</v>
      </c>
      <c r="N51" s="37">
        <f xml:space="preserve"> -23 + (7 / 60) + (16.84 / 3600)</f>
        <v>-22.878655555555554</v>
      </c>
      <c r="O51" s="37">
        <f xml:space="preserve"> (6 / 60) + (8.05 / 3600)</f>
        <v>0.10223611111111111</v>
      </c>
    </row>
    <row r="52" spans="3:15" x14ac:dyDescent="0.35">
      <c r="C52" s="39">
        <v>13</v>
      </c>
      <c r="D52" s="37">
        <f xml:space="preserve"> 21 + (43 / 60) + (17.98 / 3600)</f>
        <v>21.721661111111111</v>
      </c>
      <c r="E52" s="37">
        <f xml:space="preserve"> (-5 / 60) + (46.35 / 3600)</f>
        <v>-7.0458333333333331E-2</v>
      </c>
      <c r="F52" s="37">
        <f xml:space="preserve"> 14 + (27 / 60) + (14.77 / 3600)</f>
        <v>14.454102777777777</v>
      </c>
      <c r="G52" s="37">
        <f xml:space="preserve"> (-4 / 60) + (44.44 / 3600)</f>
        <v>-5.4322222222222223E-2</v>
      </c>
      <c r="H52" s="37">
        <f xml:space="preserve"> 3 + (31 / 60) + (53.54 / 3600)</f>
        <v>3.531538888888889</v>
      </c>
      <c r="I52" s="37">
        <f xml:space="preserve"> (4 / 60) + (16.65 / 3600)</f>
        <v>7.129166666666667E-2</v>
      </c>
      <c r="J52" s="37">
        <f xml:space="preserve"> -8 + (1 / 60) + (27.52 / 3600)</f>
        <v>-7.9756888888888886</v>
      </c>
      <c r="K52" s="37">
        <f xml:space="preserve"> (13 / 60) + (54.25 / 3600)</f>
        <v>0.23173611111111111</v>
      </c>
      <c r="L52" s="37">
        <f xml:space="preserve"> -18 + (8 / 60) + (15.29 / 3600)</f>
        <v>-17.862419444444445</v>
      </c>
      <c r="M52" s="37">
        <f xml:space="preserve"> (15 / 60) + (41.9 / 3600)</f>
        <v>0.26163888888888887</v>
      </c>
      <c r="N52" s="37">
        <f xml:space="preserve"> -23 + (11 / 60) + (14.36 / 3600)</f>
        <v>-22.812677777777779</v>
      </c>
      <c r="O52" s="37">
        <f xml:space="preserve"> (5 / 60) + (39.72 / 3600)</f>
        <v>9.4366666666666654E-2</v>
      </c>
    </row>
    <row r="53" spans="3:15" x14ac:dyDescent="0.35">
      <c r="C53" s="39">
        <v>14</v>
      </c>
      <c r="D53" s="37">
        <f xml:space="preserve"> 21 + (34 / 60) + (8.56 / 3600)</f>
        <v>21.569044444444444</v>
      </c>
      <c r="E53" s="37">
        <f xml:space="preserve"> (-5 / 60) + (52.89 / 3600)</f>
        <v>-6.8641666666666656E-2</v>
      </c>
      <c r="F53" s="37">
        <f xml:space="preserve"> 14 + (8 / 60) + (42.5 / 3600)</f>
        <v>14.145138888888889</v>
      </c>
      <c r="G53" s="37">
        <f xml:space="preserve"> (-4 / 60) + (33.11 / 3600)</f>
        <v>-5.7469444444444448E-2</v>
      </c>
      <c r="H53" s="37">
        <f xml:space="preserve"> 3 + (8 / 60) + (51.69 / 3600)</f>
        <v>3.1476916666666668</v>
      </c>
      <c r="I53" s="37">
        <f xml:space="preserve"> (4 / 60) + (38 / 3600)</f>
        <v>7.722222222222222E-2</v>
      </c>
      <c r="J53" s="37">
        <f xml:space="preserve"> -8 + (23 / 60) + (44.98 / 3600)</f>
        <v>-7.6041722222222221</v>
      </c>
      <c r="K53" s="37">
        <f xml:space="preserve"> (14 / 60) + (8.14 / 3600)</f>
        <v>0.23559444444444444</v>
      </c>
      <c r="L53" s="37">
        <f xml:space="preserve"> -18 + (23 / 60) + (49.69 / 3600)</f>
        <v>-17.602863888888891</v>
      </c>
      <c r="M53" s="37">
        <f xml:space="preserve"> (15 / 60) + (32.58 / 3600)</f>
        <v>0.25905</v>
      </c>
      <c r="N53" s="37">
        <f xml:space="preserve"> -23 + (14 / 60) + (44.19 / 3600)</f>
        <v>-22.754391666666667</v>
      </c>
      <c r="O53" s="37">
        <f xml:space="preserve"> (5 / 60) + (11.09 / 3600)</f>
        <v>8.6413888888888887E-2</v>
      </c>
    </row>
    <row r="54" spans="3:15" x14ac:dyDescent="0.35">
      <c r="C54" s="39">
        <v>15</v>
      </c>
      <c r="D54" s="37">
        <f xml:space="preserve"> 21 + (24 / 60) + (37.09 / 3600)</f>
        <v>21.410302777777776</v>
      </c>
      <c r="E54" s="37">
        <f xml:space="preserve"> (-5 / 60) + (58.93 / 3600)</f>
        <v>-6.6963888888888878E-2</v>
      </c>
      <c r="F54" s="37">
        <f xml:space="preserve"> 13 + (49 / 60) + (56.74 / 3600)</f>
        <v>13.832427777777777</v>
      </c>
      <c r="G54" s="37">
        <f xml:space="preserve"> (-4 / 60) + (21.24 / 3600)</f>
        <v>-6.0766666666666663E-2</v>
      </c>
      <c r="H54" s="37">
        <f xml:space="preserve"> 2 + (45 / 60) + (46.33 / 3600)</f>
        <v>2.7628694444444446</v>
      </c>
      <c r="I54" s="37">
        <f xml:space="preserve"> (4 / 60) + (59.4 / 3600)</f>
        <v>8.3166666666666667E-2</v>
      </c>
      <c r="J54" s="37">
        <f xml:space="preserve"> -8 + (45 / 60) + (55.37 / 3600)</f>
        <v>-7.2346194444444443</v>
      </c>
      <c r="K54" s="37">
        <f xml:space="preserve"> (14 / 60) + (21.47 / 3600)</f>
        <v>0.23929722222222222</v>
      </c>
      <c r="L54" s="37">
        <f xml:space="preserve"> -18 + (39 / 60) + (4.69 / 3600)</f>
        <v>-17.348697222222224</v>
      </c>
      <c r="M54" s="37">
        <f xml:space="preserve"> (15 / 60) + (22.42 / 3600)</f>
        <v>0.25622777777777778</v>
      </c>
      <c r="N54" s="37">
        <f xml:space="preserve"> -23 + (17 / 60) + (46.22 / 3600)</f>
        <v>-22.703827777777775</v>
      </c>
      <c r="O54" s="37">
        <f xml:space="preserve"> (4 / 60) + (42.18 / 3600)</f>
        <v>7.8383333333333333E-2</v>
      </c>
    </row>
    <row r="55" spans="3:15" x14ac:dyDescent="0.35">
      <c r="C55" s="39">
        <v>16</v>
      </c>
      <c r="D55" s="37">
        <f xml:space="preserve"> 21 + (14 / 60) + (43.79 / 3600)</f>
        <v>21.245497222222223</v>
      </c>
      <c r="E55" s="37">
        <f xml:space="preserve"> (-6 / 60) + (4.46 / 3600)</f>
        <v>-9.8761111111111119E-2</v>
      </c>
      <c r="F55" s="37">
        <f xml:space="preserve"> 13 + (30 / 60) + (57.82 / 3600)</f>
        <v>13.516061111111112</v>
      </c>
      <c r="G55" s="37">
        <f xml:space="preserve"> (-4 / 60) + (8.85 / 3600)</f>
        <v>-6.4208333333333339E-2</v>
      </c>
      <c r="H55" s="37">
        <f xml:space="preserve"> 2 + (22 / 60) + (37.79 / 3600)</f>
        <v>2.3771638888888891</v>
      </c>
      <c r="I55" s="37">
        <f xml:space="preserve"> (5 / 60) + (20.83 / 3600)</f>
        <v>8.9119444444444446E-2</v>
      </c>
      <c r="J55" s="37">
        <f xml:space="preserve"> -9 + (7 / 60) + (58.31 / 3600)</f>
        <v>-8.86713611111111</v>
      </c>
      <c r="K55" s="37">
        <f xml:space="preserve"> (14 / 60) + (34.23 / 3600)</f>
        <v>0.24284166666666668</v>
      </c>
      <c r="L55" s="37">
        <f xml:space="preserve"> -18 + (53 / 60) + (59.9 / 3600)</f>
        <v>-17.100027777777779</v>
      </c>
      <c r="M55" s="37">
        <f xml:space="preserve"> (15 / 60) + (11.41 / 3600)</f>
        <v>0.25316944444444445</v>
      </c>
      <c r="N55" s="37">
        <f xml:space="preserve"> -23 + (20 / 60) + (20.33 / 3600)</f>
        <v>-22.661019444444445</v>
      </c>
      <c r="O55" s="37">
        <f xml:space="preserve"> (4 / 60) + (13.04 / 3600)</f>
        <v>7.0288888888888887E-2</v>
      </c>
    </row>
    <row r="56" spans="3:15" x14ac:dyDescent="0.35">
      <c r="C56" s="39">
        <v>17</v>
      </c>
      <c r="D56" s="37">
        <f xml:space="preserve"> 21 + (4 / 60) + (28.89 / 3600)</f>
        <v>21.074691666666666</v>
      </c>
      <c r="E56" s="37">
        <f xml:space="preserve"> (-6 / 60) + (9.46 / 3600)</f>
        <v>-9.7372222222222221E-2</v>
      </c>
      <c r="F56" s="37">
        <f xml:space="preserve"> 13 + (11 / 60) + (46.05 / 3600)</f>
        <v>13.196125</v>
      </c>
      <c r="G56" s="37">
        <f xml:space="preserve"> (-3 / 60) + (55.95 / 3600)</f>
        <v>-3.4458333333333334E-2</v>
      </c>
      <c r="H56" s="37">
        <f xml:space="preserve"> 1 + (59 / 60) + (26.41 / 3600)</f>
        <v>1.9906694444444446</v>
      </c>
      <c r="I56" s="37">
        <f xml:space="preserve"> (5 / 60) + (42.26 / 3600)</f>
        <v>9.5072222222222225E-2</v>
      </c>
      <c r="J56" s="37">
        <f xml:space="preserve"> -9 + (29 / 60) + (53.41 / 3600)</f>
        <v>-8.5018305555555571</v>
      </c>
      <c r="K56" s="37">
        <f xml:space="preserve"> (14 / 60) + (46.4 / 3600)</f>
        <v>0.24622222222222223</v>
      </c>
      <c r="L56" s="37">
        <f xml:space="preserve"> -19 + (8 / 60) + (34.94 / 3600)</f>
        <v>-18.856961111111112</v>
      </c>
      <c r="M56" s="37">
        <f xml:space="preserve"> (14 / 60) + (59.57 / 3600)</f>
        <v>0.24988055555555555</v>
      </c>
      <c r="N56" s="37">
        <f xml:space="preserve"> -23 + (22 / 60) + (26.44 / 3600)</f>
        <v>-22.625988888888887</v>
      </c>
      <c r="O56" s="37">
        <f xml:space="preserve"> (3 / 60) + (43.69 / 3600)</f>
        <v>6.2136111111111114E-2</v>
      </c>
    </row>
    <row r="57" spans="3:15" x14ac:dyDescent="0.35">
      <c r="C57" s="39">
        <v>18</v>
      </c>
      <c r="D57" s="37">
        <f xml:space="preserve"> 20 + (53 / 60) + (52.6 / 3600)</f>
        <v>20.897944444444445</v>
      </c>
      <c r="E57" s="37">
        <f xml:space="preserve"> (-6 / 60) + (13.93 / 3600)</f>
        <v>-9.6130555555555566E-2</v>
      </c>
      <c r="F57" s="37">
        <f xml:space="preserve"> 12 + (52 / 60) + (21.73 / 3600)</f>
        <v>12.872702777777778</v>
      </c>
      <c r="G57" s="37">
        <f xml:space="preserve"> (-3 / 60) + (42.54 / 3600)</f>
        <v>-3.8183333333333333E-2</v>
      </c>
      <c r="H57" s="37">
        <f xml:space="preserve"> 1 + (36 / 60) + (12.53 / 3600)</f>
        <v>1.6034805555555556</v>
      </c>
      <c r="I57" s="37">
        <f xml:space="preserve"> (6 / 60) + (3.67 / 3600)</f>
        <v>0.10101944444444445</v>
      </c>
      <c r="J57" s="37">
        <f xml:space="preserve"> -9 + (51 / 60) + (40.29 / 3600)</f>
        <v>-8.1388083333333334</v>
      </c>
      <c r="K57" s="37">
        <f xml:space="preserve"> (14 / 60) + (57.97 / 3600)</f>
        <v>0.24943611111111111</v>
      </c>
      <c r="L57" s="37">
        <f xml:space="preserve"> -19 + (22 / 60) + (49.43 / 3600)</f>
        <v>-18.619602777777779</v>
      </c>
      <c r="M57" s="37">
        <f xml:space="preserve"> (14 / 60) + (46.9 / 3600)</f>
        <v>0.24636111111111111</v>
      </c>
      <c r="N57" s="37">
        <f xml:space="preserve"> -23 + (24 / 60) + (4.45 / 3600)</f>
        <v>-22.59876388888889</v>
      </c>
      <c r="O57" s="37">
        <f xml:space="preserve"> (3 / 60) + (14.18 / 3600)</f>
        <v>5.393888888888889E-2</v>
      </c>
    </row>
    <row r="58" spans="3:15" x14ac:dyDescent="0.35">
      <c r="C58" s="39">
        <v>19</v>
      </c>
      <c r="D58" s="37">
        <f xml:space="preserve"> 20 + (42 / 60) + (55.16 / 3600)</f>
        <v>20.71532222222222</v>
      </c>
      <c r="E58" s="37">
        <f xml:space="preserve"> (-6 / 60) + (17.85 / 3600)</f>
        <v>-9.5041666666666677E-2</v>
      </c>
      <c r="F58" s="37">
        <f xml:space="preserve"> 12 + (32 / 60) + (45.2 / 3600)</f>
        <v>12.545888888888889</v>
      </c>
      <c r="G58" s="37">
        <f xml:space="preserve"> (-3 / 60) + (28.63 / 3600)</f>
        <v>-4.2047222222222222E-2</v>
      </c>
      <c r="H58" s="37">
        <f xml:space="preserve"> 1 + (12 / 60) + (56.46 / 3600)</f>
        <v>1.2156833333333332</v>
      </c>
      <c r="I58" s="37">
        <f xml:space="preserve"> (6 / 60) + (25.05 / 3600)</f>
        <v>0.10695833333333334</v>
      </c>
      <c r="J58" s="37">
        <f xml:space="preserve"> -10 + (13 / 60) + (18.56 / 3600)</f>
        <v>-9.7781777777777776</v>
      </c>
      <c r="K58" s="37">
        <f xml:space="preserve"> (15 / 60) + (8.92 / 3600)</f>
        <v>0.2524777777777778</v>
      </c>
      <c r="L58" s="37">
        <f xml:space="preserve"> -19 + (36 / 60) + (43 / 3600)</f>
        <v>-18.388055555555553</v>
      </c>
      <c r="M58" s="37">
        <f xml:space="preserve"> (14 / 60) + (33.4 / 3600)</f>
        <v>0.24261111111111111</v>
      </c>
      <c r="N58" s="37">
        <f xml:space="preserve"> -23 + (25 / 60) + (14.33 / 3600)</f>
        <v>-22.579352777777778</v>
      </c>
      <c r="O58" s="37">
        <f xml:space="preserve"> (2 / 60) + (44.52 / 3600)</f>
        <v>4.5700000000000005E-2</v>
      </c>
    </row>
    <row r="59" spans="3:15" x14ac:dyDescent="0.35">
      <c r="C59" s="39">
        <v>20</v>
      </c>
      <c r="D59" s="37">
        <f xml:space="preserve"> 20 + (31 / 60) + (36.8 / 3600)</f>
        <v>20.526888888888887</v>
      </c>
      <c r="E59" s="37">
        <f xml:space="preserve"> (-6 / 60) + (21.21 / 3600)</f>
        <v>-9.4108333333333336E-2</v>
      </c>
      <c r="F59" s="37">
        <f xml:space="preserve"> 12 + (12 / 60) + (56.76 / 3600)</f>
        <v>12.215766666666665</v>
      </c>
      <c r="G59" s="37">
        <f xml:space="preserve"> (-3 / 60) + (14.25 / 3600)</f>
        <v>-4.6041666666666668E-2</v>
      </c>
      <c r="H59" s="37">
        <f xml:space="preserve"> 0 + (49 / 60) + (38.56 / 3600)</f>
        <v>0.82737777777777777</v>
      </c>
      <c r="I59" s="37">
        <f xml:space="preserve"> (6 / 60) + (46.37 / 3600)</f>
        <v>0.11288055555555557</v>
      </c>
      <c r="J59" s="37">
        <f xml:space="preserve"> -10 + (34 / 60) + (47.84 / 3600)</f>
        <v>-9.4200444444444447</v>
      </c>
      <c r="K59" s="37">
        <f xml:space="preserve"> (15 / 60) + (19.22 / 3600)</f>
        <v>0.25533888888888889</v>
      </c>
      <c r="L59" s="37">
        <f xml:space="preserve"> -19 + (50 / 60) + (15.27 / 3600)</f>
        <v>-18.162425000000002</v>
      </c>
      <c r="M59" s="37">
        <f xml:space="preserve"> (14 / 60) + (19.09 / 3600)</f>
        <v>0.2386361111111111</v>
      </c>
      <c r="N59" s="37">
        <f xml:space="preserve"> -23 + (25 / 60) + (56 / 3600)</f>
        <v>-22.567777777777778</v>
      </c>
      <c r="O59" s="37">
        <f xml:space="preserve"> (2 / 60) + (14.76 / 3600)</f>
        <v>3.7433333333333332E-2</v>
      </c>
    </row>
    <row r="60" spans="3:15" x14ac:dyDescent="0.35">
      <c r="C60" s="39">
        <v>21</v>
      </c>
      <c r="D60" s="37">
        <f xml:space="preserve"> 20 + (19 / 60) + (57.78 / 3600)</f>
        <v>20.332716666666666</v>
      </c>
      <c r="E60" s="37">
        <f xml:space="preserve"> (-6 / 60) + (24.02 / 3600)</f>
        <v>-9.3327777777777787E-2</v>
      </c>
      <c r="F60" s="37">
        <f xml:space="preserve"> 11 + (52 / 60) + (56.73 / 3600)</f>
        <v>11.882425000000001</v>
      </c>
      <c r="G60" s="37">
        <f xml:space="preserve"> (-2 / 60) + (59.4 / 3600)</f>
        <v>-1.6833333333333332E-2</v>
      </c>
      <c r="H60" s="37">
        <f xml:space="preserve"> 0 + (26 / 60) + (19.15 / 3600)</f>
        <v>0.43865277777777778</v>
      </c>
      <c r="I60" s="37">
        <f xml:space="preserve"> (7 / 60) + (7.61 / 3600)</f>
        <v>0.11878055555555556</v>
      </c>
      <c r="J60" s="37">
        <f xml:space="preserve"> -10 + (56 / 60) + (7.73 / 3600)</f>
        <v>-9.0645194444444446</v>
      </c>
      <c r="K60" s="37">
        <f xml:space="preserve"> (15 / 60) + (28.88 / 3600)</f>
        <v>0.25802222222222221</v>
      </c>
      <c r="L60" s="37">
        <f xml:space="preserve"> -20 + (3 / 60) + (25.89 / 3600)</f>
        <v>-19.942808333333332</v>
      </c>
      <c r="M60" s="37">
        <f xml:space="preserve"> (14 / 60) + (3.97 / 3600)</f>
        <v>0.23443611111111112</v>
      </c>
      <c r="N60" s="37">
        <f xml:space="preserve"> -23 + (26 / 60) + (9.44 / 3600)</f>
        <v>-22.564044444444445</v>
      </c>
      <c r="O60" s="37">
        <f xml:space="preserve"> (1 / 60) + (44.94 / 3600)</f>
        <v>2.9149999999999999E-2</v>
      </c>
    </row>
    <row r="61" spans="3:15" x14ac:dyDescent="0.35">
      <c r="C61" s="39">
        <v>22</v>
      </c>
      <c r="D61" s="37">
        <f xml:space="preserve"> 20 + (7 / 60) + (58.33 / 3600)</f>
        <v>20.132869444444445</v>
      </c>
      <c r="E61" s="37">
        <f xml:space="preserve"> (-6 / 60) + (26.25 / 3600)</f>
        <v>-9.2708333333333337E-2</v>
      </c>
      <c r="F61" s="37">
        <f xml:space="preserve"> 11 + (32 / 60) + (45.42 / 3600)</f>
        <v>11.545949999999999</v>
      </c>
      <c r="G61" s="37">
        <f xml:space="preserve"> (-2 / 60) + (44.1 / 3600)</f>
        <v>-2.1083333333333332E-2</v>
      </c>
      <c r="H61" s="37">
        <f xml:space="preserve"> 0 + (2 / 60) + (58.58 / 3600)</f>
        <v>4.9605555555555556E-2</v>
      </c>
      <c r="I61" s="37">
        <f xml:space="preserve"> (7 / 60) + (28.75 / 3600)</f>
        <v>0.12465277777777778</v>
      </c>
      <c r="J61" s="37">
        <f xml:space="preserve"> -11 + (17 / 60) + (17.83 / 3600)</f>
        <v>-10.711713888888889</v>
      </c>
      <c r="K61" s="37">
        <f xml:space="preserve"> (15 / 60) + (37.86 / 3600)</f>
        <v>0.26051666666666667</v>
      </c>
      <c r="L61" s="37">
        <f xml:space="preserve"> -20 + (16 / 60) + (14.49 / 3600)</f>
        <v>-19.729308333333336</v>
      </c>
      <c r="M61" s="37">
        <f xml:space="preserve"> (13 / 60) + (48.05 / 3600)</f>
        <v>0.23001388888888891</v>
      </c>
      <c r="N61" s="37">
        <f xml:space="preserve"> -23 + (25 / 60) + (54.63 / 3600)</f>
        <v>-22.568158333333333</v>
      </c>
      <c r="O61" s="37">
        <f xml:space="preserve"> (1 / 60) + (15.08 / 3600)</f>
        <v>2.0855555555555554E-2</v>
      </c>
    </row>
    <row r="62" spans="3:15" x14ac:dyDescent="0.35">
      <c r="C62" s="39">
        <v>23</v>
      </c>
      <c r="D62" s="37">
        <f xml:space="preserve"> 19 + (55 / 60) + (38.71 / 3600)</f>
        <v>19.927419444444446</v>
      </c>
      <c r="E62" s="37">
        <f xml:space="preserve"> (-6 / 60) + (27.9 / 3600)</f>
        <v>-9.2249999999999999E-2</v>
      </c>
      <c r="F62" s="37">
        <f xml:space="preserve"> 11 + (12 / 60) + (23.17 / 3600)</f>
        <v>11.20643611111111</v>
      </c>
      <c r="G62" s="37">
        <f xml:space="preserve"> (-2 / 60) + (28.35 / 3600)</f>
        <v>-2.5458333333333333E-2</v>
      </c>
      <c r="H62" s="38">
        <f xml:space="preserve"> 0 + (20 / 60) + (22.82 / 3600)</f>
        <v>0.33967222222222221</v>
      </c>
      <c r="I62" s="37">
        <f xml:space="preserve"> (7 / 60) + (49.78 / 3600)</f>
        <v>0.13049444444444444</v>
      </c>
      <c r="J62" s="37">
        <f xml:space="preserve"> -11 + (38 / 60) + (17.77 / 3600)</f>
        <v>-10.361730555555557</v>
      </c>
      <c r="K62" s="37">
        <f xml:space="preserve"> (15 / 60) + (46.16 / 3600)</f>
        <v>0.26282222222222223</v>
      </c>
      <c r="L62" s="37">
        <f xml:space="preserve"> -20 + (28 / 60) + (40.73 / 3600)</f>
        <v>-19.522019444444446</v>
      </c>
      <c r="M62" s="37">
        <f xml:space="preserve"> (13 / 60) + (31.35 / 3600)</f>
        <v>0.22537500000000002</v>
      </c>
      <c r="N62" s="37">
        <f xml:space="preserve"> -23 + (25 / 60) + (11.58 / 3600)</f>
        <v>-22.580116666666665</v>
      </c>
      <c r="O62" s="37">
        <f xml:space="preserve"> (0 / 60) + (45.21 / 3600)</f>
        <v>1.2558333333333333E-2</v>
      </c>
    </row>
    <row r="63" spans="3:15" x14ac:dyDescent="0.35">
      <c r="C63" s="39">
        <v>24</v>
      </c>
      <c r="D63" s="37">
        <f xml:space="preserve"> 19 + (42 / 60) + (59.17 / 3600)</f>
        <v>19.716436111111111</v>
      </c>
      <c r="E63" s="37">
        <f xml:space="preserve"> (-6 / 60) + (28.96 / 3600)</f>
        <v>-9.1955555555555568E-2</v>
      </c>
      <c r="F63" s="37">
        <f xml:space="preserve"> 10 + (51 / 60) + (50.28 / 3600)</f>
        <v>10.863966666666666</v>
      </c>
      <c r="G63" s="37">
        <f xml:space="preserve"> (-2 / 60) + (12.18 / 3600)</f>
        <v>-2.9950000000000001E-2</v>
      </c>
      <c r="H63" s="38">
        <f xml:space="preserve"> 0 + (43 / 60) + (44.7 / 3600)</f>
        <v>0.72908333333333331</v>
      </c>
      <c r="I63" s="37">
        <f xml:space="preserve"> (8 / 60) + (10.67 / 3600)</f>
        <v>0.13629722222222221</v>
      </c>
      <c r="J63" s="37">
        <f xml:space="preserve"> -11 + (59 / 60) + (7.13 / 3600)</f>
        <v>-10.014686111111113</v>
      </c>
      <c r="K63" s="37">
        <f xml:space="preserve"> (15 / 60) + (53.76 / 3600)</f>
        <v>0.26493333333333335</v>
      </c>
      <c r="L63" s="37">
        <f xml:space="preserve"> -20 + (40 / 60) + (44.24 / 3600)</f>
        <v>-19.321044444444443</v>
      </c>
      <c r="M63" s="37">
        <f xml:space="preserve"> (13 / 60) + (13.87 / 3600)</f>
        <v>0.22051944444444446</v>
      </c>
      <c r="N63" s="37">
        <f xml:space="preserve"> -23 + (24 / 60) + (0.28 / 3600)</f>
        <v>-22.599922222222222</v>
      </c>
      <c r="O63" s="37">
        <f xml:space="preserve"> (0 / 60) + (15.39 / 3600)</f>
        <v>4.2750000000000002E-3</v>
      </c>
    </row>
    <row r="64" spans="3:15" x14ac:dyDescent="0.35">
      <c r="C64" s="39">
        <v>25</v>
      </c>
      <c r="D64" s="37">
        <f xml:space="preserve"> 19 + (29 / 60) + (59.98 / 3600)</f>
        <v>19.499994444444447</v>
      </c>
      <c r="E64" s="37">
        <f xml:space="preserve"> (-6 / 60) + (29.44 / 3600)</f>
        <v>-9.1822222222222222E-2</v>
      </c>
      <c r="F64" s="37">
        <f xml:space="preserve"> 10 + (31 / 60) + (7.07 / 3600)</f>
        <v>10.518630555555557</v>
      </c>
      <c r="G64" s="37">
        <f xml:space="preserve"> (-1 / 60) + (55.59 / 3600)</f>
        <v>-1.2249999999999987E-3</v>
      </c>
      <c r="H64" s="37">
        <f xml:space="preserve"> -1 + (7 / 60) + (6.72 / 3600)</f>
        <v>-0.88146666666666662</v>
      </c>
      <c r="I64" s="37">
        <f xml:space="preserve"> (8 / 60) + (31.4 / 3600)</f>
        <v>0.14205555555555555</v>
      </c>
      <c r="J64" s="37">
        <f xml:space="preserve"> -12 + (19 / 60) + (45.52 / 3600)</f>
        <v>-11.67068888888889</v>
      </c>
      <c r="K64" s="37">
        <f xml:space="preserve"> (16 / 60) + (0.65 / 3600)</f>
        <v>0.26684722222222224</v>
      </c>
      <c r="L64" s="37">
        <f xml:space="preserve"> -20 + (52 / 60) + (24.7 / 3600)</f>
        <v>-19.126472222222223</v>
      </c>
      <c r="M64" s="37">
        <f xml:space="preserve"> (12 / 60) + (55.64 / 3600)</f>
        <v>0.21545555555555557</v>
      </c>
      <c r="N64" s="37">
        <f xml:space="preserve"> -23 + (22 / 60) + (20.76 / 3600)</f>
        <v>-22.627566666666667</v>
      </c>
      <c r="O64" s="38">
        <f xml:space="preserve"> (0 / 60) + (14.37 / 3600)</f>
        <v>3.9916666666666668E-3</v>
      </c>
    </row>
    <row r="65" spans="3:15" x14ac:dyDescent="0.35">
      <c r="C65" s="39">
        <v>26</v>
      </c>
      <c r="D65" s="37">
        <f xml:space="preserve"> 19 + (16 / 60) + (41.41 / 3600)</f>
        <v>19.278169444444444</v>
      </c>
      <c r="E65" s="37">
        <f xml:space="preserve"> (-6 / 60) + (29.32 / 3600)</f>
        <v>-9.1855555555555565E-2</v>
      </c>
      <c r="F65" s="37">
        <f xml:space="preserve"> 10 + (10 / 60) + (13.87 / 3600)</f>
        <v>10.170519444444444</v>
      </c>
      <c r="G65" s="37">
        <f xml:space="preserve"> (-1 / 60) + (38.61 / 3600)</f>
        <v>-5.9416666666666663E-3</v>
      </c>
      <c r="H65" s="37">
        <f xml:space="preserve"> -1 + (30 / 60) + (28.54 / 3600)</f>
        <v>-0.49207222222222224</v>
      </c>
      <c r="I65" s="37">
        <f xml:space="preserve"> (8 / 60) + (51.96 / 3600)</f>
        <v>0.14776666666666666</v>
      </c>
      <c r="J65" s="37">
        <f xml:space="preserve"> -12 + (40 / 60) + (12.55 / 3600)</f>
        <v>-11.329847222222222</v>
      </c>
      <c r="K65" s="37">
        <f xml:space="preserve"> (16 / 60) + (6.81 / 3600)</f>
        <v>0.26855833333333334</v>
      </c>
      <c r="L65" s="37">
        <f xml:space="preserve"> -21 + (3 / 60) + (41.78 / 3600)</f>
        <v>-20.938394444444445</v>
      </c>
      <c r="M65" s="37">
        <f xml:space="preserve"> (12 / 60) + (36.66 / 3600)</f>
        <v>0.21018333333333333</v>
      </c>
      <c r="N65" s="37">
        <f xml:space="preserve"> -23 + (20 / 60) + (13.08 / 3600)</f>
        <v>-22.663033333333335</v>
      </c>
      <c r="O65" s="38">
        <f xml:space="preserve"> (0 / 60) + (44.03 / 3600)</f>
        <v>1.2230555555555555E-2</v>
      </c>
    </row>
    <row r="66" spans="3:15" x14ac:dyDescent="0.35">
      <c r="C66" s="39">
        <v>27</v>
      </c>
      <c r="D66" s="37">
        <f xml:space="preserve"> 19 + (3 / 60) + (3.72 / 3600)</f>
        <v>19.051033333333333</v>
      </c>
      <c r="E66" s="37">
        <f xml:space="preserve"> (-6 / 60) + (28.59 / 3600)</f>
        <v>-9.2058333333333339E-2</v>
      </c>
      <c r="F66" s="37">
        <f xml:space="preserve"> 9 + (49 / 60) + (10.99 / 3600)</f>
        <v>9.8197194444444449</v>
      </c>
      <c r="G66" s="37">
        <f xml:space="preserve"> (-1 / 60) + (21.24 / 3600)</f>
        <v>-1.0766666666666667E-2</v>
      </c>
      <c r="H66" s="37">
        <f xml:space="preserve"> -1 + (53 / 60) + (49.82 / 3600)</f>
        <v>-0.10282777777777781</v>
      </c>
      <c r="I66" s="37">
        <f xml:space="preserve"> (9 / 60) + (12.31 / 3600)</f>
        <v>0.15341944444444444</v>
      </c>
      <c r="J66" s="37">
        <f xml:space="preserve"> -13 + (0 / 60) + (27.8 / 3600)</f>
        <v>-12.992277777777778</v>
      </c>
      <c r="K66" s="37">
        <f xml:space="preserve"> (16 / 60) + (12.23 / 3600)</f>
        <v>0.27006388888888888</v>
      </c>
      <c r="L66" s="37">
        <f xml:space="preserve"> -21 + (14 / 60) + (35.13 / 3600)</f>
        <v>-20.756908333333332</v>
      </c>
      <c r="M66" s="37">
        <f xml:space="preserve"> (12 / 60) + (16.95 / 3600)</f>
        <v>0.20470833333333335</v>
      </c>
      <c r="N66" s="37">
        <f xml:space="preserve"> -23 + (17 / 60) + (37.28 / 3600)</f>
        <v>-22.706311111111109</v>
      </c>
      <c r="O66" s="37">
        <f xml:space="preserve"> (-1 / 60) + (13.55 / 3600)</f>
        <v>-1.2902777777777777E-2</v>
      </c>
    </row>
    <row r="67" spans="3:15" x14ac:dyDescent="0.35">
      <c r="C67" s="39">
        <v>28</v>
      </c>
      <c r="D67" s="37">
        <f xml:space="preserve"> 18 + (49 / 60) + (7.18 / 3600)</f>
        <v>18.818661111111112</v>
      </c>
      <c r="E67" s="37">
        <f xml:space="preserve"> (-6 / 60) + (27.27 / 3600)</f>
        <v>-9.2425000000000007E-2</v>
      </c>
      <c r="F67" s="37">
        <f xml:space="preserve"> 9 + (27 / 60) + (58.75 / 3600)</f>
        <v>9.4663194444444443</v>
      </c>
      <c r="G67" s="37">
        <f xml:space="preserve"> (-1 / 60) + (3.5 / 3600)</f>
        <v>-1.5694444444444445E-2</v>
      </c>
      <c r="H67" s="37">
        <f xml:space="preserve"> -2 + (17 / 60) + (10.2 / 3600)</f>
        <v>-1.7138333333333335</v>
      </c>
      <c r="I67" s="37">
        <f xml:space="preserve"> (9 / 60) + (32.44 / 3600)</f>
        <v>0.1590111111111111</v>
      </c>
      <c r="J67" s="37">
        <f xml:space="preserve"> -13 + (20 / 60) + (30.89 / 3600)</f>
        <v>-12.65808611111111</v>
      </c>
      <c r="K67" s="37">
        <f xml:space="preserve"> (16 / 60) + (16.9 / 3600)</f>
        <v>0.27136111111111111</v>
      </c>
      <c r="L67" s="37">
        <f xml:space="preserve"> -21 + (25 / 60) + (4.46 / 3600)</f>
        <v>-20.582094444444444</v>
      </c>
      <c r="M67" s="37">
        <f xml:space="preserve"> (11 / 60) + (56.53 / 3600)</f>
        <v>0.19903611111111111</v>
      </c>
      <c r="N67" s="37">
        <f xml:space="preserve"> -23 + (14 / 60) + (33.43 / 3600)</f>
        <v>-22.757380555555553</v>
      </c>
      <c r="O67" s="37">
        <f xml:space="preserve"> (-1 / 60) + (42.9 / 3600)</f>
        <v>-4.7500000000000007E-3</v>
      </c>
    </row>
    <row r="68" spans="3:15" x14ac:dyDescent="0.35">
      <c r="C68" s="39">
        <v>29</v>
      </c>
      <c r="D68" s="37">
        <f xml:space="preserve"> 18 + (34 / 60) + (52.08 / 3600)</f>
        <v>18.581133333333334</v>
      </c>
      <c r="E68" s="37">
        <f xml:space="preserve"> (-6 / 60) + (25.34 / 3600)</f>
        <v>-9.2961111111111119E-2</v>
      </c>
      <c r="F68" s="37">
        <f xml:space="preserve"> 9 + (6 / 60) + (37.48 / 3600)</f>
        <v>9.1104111111111106</v>
      </c>
      <c r="G68" s="38">
        <f xml:space="preserve"> (0 / 60) + (45.41 / 3600)</f>
        <v>1.2613888888888888E-2</v>
      </c>
      <c r="H68" s="37">
        <f xml:space="preserve"> -2 + (40 / 60) + (29.34 / 3600)</f>
        <v>-1.3251833333333334</v>
      </c>
      <c r="I68" s="37">
        <f xml:space="preserve"> (9 / 60) + (52.33 / 3600)</f>
        <v>0.16453611111111111</v>
      </c>
      <c r="J68" s="37">
        <f xml:space="preserve"> -13 + (40 / 60) + (21.41 / 3600)</f>
        <v>-12.327386111111112</v>
      </c>
      <c r="K68" s="37">
        <f xml:space="preserve"> (16 / 60) + (20.81 / 3600)</f>
        <v>0.27244722222222223</v>
      </c>
      <c r="L68" s="37">
        <f xml:space="preserve"> -21 + (35 / 60) + (9.45 / 3600)</f>
        <v>-20.41404166666667</v>
      </c>
      <c r="M68" s="37">
        <f xml:space="preserve"> (11 / 60) + (35.42 / 3600)</f>
        <v>0.19317222222222222</v>
      </c>
      <c r="N68" s="37">
        <f xml:space="preserve"> -23 + (11 / 60) + (1.63 / 3600)</f>
        <v>-22.816213888888889</v>
      </c>
      <c r="O68" s="37">
        <f xml:space="preserve"> (-2 / 60) + (12.05 / 3600)</f>
        <v>-2.9986111111111109E-2</v>
      </c>
    </row>
    <row r="69" spans="3:15" x14ac:dyDescent="0.35">
      <c r="C69" s="39">
        <v>30</v>
      </c>
      <c r="D69" s="37">
        <f xml:space="preserve"> 18 + (20 / 60) + (18.7 / 3600)</f>
        <v>18.338527777777777</v>
      </c>
      <c r="E69" s="37">
        <f xml:space="preserve"> (-6 / 60) + (22.8 / 3600)</f>
        <v>-9.3666666666666676E-2</v>
      </c>
      <c r="F69" s="37">
        <f xml:space="preserve"> 8 + (45 / 60) + (7.49 / 3600)</f>
        <v>8.7520805555555548</v>
      </c>
      <c r="G69" s="38">
        <f xml:space="preserve"> (0 / 60) + (26.98 / 3600)</f>
        <v>7.4944444444444442E-3</v>
      </c>
      <c r="H69" s="37">
        <f xml:space="preserve"> -3 + (3 / 60) + (46.89 / 3600)</f>
        <v>-2.9369750000000003</v>
      </c>
      <c r="I69" s="37">
        <f xml:space="preserve"> (10 / 60) + (11.96 / 3600)</f>
        <v>0.16998888888888888</v>
      </c>
      <c r="J69" s="37">
        <f xml:space="preserve"> -13 + (59 / 60) + (58.94 / 3600)</f>
        <v>-12.000294444444446</v>
      </c>
      <c r="K69" s="37">
        <f xml:space="preserve"> (16 / 60) + (23.94 / 3600)</f>
        <v>0.27331666666666665</v>
      </c>
      <c r="L69" s="37">
        <f xml:space="preserve"> -21 + (44 / 60) + (49.8 / 3600)</f>
        <v>-20.252833333333331</v>
      </c>
      <c r="M69" s="37">
        <f xml:space="preserve"> (11 / 60) + (13.63 / 3600)</f>
        <v>0.18711944444444442</v>
      </c>
      <c r="N69" s="37">
        <f xml:space="preserve"> -23 + (7 / 60) + (1.98 / 3600)</f>
        <v>-22.882783333333332</v>
      </c>
      <c r="O69" s="37">
        <f xml:space="preserve"> (-2 / 60) + (40.97 / 3600)</f>
        <v>-2.1952777777777779E-2</v>
      </c>
    </row>
    <row r="70" spans="3:15" x14ac:dyDescent="0.35">
      <c r="C70" s="39">
        <v>31</v>
      </c>
      <c r="D70" s="37">
        <f xml:space="preserve"> 18 + (5 / 60) + (27.31 / 3600)</f>
        <v>18.090919444444442</v>
      </c>
      <c r="E70" s="37">
        <f xml:space="preserve"> (-6 / 60) + (19.66 / 3600)</f>
        <v>-9.4538888888888895E-2</v>
      </c>
      <c r="F70" s="37">
        <f xml:space="preserve"> 8 + (23 / 60) + (29.11 / 3600)</f>
        <v>8.3914194444444448</v>
      </c>
      <c r="G70" s="38">
        <f xml:space="preserve"> (0 / 60) + (8.23 / 3600)</f>
        <v>2.2861111111111112E-3</v>
      </c>
      <c r="H70" s="37"/>
      <c r="I70" s="37"/>
      <c r="J70" s="37">
        <f xml:space="preserve"> -14 + (19 / 60) + (23.1 / 3600)</f>
        <v>-13.676916666666667</v>
      </c>
      <c r="K70" s="37">
        <f xml:space="preserve"> (16 / 60) + (26.28 / 3600)</f>
        <v>0.27396666666666664</v>
      </c>
      <c r="L70" s="37"/>
      <c r="M70" s="37"/>
      <c r="N70" s="37">
        <f xml:space="preserve"> -23 + (2 / 60) + (34.58 / 3600)</f>
        <v>-22.957061111111109</v>
      </c>
      <c r="O70" s="37">
        <f xml:space="preserve"> (-3 / 60) + (9.61 / 3600)</f>
        <v>-4.7330555555555556E-2</v>
      </c>
    </row>
  </sheetData>
  <mergeCells count="14">
    <mergeCell ref="N3:O3"/>
    <mergeCell ref="C38:C39"/>
    <mergeCell ref="D38:E38"/>
    <mergeCell ref="F38:G38"/>
    <mergeCell ref="H38:I38"/>
    <mergeCell ref="J38:K38"/>
    <mergeCell ref="L38:M38"/>
    <mergeCell ref="N38:O38"/>
    <mergeCell ref="C3:C4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60DD-0364-4961-92AC-4366302DA539}">
  <dimension ref="B2:N72"/>
  <sheetViews>
    <sheetView workbookViewId="0">
      <selection activeCell="N4" sqref="N4"/>
    </sheetView>
  </sheetViews>
  <sheetFormatPr defaultRowHeight="14.5" x14ac:dyDescent="0.35"/>
  <cols>
    <col min="3" max="3" width="12" customWidth="1"/>
    <col min="7" max="7" width="10.7265625" customWidth="1"/>
    <col min="8" max="8" width="10.6328125" customWidth="1"/>
    <col min="9" max="9" width="10.453125" customWidth="1"/>
    <col min="10" max="10" width="10.54296875" customWidth="1"/>
    <col min="11" max="11" width="12.1796875" customWidth="1"/>
    <col min="12" max="12" width="10.26953125" customWidth="1"/>
    <col min="13" max="13" width="11.36328125" customWidth="1"/>
    <col min="14" max="14" width="11.1796875" customWidth="1"/>
  </cols>
  <sheetData>
    <row r="2" spans="2:14" ht="15" thickBot="1" x14ac:dyDescent="0.4"/>
    <row r="3" spans="2:14" ht="16" thickBot="1" x14ac:dyDescent="0.4">
      <c r="B3" s="15"/>
      <c r="C3" s="66" t="s">
        <v>11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8"/>
    </row>
    <row r="4" spans="2:14" ht="16" thickBot="1" x14ac:dyDescent="0.4">
      <c r="B4" s="15"/>
      <c r="C4" s="14" t="s">
        <v>94</v>
      </c>
      <c r="D4" s="14" t="s">
        <v>95</v>
      </c>
      <c r="E4" s="66" t="s">
        <v>96</v>
      </c>
      <c r="F4" s="68"/>
      <c r="G4" s="14" t="s">
        <v>97</v>
      </c>
      <c r="H4" s="14" t="s">
        <v>98</v>
      </c>
      <c r="I4" s="14" t="s">
        <v>99</v>
      </c>
      <c r="J4" s="14" t="s">
        <v>100</v>
      </c>
      <c r="K4" s="14" t="s">
        <v>101</v>
      </c>
      <c r="L4" s="14" t="s">
        <v>102</v>
      </c>
      <c r="M4" s="14" t="s">
        <v>103</v>
      </c>
      <c r="N4" s="14" t="s">
        <v>104</v>
      </c>
    </row>
    <row r="5" spans="2:14" ht="16" thickBot="1" x14ac:dyDescent="0.4">
      <c r="C5" s="16"/>
      <c r="D5" s="16" t="s">
        <v>105</v>
      </c>
      <c r="E5" s="16" t="s">
        <v>106</v>
      </c>
      <c r="F5" s="16" t="s">
        <v>107</v>
      </c>
      <c r="G5" s="16" t="s">
        <v>108</v>
      </c>
      <c r="H5" s="16" t="s">
        <v>109</v>
      </c>
      <c r="I5" s="16" t="s">
        <v>2</v>
      </c>
      <c r="J5" s="16" t="s">
        <v>5</v>
      </c>
      <c r="K5" s="16" t="s">
        <v>110</v>
      </c>
      <c r="L5" s="16" t="s">
        <v>111</v>
      </c>
      <c r="M5" s="16" t="s">
        <v>112</v>
      </c>
      <c r="N5" s="16" t="s">
        <v>113</v>
      </c>
    </row>
    <row r="6" spans="2:14" ht="16" thickBot="1" x14ac:dyDescent="0.4">
      <c r="C6" s="13">
        <v>-180</v>
      </c>
      <c r="D6" s="13">
        <v>1884298</v>
      </c>
      <c r="E6" s="13">
        <v>6</v>
      </c>
      <c r="F6" s="13">
        <v>0</v>
      </c>
      <c r="G6" s="13">
        <v>255.21420000000001</v>
      </c>
      <c r="H6" s="13">
        <v>358.8716</v>
      </c>
      <c r="I6" s="13" t="s">
        <v>114</v>
      </c>
      <c r="J6" s="13">
        <v>21.440200000000001</v>
      </c>
      <c r="K6" s="13">
        <v>345.66969999999998</v>
      </c>
      <c r="L6" s="13">
        <v>13.8454</v>
      </c>
      <c r="M6" s="13">
        <v>23.639324999999999</v>
      </c>
      <c r="N6" s="13">
        <v>321.97550000000001</v>
      </c>
    </row>
    <row r="7" spans="2:14" ht="16" thickBot="1" x14ac:dyDescent="0.4">
      <c r="C7" s="13">
        <v>-150</v>
      </c>
      <c r="D7" s="13">
        <v>1894929</v>
      </c>
      <c r="E7" s="13">
        <v>4</v>
      </c>
      <c r="F7" s="13">
        <v>1</v>
      </c>
      <c r="G7" s="13">
        <v>293.62860000000001</v>
      </c>
      <c r="H7" s="13">
        <v>36.7896</v>
      </c>
      <c r="I7" s="13">
        <v>307.34230000000002</v>
      </c>
      <c r="J7" s="13" t="s">
        <v>631</v>
      </c>
      <c r="K7" s="13">
        <v>226.92250000000001</v>
      </c>
      <c r="L7" s="13" t="s">
        <v>115</v>
      </c>
      <c r="M7" s="13">
        <v>23.635645</v>
      </c>
      <c r="N7" s="13">
        <v>0.3891</v>
      </c>
    </row>
    <row r="8" spans="2:14" ht="16" thickBot="1" x14ac:dyDescent="0.4">
      <c r="C8" s="13">
        <v>-120</v>
      </c>
      <c r="D8" s="13">
        <v>1905560</v>
      </c>
      <c r="E8" s="13">
        <v>2</v>
      </c>
      <c r="F8" s="13">
        <v>2</v>
      </c>
      <c r="G8" s="13" t="s">
        <v>116</v>
      </c>
      <c r="H8" s="13">
        <v>74.707700000000003</v>
      </c>
      <c r="I8" s="13">
        <v>345.62540000000001</v>
      </c>
      <c r="J8" s="13">
        <v>249.16720000000001</v>
      </c>
      <c r="K8" s="13">
        <v>108.1747</v>
      </c>
      <c r="L8" s="13">
        <v>13.5829</v>
      </c>
      <c r="M8" s="13">
        <v>23.631962000000001</v>
      </c>
      <c r="N8" s="13">
        <v>38.802900000000001</v>
      </c>
    </row>
    <row r="9" spans="2:14" ht="16" thickBot="1" x14ac:dyDescent="0.4">
      <c r="C9" s="13">
        <v>-90</v>
      </c>
      <c r="D9" s="13">
        <v>1916191</v>
      </c>
      <c r="E9" s="13">
        <v>0</v>
      </c>
      <c r="F9" s="13">
        <v>3</v>
      </c>
      <c r="G9" s="13" t="s">
        <v>117</v>
      </c>
      <c r="H9" s="13">
        <v>112.62560000000001</v>
      </c>
      <c r="I9" s="13">
        <v>23.908200000000001</v>
      </c>
      <c r="J9" s="13">
        <v>183.03270000000001</v>
      </c>
      <c r="K9" s="13">
        <v>349.4264</v>
      </c>
      <c r="L9" s="13">
        <v>13.4512</v>
      </c>
      <c r="M9" s="13">
        <v>23.628274999999999</v>
      </c>
      <c r="N9" s="13">
        <v>77.216700000000003</v>
      </c>
    </row>
    <row r="10" spans="2:14" ht="16" thickBot="1" x14ac:dyDescent="0.4">
      <c r="C10" s="13">
        <v>-60</v>
      </c>
      <c r="D10" s="13">
        <v>1926822</v>
      </c>
      <c r="E10" s="13">
        <v>5</v>
      </c>
      <c r="F10" s="13">
        <v>4</v>
      </c>
      <c r="G10" s="13" t="s">
        <v>118</v>
      </c>
      <c r="H10" s="13">
        <v>150.54349999999999</v>
      </c>
      <c r="I10" s="13">
        <v>62.1907</v>
      </c>
      <c r="J10" s="13">
        <v>116.8997</v>
      </c>
      <c r="K10" s="13">
        <v>230.67750000000001</v>
      </c>
      <c r="L10" s="13">
        <v>13.3192</v>
      </c>
      <c r="M10" s="13">
        <v>23.624583999999999</v>
      </c>
      <c r="N10" s="13">
        <v>115.6305</v>
      </c>
    </row>
    <row r="11" spans="2:14" ht="16" thickBot="1" x14ac:dyDescent="0.4">
      <c r="C11" s="13">
        <v>-30</v>
      </c>
      <c r="D11" s="13">
        <v>1937453</v>
      </c>
      <c r="E11" s="13">
        <v>3</v>
      </c>
      <c r="F11" s="13">
        <v>0</v>
      </c>
      <c r="G11" s="13">
        <v>87.286600000000007</v>
      </c>
      <c r="H11" s="13">
        <v>188.4614</v>
      </c>
      <c r="I11" s="13" t="s">
        <v>644</v>
      </c>
      <c r="J11" s="13">
        <v>50.768099999999997</v>
      </c>
      <c r="K11" s="13" t="s">
        <v>624</v>
      </c>
      <c r="L11" s="13">
        <v>13.1869</v>
      </c>
      <c r="M11" s="13">
        <v>23.620888999999998</v>
      </c>
      <c r="N11" s="13">
        <v>154.0445</v>
      </c>
    </row>
    <row r="12" spans="2:14" ht="16" thickBot="1" x14ac:dyDescent="0.4">
      <c r="C12" s="13">
        <v>0</v>
      </c>
      <c r="D12" s="13">
        <v>1948084</v>
      </c>
      <c r="E12" s="13">
        <v>1</v>
      </c>
      <c r="F12" s="13">
        <v>1</v>
      </c>
      <c r="G12" s="13">
        <v>125.7012</v>
      </c>
      <c r="H12" s="13">
        <v>226.37909999999999</v>
      </c>
      <c r="I12" s="13">
        <v>138.7551</v>
      </c>
      <c r="J12" s="13">
        <v>344.63780000000003</v>
      </c>
      <c r="K12" s="13">
        <v>353.17790000000002</v>
      </c>
      <c r="L12" s="13">
        <v>13.0543</v>
      </c>
      <c r="M12" s="13">
        <v>23.617190999999998</v>
      </c>
      <c r="N12" s="13">
        <v>192.45849999999999</v>
      </c>
    </row>
    <row r="13" spans="2:14" ht="16" thickBot="1" x14ac:dyDescent="0.4">
      <c r="C13" s="13">
        <v>30</v>
      </c>
      <c r="D13" s="13">
        <v>1958715</v>
      </c>
      <c r="E13" s="13">
        <v>6</v>
      </c>
      <c r="F13" s="13">
        <v>2</v>
      </c>
      <c r="G13" s="13">
        <v>164.11590000000001</v>
      </c>
      <c r="H13" s="13">
        <v>264.29689999999999</v>
      </c>
      <c r="I13" s="13">
        <v>177.0369</v>
      </c>
      <c r="J13" s="13" t="s">
        <v>632</v>
      </c>
      <c r="K13" s="13">
        <v>234.4273</v>
      </c>
      <c r="L13" s="13">
        <v>12.9214</v>
      </c>
      <c r="M13" s="13">
        <v>23.613489000000001</v>
      </c>
      <c r="N13" s="13">
        <v>230.8725</v>
      </c>
    </row>
    <row r="14" spans="2:14" ht="16" thickBot="1" x14ac:dyDescent="0.4">
      <c r="C14" s="13">
        <v>60</v>
      </c>
      <c r="D14" s="13">
        <v>1969346</v>
      </c>
      <c r="E14" s="13">
        <v>4</v>
      </c>
      <c r="F14" s="13">
        <v>3</v>
      </c>
      <c r="G14" s="13">
        <v>202.53059999999999</v>
      </c>
      <c r="H14" s="13">
        <v>302.21469999999999</v>
      </c>
      <c r="I14" s="13">
        <v>215.3185</v>
      </c>
      <c r="J14" s="13">
        <v>212.38159999999999</v>
      </c>
      <c r="K14" s="13">
        <v>115.67610000000001</v>
      </c>
      <c r="L14" s="13">
        <v>12.7883</v>
      </c>
      <c r="M14" s="13">
        <v>23.609783</v>
      </c>
      <c r="N14" s="13">
        <v>269.2867</v>
      </c>
    </row>
    <row r="15" spans="2:14" ht="16" thickBot="1" x14ac:dyDescent="0.4">
      <c r="C15" s="13">
        <v>90</v>
      </c>
      <c r="D15" s="13">
        <v>1979977</v>
      </c>
      <c r="E15" s="13">
        <v>2</v>
      </c>
      <c r="F15" s="13">
        <v>4</v>
      </c>
      <c r="G15" s="13">
        <v>240.94540000000001</v>
      </c>
      <c r="H15" s="13">
        <v>340.13249999999999</v>
      </c>
      <c r="I15" s="13">
        <v>253.59989999999999</v>
      </c>
      <c r="J15" s="13">
        <v>146.25569999999999</v>
      </c>
      <c r="K15" s="13">
        <v>356.92430000000002</v>
      </c>
      <c r="L15" s="13">
        <v>12.6548</v>
      </c>
      <c r="M15" s="13">
        <v>23.606074</v>
      </c>
      <c r="N15" s="13">
        <v>307.70089999999999</v>
      </c>
    </row>
    <row r="16" spans="2:14" ht="16" thickBot="1" x14ac:dyDescent="0.4">
      <c r="C16" s="13">
        <v>120</v>
      </c>
      <c r="D16" s="13">
        <v>1990608</v>
      </c>
      <c r="E16" s="13">
        <v>0</v>
      </c>
      <c r="F16" s="13">
        <v>0</v>
      </c>
      <c r="G16" s="13">
        <v>279.36020000000002</v>
      </c>
      <c r="H16" s="13">
        <v>18.0502</v>
      </c>
      <c r="I16" s="13" t="s">
        <v>645</v>
      </c>
      <c r="J16" s="13">
        <v>80.131100000000004</v>
      </c>
      <c r="K16" s="13">
        <v>238.172</v>
      </c>
      <c r="L16" s="13">
        <v>12.521100000000001</v>
      </c>
      <c r="M16" s="13">
        <v>23.602361999999999</v>
      </c>
      <c r="N16" s="13">
        <v>346.11509999999998</v>
      </c>
    </row>
    <row r="17" spans="3:14" ht="16" thickBot="1" x14ac:dyDescent="0.4">
      <c r="C17" s="13">
        <v>150</v>
      </c>
      <c r="D17" s="13">
        <v>2001239</v>
      </c>
      <c r="E17" s="13">
        <v>5</v>
      </c>
      <c r="F17" s="13">
        <v>1</v>
      </c>
      <c r="G17" s="13">
        <v>317.77510000000001</v>
      </c>
      <c r="H17" s="13" t="s">
        <v>642</v>
      </c>
      <c r="I17" s="13">
        <v>330.1619</v>
      </c>
      <c r="J17" s="13" t="s">
        <v>633</v>
      </c>
      <c r="K17" s="13">
        <v>119.4191</v>
      </c>
      <c r="L17" s="13">
        <v>12.3871</v>
      </c>
      <c r="M17" s="13">
        <v>23.598647</v>
      </c>
      <c r="N17" s="13">
        <v>24.529499999999999</v>
      </c>
    </row>
    <row r="18" spans="3:14" ht="16" thickBot="1" x14ac:dyDescent="0.4">
      <c r="C18" s="13">
        <v>180</v>
      </c>
      <c r="D18" s="13">
        <v>2011870</v>
      </c>
      <c r="E18" s="13">
        <v>3</v>
      </c>
      <c r="F18" s="13">
        <v>2</v>
      </c>
      <c r="G18" s="13">
        <v>356.19009999999997</v>
      </c>
      <c r="H18" s="13">
        <v>93.885599999999997</v>
      </c>
      <c r="I18" s="13">
        <v>8.4425000000000008</v>
      </c>
      <c r="J18" s="13">
        <v>307.88619999999997</v>
      </c>
      <c r="K18" s="13">
        <v>0.66559999999999997</v>
      </c>
      <c r="L18" s="13">
        <v>12.252800000000001</v>
      </c>
      <c r="M18" s="13">
        <v>23.594927999999999</v>
      </c>
      <c r="N18" s="13">
        <v>62.943899999999999</v>
      </c>
    </row>
    <row r="19" spans="3:14" ht="16" thickBot="1" x14ac:dyDescent="0.4">
      <c r="C19" s="13">
        <v>210</v>
      </c>
      <c r="D19" s="13">
        <v>2022501</v>
      </c>
      <c r="E19" s="13">
        <v>1</v>
      </c>
      <c r="F19" s="13">
        <v>3</v>
      </c>
      <c r="G19" s="13" t="s">
        <v>119</v>
      </c>
      <c r="H19" s="13">
        <v>131.80330000000001</v>
      </c>
      <c r="I19" s="13">
        <v>46.722900000000003</v>
      </c>
      <c r="J19" s="13" t="s">
        <v>634</v>
      </c>
      <c r="K19" s="13">
        <v>241.91149999999999</v>
      </c>
      <c r="L19" s="13">
        <v>12.1182</v>
      </c>
      <c r="M19" s="13">
        <v>23.591207000000001</v>
      </c>
      <c r="N19" s="13">
        <v>101.3583</v>
      </c>
    </row>
    <row r="20" spans="3:14" ht="16" thickBot="1" x14ac:dyDescent="0.4">
      <c r="C20" s="13">
        <v>240</v>
      </c>
      <c r="D20" s="13">
        <v>2033132</v>
      </c>
      <c r="E20" s="13">
        <v>6</v>
      </c>
      <c r="F20" s="13">
        <v>4</v>
      </c>
      <c r="G20" s="13">
        <v>73.020099999999999</v>
      </c>
      <c r="H20" s="13" t="s">
        <v>643</v>
      </c>
      <c r="I20" s="13">
        <v>83.003100000000003</v>
      </c>
      <c r="J20" s="13">
        <v>175.64709999999999</v>
      </c>
      <c r="K20" s="13">
        <v>123.1568</v>
      </c>
      <c r="L20" s="13">
        <v>11.9833</v>
      </c>
      <c r="M20" s="13">
        <v>23.587482000000001</v>
      </c>
      <c r="N20" s="13">
        <v>139.77289999999999</v>
      </c>
    </row>
    <row r="21" spans="3:14" ht="16" thickBot="1" x14ac:dyDescent="0.4">
      <c r="C21" s="13">
        <v>270</v>
      </c>
      <c r="D21" s="13">
        <v>2043763</v>
      </c>
      <c r="E21" s="13">
        <v>4</v>
      </c>
      <c r="F21" s="13">
        <v>0</v>
      </c>
      <c r="G21" s="13">
        <v>111.43519999999999</v>
      </c>
      <c r="H21" s="13">
        <v>207.6386</v>
      </c>
      <c r="I21" s="13" t="s">
        <v>646</v>
      </c>
      <c r="J21" s="13">
        <v>109.52970000000001</v>
      </c>
      <c r="K21" s="13">
        <v>4.4016000000000002</v>
      </c>
      <c r="L21" s="13">
        <v>11.848100000000001</v>
      </c>
      <c r="M21" s="13">
        <v>23.583753999999999</v>
      </c>
      <c r="N21" s="13">
        <v>178.1874</v>
      </c>
    </row>
    <row r="22" spans="3:14" ht="16" thickBot="1" x14ac:dyDescent="0.4">
      <c r="C22" s="13">
        <v>300</v>
      </c>
      <c r="D22" s="13">
        <v>2054394</v>
      </c>
      <c r="E22" s="13">
        <v>2</v>
      </c>
      <c r="F22" s="13">
        <v>1</v>
      </c>
      <c r="G22" s="13">
        <v>149.8503</v>
      </c>
      <c r="H22" s="13">
        <v>245.55609999999999</v>
      </c>
      <c r="I22" s="13">
        <v>161.56270000000001</v>
      </c>
      <c r="J22" s="13">
        <v>43.413699999999999</v>
      </c>
      <c r="K22" s="13">
        <v>245.64580000000001</v>
      </c>
      <c r="L22" s="13">
        <v>11.7126</v>
      </c>
      <c r="M22" s="13">
        <v>23.580024000000002</v>
      </c>
      <c r="N22" s="13">
        <v>216.60210000000001</v>
      </c>
    </row>
    <row r="23" spans="3:14" ht="16" thickBot="1" x14ac:dyDescent="0.4">
      <c r="C23" s="13">
        <v>330</v>
      </c>
      <c r="D23" s="13">
        <v>2065025</v>
      </c>
      <c r="E23" s="13">
        <v>0</v>
      </c>
      <c r="F23" s="13">
        <v>2</v>
      </c>
      <c r="G23" s="13">
        <v>188.2655</v>
      </c>
      <c r="H23" s="13">
        <v>283.47370000000001</v>
      </c>
      <c r="I23" s="13">
        <v>199.84209999999999</v>
      </c>
      <c r="J23" s="13">
        <v>337.29910000000001</v>
      </c>
      <c r="K23" s="13">
        <v>126.88939999999999</v>
      </c>
      <c r="L23" s="13">
        <v>11.5769</v>
      </c>
      <c r="M23" s="13" t="s">
        <v>620</v>
      </c>
      <c r="N23" s="13">
        <v>255.01679999999999</v>
      </c>
    </row>
    <row r="24" spans="3:14" ht="16" thickBot="1" x14ac:dyDescent="0.4">
      <c r="C24" s="13">
        <v>360</v>
      </c>
      <c r="D24" s="13">
        <v>2075656</v>
      </c>
      <c r="E24" s="13">
        <v>5</v>
      </c>
      <c r="F24" s="13">
        <v>3</v>
      </c>
      <c r="G24" s="13">
        <v>226.6808</v>
      </c>
      <c r="H24" s="13">
        <v>321.39120000000003</v>
      </c>
      <c r="I24" s="13">
        <v>238.12129999999999</v>
      </c>
      <c r="J24" s="13" t="s">
        <v>635</v>
      </c>
      <c r="K24" s="13">
        <v>8.1325000000000003</v>
      </c>
      <c r="L24" s="13">
        <v>11.440799999999999</v>
      </c>
      <c r="M24" s="13">
        <v>23.572554</v>
      </c>
      <c r="N24" s="13">
        <v>293.4316</v>
      </c>
    </row>
    <row r="25" spans="3:14" ht="16" thickBot="1" x14ac:dyDescent="0.4">
      <c r="C25" s="13">
        <v>390</v>
      </c>
      <c r="D25" s="13">
        <v>2086287</v>
      </c>
      <c r="E25" s="13">
        <v>3</v>
      </c>
      <c r="F25" s="13">
        <v>4</v>
      </c>
      <c r="G25" s="13" t="s">
        <v>120</v>
      </c>
      <c r="H25" s="13">
        <v>359.30869999999999</v>
      </c>
      <c r="I25" s="13">
        <v>276.40030000000002</v>
      </c>
      <c r="J25" s="13">
        <v>205.07429999999999</v>
      </c>
      <c r="K25" s="13" t="s">
        <v>625</v>
      </c>
      <c r="L25" s="13">
        <v>11.304500000000001</v>
      </c>
      <c r="M25" s="13">
        <v>23.568816000000002</v>
      </c>
      <c r="N25" s="13">
        <v>331.84649999999999</v>
      </c>
    </row>
    <row r="26" spans="3:14" ht="16" thickBot="1" x14ac:dyDescent="0.4">
      <c r="C26" s="13">
        <v>420</v>
      </c>
      <c r="D26" s="13">
        <v>2096918</v>
      </c>
      <c r="E26" s="13">
        <v>1</v>
      </c>
      <c r="F26" s="13">
        <v>0</v>
      </c>
      <c r="G26" s="13">
        <v>303.51139999999998</v>
      </c>
      <c r="H26" s="13">
        <v>37.226199999999999</v>
      </c>
      <c r="I26" s="13" t="s">
        <v>647</v>
      </c>
      <c r="J26" s="13">
        <v>138.9641</v>
      </c>
      <c r="K26" s="13">
        <v>130.61689999999999</v>
      </c>
      <c r="L26" s="13">
        <v>11.167899999999999</v>
      </c>
      <c r="M26" s="13">
        <v>23.565073999999999</v>
      </c>
      <c r="N26" s="13">
        <v>10.2614</v>
      </c>
    </row>
    <row r="27" spans="3:14" ht="16" thickBot="1" x14ac:dyDescent="0.4">
      <c r="C27" s="13">
        <v>450</v>
      </c>
      <c r="D27" s="13">
        <v>2107549</v>
      </c>
      <c r="E27" s="13">
        <v>6</v>
      </c>
      <c r="F27" s="13">
        <v>1</v>
      </c>
      <c r="G27" s="13">
        <v>341.92680000000001</v>
      </c>
      <c r="H27" s="13">
        <v>75.143699999999995</v>
      </c>
      <c r="I27" s="13">
        <v>352.95749999999998</v>
      </c>
      <c r="J27" s="13">
        <v>72.8553</v>
      </c>
      <c r="K27" s="13">
        <v>11.8582</v>
      </c>
      <c r="L27" s="13" t="s">
        <v>621</v>
      </c>
      <c r="M27" s="13" t="s">
        <v>619</v>
      </c>
      <c r="N27" s="13">
        <v>48.676400000000001</v>
      </c>
    </row>
    <row r="28" spans="3:14" ht="16" thickBot="1" x14ac:dyDescent="0.4">
      <c r="C28" s="13">
        <v>480</v>
      </c>
      <c r="D28" s="13">
        <v>2118180</v>
      </c>
      <c r="E28" s="13">
        <v>4</v>
      </c>
      <c r="F28" s="13">
        <v>2</v>
      </c>
      <c r="G28" s="13">
        <v>20.342199999999998</v>
      </c>
      <c r="H28" s="13">
        <v>113.0611</v>
      </c>
      <c r="I28" s="13">
        <v>31.235800000000001</v>
      </c>
      <c r="J28" s="13" t="s">
        <v>636</v>
      </c>
      <c r="K28" s="13">
        <v>253.09889999999999</v>
      </c>
      <c r="L28" s="13">
        <v>10.893800000000001</v>
      </c>
      <c r="M28" s="13">
        <v>23.557583999999999</v>
      </c>
      <c r="N28" s="13">
        <v>87.091399999999993</v>
      </c>
    </row>
    <row r="29" spans="3:14" ht="16" thickBot="1" x14ac:dyDescent="0.4">
      <c r="C29" s="13">
        <v>510</v>
      </c>
      <c r="D29" s="13">
        <v>2128811</v>
      </c>
      <c r="E29" s="13">
        <v>2</v>
      </c>
      <c r="F29" s="13">
        <v>3</v>
      </c>
      <c r="G29" s="13">
        <v>58.7577</v>
      </c>
      <c r="H29" s="13">
        <v>150.9785</v>
      </c>
      <c r="I29" s="13">
        <v>69.513800000000003</v>
      </c>
      <c r="J29" s="13">
        <v>300.64210000000003</v>
      </c>
      <c r="K29" s="13">
        <v>134.3391</v>
      </c>
      <c r="L29" s="13">
        <v>10.7563</v>
      </c>
      <c r="M29" s="13">
        <v>23.553834999999999</v>
      </c>
      <c r="N29" s="13">
        <v>125.50660000000001</v>
      </c>
    </row>
    <row r="30" spans="3:14" ht="16" thickBot="1" x14ac:dyDescent="0.4">
      <c r="C30" s="13">
        <v>540</v>
      </c>
      <c r="D30" s="13">
        <v>2139442</v>
      </c>
      <c r="E30" s="13">
        <v>0</v>
      </c>
      <c r="F30" s="13">
        <v>4</v>
      </c>
      <c r="G30" s="13">
        <v>97.173299999999998</v>
      </c>
      <c r="H30" s="13">
        <v>188.89590000000001</v>
      </c>
      <c r="I30" s="13">
        <v>107.7916</v>
      </c>
      <c r="J30" s="13">
        <v>234.5377</v>
      </c>
      <c r="K30" s="13">
        <v>15.5787</v>
      </c>
      <c r="L30" s="13">
        <v>10.618499999999999</v>
      </c>
      <c r="M30" s="13">
        <v>23.550083999999998</v>
      </c>
      <c r="N30" s="13">
        <v>163.92179999999999</v>
      </c>
    </row>
    <row r="31" spans="3:14" ht="16" thickBot="1" x14ac:dyDescent="0.4">
      <c r="C31" s="13">
        <v>570</v>
      </c>
      <c r="D31" s="13">
        <v>2150073</v>
      </c>
      <c r="E31" s="13">
        <v>5</v>
      </c>
      <c r="F31" s="13">
        <v>0</v>
      </c>
      <c r="G31" s="13">
        <v>135.5889</v>
      </c>
      <c r="H31" s="13">
        <v>226.81319999999999</v>
      </c>
      <c r="I31" s="13">
        <v>146.0692</v>
      </c>
      <c r="J31" s="13">
        <v>168.43469999999999</v>
      </c>
      <c r="K31" s="13">
        <v>256.8177</v>
      </c>
      <c r="L31" s="13">
        <v>10.480499999999999</v>
      </c>
      <c r="M31" s="13">
        <v>23.546330999999999</v>
      </c>
      <c r="N31" s="13" t="s">
        <v>606</v>
      </c>
    </row>
    <row r="32" spans="3:14" ht="16" thickBot="1" x14ac:dyDescent="0.4">
      <c r="C32" s="13">
        <v>600</v>
      </c>
      <c r="D32" s="13">
        <v>2160704</v>
      </c>
      <c r="E32" s="13">
        <v>3</v>
      </c>
      <c r="F32" s="13">
        <v>1</v>
      </c>
      <c r="G32" s="13">
        <v>174.00460000000001</v>
      </c>
      <c r="H32" s="13">
        <v>264.73059999999998</v>
      </c>
      <c r="I32" s="13">
        <v>184.34649999999999</v>
      </c>
      <c r="J32" s="13">
        <v>102.33320000000001</v>
      </c>
      <c r="K32" s="13">
        <v>138.05619999999999</v>
      </c>
      <c r="L32" s="13">
        <v>10.3422</v>
      </c>
      <c r="M32" s="13">
        <v>23.542576</v>
      </c>
      <c r="N32" s="13">
        <v>240.75229999999999</v>
      </c>
    </row>
    <row r="33" spans="3:14" ht="16" thickBot="1" x14ac:dyDescent="0.4">
      <c r="C33" s="13">
        <v>630</v>
      </c>
      <c r="D33" s="13">
        <v>2171335</v>
      </c>
      <c r="E33" s="13">
        <v>1</v>
      </c>
      <c r="F33" s="13">
        <v>2</v>
      </c>
      <c r="G33" s="13">
        <v>212.4203</v>
      </c>
      <c r="H33" s="13">
        <v>302.64780000000002</v>
      </c>
      <c r="I33" s="13">
        <v>222.62360000000001</v>
      </c>
      <c r="J33" s="13">
        <v>362332</v>
      </c>
      <c r="K33" s="13">
        <v>19.2941</v>
      </c>
      <c r="L33" s="13">
        <v>10.2036</v>
      </c>
      <c r="M33" s="13">
        <v>23.538817999999999</v>
      </c>
      <c r="N33" s="13">
        <v>279.16770000000002</v>
      </c>
    </row>
    <row r="34" spans="3:14" ht="16" thickBot="1" x14ac:dyDescent="0.4">
      <c r="C34" s="13">
        <v>660</v>
      </c>
      <c r="D34" s="13">
        <v>2181966</v>
      </c>
      <c r="E34" s="13">
        <v>6</v>
      </c>
      <c r="F34" s="13">
        <v>3</v>
      </c>
      <c r="G34" s="13" t="s">
        <v>121</v>
      </c>
      <c r="H34" s="13">
        <v>340.56509999999997</v>
      </c>
      <c r="I34" s="13">
        <v>260.90050000000002</v>
      </c>
      <c r="J34" s="13">
        <v>330.13459999999998</v>
      </c>
      <c r="K34" s="13">
        <v>260.53140000000002</v>
      </c>
      <c r="L34" s="13">
        <v>10.0647</v>
      </c>
      <c r="M34" s="13">
        <v>23.535059</v>
      </c>
      <c r="N34" s="13">
        <v>317.58319999999998</v>
      </c>
    </row>
    <row r="35" spans="3:14" ht="16" thickBot="1" x14ac:dyDescent="0.4">
      <c r="C35" s="13">
        <v>690</v>
      </c>
      <c r="D35" s="13">
        <v>2192597</v>
      </c>
      <c r="E35" s="13">
        <v>4</v>
      </c>
      <c r="F35" s="13">
        <v>4</v>
      </c>
      <c r="G35" s="13">
        <v>289.2518</v>
      </c>
      <c r="H35" s="13">
        <v>184824</v>
      </c>
      <c r="I35" s="13">
        <v>299.1771</v>
      </c>
      <c r="J35" s="13">
        <v>264.03739999999999</v>
      </c>
      <c r="K35" s="13">
        <v>141.7681</v>
      </c>
      <c r="L35" s="13">
        <v>9.9254999999999995</v>
      </c>
      <c r="M35" s="13">
        <v>23.531298</v>
      </c>
      <c r="N35" s="13">
        <v>355.99869999999999</v>
      </c>
    </row>
    <row r="36" spans="3:14" ht="16" thickBot="1" x14ac:dyDescent="0.4">
      <c r="C36" s="13">
        <v>720</v>
      </c>
      <c r="D36" s="13">
        <v>2203228</v>
      </c>
      <c r="E36" s="13">
        <v>2</v>
      </c>
      <c r="F36" s="13">
        <v>0</v>
      </c>
      <c r="G36" s="13">
        <v>327.66770000000002</v>
      </c>
      <c r="H36" s="13">
        <v>56.3996</v>
      </c>
      <c r="I36" s="13">
        <v>337.45350000000002</v>
      </c>
      <c r="J36" s="13">
        <v>197.9418</v>
      </c>
      <c r="K36" s="13">
        <v>23.004200000000001</v>
      </c>
      <c r="L36" s="13" t="s">
        <v>622</v>
      </c>
      <c r="M36" s="13">
        <v>23.527535</v>
      </c>
      <c r="N36" s="13">
        <v>34.414299999999997</v>
      </c>
    </row>
    <row r="37" spans="3:14" ht="16" thickBot="1" x14ac:dyDescent="0.4">
      <c r="C37" s="13">
        <v>750</v>
      </c>
      <c r="D37" s="13">
        <v>2213859</v>
      </c>
      <c r="E37" s="13">
        <v>0</v>
      </c>
      <c r="F37" s="13">
        <v>1</v>
      </c>
      <c r="G37" s="13">
        <v>6.0835999999999997</v>
      </c>
      <c r="H37" s="13">
        <v>94.316800000000001</v>
      </c>
      <c r="I37" s="13">
        <v>15.729699999999999</v>
      </c>
      <c r="J37" s="13">
        <v>131.8476</v>
      </c>
      <c r="K37" s="13">
        <v>264.2398</v>
      </c>
      <c r="L37" s="13">
        <v>9.6463000000000001</v>
      </c>
      <c r="M37" s="13" t="s">
        <v>618</v>
      </c>
      <c r="N37" s="13">
        <v>72.829899999999995</v>
      </c>
    </row>
    <row r="38" spans="3:14" ht="16" thickBot="1" x14ac:dyDescent="0.4">
      <c r="C38" s="13">
        <v>780</v>
      </c>
      <c r="D38" s="13">
        <v>2224490</v>
      </c>
      <c r="E38" s="13">
        <v>5</v>
      </c>
      <c r="F38" s="13">
        <v>2</v>
      </c>
      <c r="G38" s="13">
        <v>44.499600000000001</v>
      </c>
      <c r="H38" s="13">
        <v>132.23390000000001</v>
      </c>
      <c r="I38" s="13">
        <v>54.005600000000001</v>
      </c>
      <c r="J38" s="13">
        <v>65.754900000000006</v>
      </c>
      <c r="K38" s="13">
        <v>145.47479999999999</v>
      </c>
      <c r="L38" s="13">
        <v>9.5062999999999995</v>
      </c>
      <c r="M38" s="13">
        <v>23.520002999999999</v>
      </c>
      <c r="N38" s="13">
        <v>111.2456</v>
      </c>
    </row>
    <row r="39" spans="3:14" ht="16" thickBot="1" x14ac:dyDescent="0.4">
      <c r="C39" s="13">
        <v>810</v>
      </c>
      <c r="D39" s="13">
        <v>2235121</v>
      </c>
      <c r="E39" s="13">
        <v>3</v>
      </c>
      <c r="F39" s="13">
        <v>3</v>
      </c>
      <c r="G39" s="13">
        <v>82.915599999999998</v>
      </c>
      <c r="H39" s="13">
        <v>170.15110000000001</v>
      </c>
      <c r="I39" s="13">
        <v>92.281300000000002</v>
      </c>
      <c r="J39" s="13">
        <v>359.66370000000001</v>
      </c>
      <c r="K39" s="13">
        <v>26.709199999999999</v>
      </c>
      <c r="L39" s="13">
        <v>9.3658999999999999</v>
      </c>
      <c r="M39" s="13">
        <v>23.516235000000002</v>
      </c>
      <c r="N39" s="13">
        <v>149.66139999999999</v>
      </c>
    </row>
    <row r="40" spans="3:14" ht="16" thickBot="1" x14ac:dyDescent="0.4">
      <c r="C40" s="13">
        <v>840</v>
      </c>
      <c r="D40" s="13">
        <v>2245752</v>
      </c>
      <c r="E40" s="13">
        <v>1</v>
      </c>
      <c r="F40" s="13">
        <v>4</v>
      </c>
      <c r="G40" s="13">
        <v>121.33159999999999</v>
      </c>
      <c r="H40" s="13">
        <v>208.06819999999999</v>
      </c>
      <c r="I40" s="13">
        <v>130.55680000000001</v>
      </c>
      <c r="J40" s="13" t="s">
        <v>637</v>
      </c>
      <c r="K40" s="13">
        <v>267.94310000000002</v>
      </c>
      <c r="L40" s="13">
        <v>9.2254000000000005</v>
      </c>
      <c r="M40" s="13">
        <v>23.512464999999999</v>
      </c>
      <c r="N40" s="13">
        <v>188.0772</v>
      </c>
    </row>
    <row r="41" spans="3:14" ht="16" thickBot="1" x14ac:dyDescent="0.4">
      <c r="C41" s="13">
        <v>870</v>
      </c>
      <c r="D41" s="13">
        <v>2256383</v>
      </c>
      <c r="E41" s="13">
        <v>6</v>
      </c>
      <c r="F41" s="13">
        <v>0</v>
      </c>
      <c r="G41" s="13">
        <v>159.74780000000001</v>
      </c>
      <c r="H41" s="13">
        <v>245.9853</v>
      </c>
      <c r="I41" s="13">
        <v>168.82310000000001</v>
      </c>
      <c r="J41" s="13">
        <v>227.48570000000001</v>
      </c>
      <c r="K41" s="13">
        <v>149.1763</v>
      </c>
      <c r="L41" s="13">
        <v>9.0845000000000002</v>
      </c>
      <c r="M41" s="13">
        <v>23.508693999999998</v>
      </c>
      <c r="N41" s="13">
        <v>226.4932</v>
      </c>
    </row>
    <row r="42" spans="3:14" ht="16" thickBot="1" x14ac:dyDescent="0.4">
      <c r="C42" s="13">
        <v>900</v>
      </c>
      <c r="D42" s="13">
        <v>2267014</v>
      </c>
      <c r="E42" s="13">
        <v>4</v>
      </c>
      <c r="F42" s="13">
        <v>1</v>
      </c>
      <c r="G42" s="13">
        <v>198.16390000000001</v>
      </c>
      <c r="H42" s="13">
        <v>283.9024</v>
      </c>
      <c r="I42" s="13">
        <v>207.1071</v>
      </c>
      <c r="J42" s="13">
        <v>161.3989</v>
      </c>
      <c r="K42" s="13" t="s">
        <v>626</v>
      </c>
      <c r="L42" s="13">
        <v>8.9433000000000007</v>
      </c>
      <c r="M42" s="13">
        <v>23.504921</v>
      </c>
      <c r="N42" s="13">
        <v>264.90910000000002</v>
      </c>
    </row>
    <row r="43" spans="3:14" ht="16" thickBot="1" x14ac:dyDescent="0.4">
      <c r="C43" s="13">
        <v>930</v>
      </c>
      <c r="D43" s="13">
        <v>2277645</v>
      </c>
      <c r="E43" s="13">
        <v>2</v>
      </c>
      <c r="F43" s="13">
        <v>2</v>
      </c>
      <c r="G43" s="13">
        <v>236.58009999999999</v>
      </c>
      <c r="H43" s="13">
        <v>321.81950000000001</v>
      </c>
      <c r="I43" s="13">
        <v>245.3819</v>
      </c>
      <c r="J43" s="13">
        <v>95.313599999999994</v>
      </c>
      <c r="K43" s="13">
        <v>271.64109999999999</v>
      </c>
      <c r="L43" s="13">
        <v>8.8018999999999998</v>
      </c>
      <c r="M43" s="13">
        <v>23.501147</v>
      </c>
      <c r="N43" s="13">
        <v>303.3252</v>
      </c>
    </row>
    <row r="44" spans="3:14" ht="16" thickBot="1" x14ac:dyDescent="0.4">
      <c r="C44" s="13">
        <v>960</v>
      </c>
      <c r="D44" s="13">
        <v>2288276</v>
      </c>
      <c r="E44" s="13">
        <v>0</v>
      </c>
      <c r="F44" s="13">
        <v>3</v>
      </c>
      <c r="G44" s="13">
        <v>274.99639999999999</v>
      </c>
      <c r="H44" s="13">
        <v>359.73649999999998</v>
      </c>
      <c r="I44" s="13">
        <v>283.65640000000002</v>
      </c>
      <c r="J44" s="13">
        <v>29.229800000000001</v>
      </c>
      <c r="K44" s="13">
        <v>152.87270000000001</v>
      </c>
      <c r="L44" s="13">
        <v>8.6601999999999997</v>
      </c>
      <c r="M44" s="13">
        <v>23.497371999999999</v>
      </c>
      <c r="N44" s="13">
        <v>341.74130000000002</v>
      </c>
    </row>
    <row r="45" spans="3:14" ht="16" thickBot="1" x14ac:dyDescent="0.4">
      <c r="C45" s="13">
        <v>990</v>
      </c>
      <c r="D45" s="13">
        <v>2298907</v>
      </c>
      <c r="E45" s="13">
        <v>5</v>
      </c>
      <c r="F45" s="13">
        <v>4</v>
      </c>
      <c r="G45" s="13">
        <v>313.41269999999997</v>
      </c>
      <c r="H45" s="13">
        <v>37.653500000000001</v>
      </c>
      <c r="I45" s="13">
        <v>321.9307</v>
      </c>
      <c r="J45" s="13">
        <v>323.14749999999998</v>
      </c>
      <c r="K45" s="13">
        <v>34.103700000000003</v>
      </c>
      <c r="L45" s="13">
        <v>8.5182000000000002</v>
      </c>
      <c r="M45" s="13">
        <v>23.493596</v>
      </c>
      <c r="N45" s="13">
        <v>20.157499999999999</v>
      </c>
    </row>
    <row r="46" spans="3:14" ht="16" thickBot="1" x14ac:dyDescent="0.4">
      <c r="C46" s="13">
        <v>1020</v>
      </c>
      <c r="D46" s="13">
        <v>2309538</v>
      </c>
      <c r="E46" s="13">
        <v>3</v>
      </c>
      <c r="F46" s="13">
        <v>0</v>
      </c>
      <c r="G46" s="13">
        <v>351.82909999999998</v>
      </c>
      <c r="H46" s="13">
        <v>75.570400000000006</v>
      </c>
      <c r="I46" s="13">
        <v>0.20480000000000001</v>
      </c>
      <c r="J46" s="13">
        <v>257.06670000000003</v>
      </c>
      <c r="K46" s="13" t="s">
        <v>627</v>
      </c>
      <c r="L46" s="13">
        <v>8.3758999999999997</v>
      </c>
      <c r="M46" s="13">
        <v>23.489818</v>
      </c>
      <c r="N46" s="13">
        <v>58.573700000000002</v>
      </c>
    </row>
    <row r="47" spans="3:14" ht="16" thickBot="1" x14ac:dyDescent="0.4">
      <c r="C47" s="13">
        <v>1050</v>
      </c>
      <c r="D47" s="13">
        <v>2320169</v>
      </c>
      <c r="E47" s="13">
        <v>1</v>
      </c>
      <c r="F47" s="13">
        <v>1</v>
      </c>
      <c r="G47" s="13">
        <v>30.2455</v>
      </c>
      <c r="H47" s="13">
        <v>113.48739999999999</v>
      </c>
      <c r="I47" s="13">
        <v>38.478700000000003</v>
      </c>
      <c r="J47" s="13">
        <v>190.9873</v>
      </c>
      <c r="K47" s="13">
        <v>156.56389999999999</v>
      </c>
      <c r="L47" s="13">
        <v>8.2332999999999998</v>
      </c>
      <c r="M47" s="13" t="s">
        <v>615</v>
      </c>
      <c r="N47" s="13" t="s">
        <v>607</v>
      </c>
    </row>
    <row r="48" spans="3:14" ht="16" thickBot="1" x14ac:dyDescent="0.4">
      <c r="C48" s="13">
        <v>1080</v>
      </c>
      <c r="D48" s="13">
        <v>2330800</v>
      </c>
      <c r="E48" s="13">
        <v>6</v>
      </c>
      <c r="F48" s="13">
        <v>2</v>
      </c>
      <c r="G48" s="13" t="s">
        <v>122</v>
      </c>
      <c r="H48" s="13">
        <v>151.40430000000001</v>
      </c>
      <c r="I48" s="13">
        <v>76.752300000000005</v>
      </c>
      <c r="J48" s="13">
        <v>124.90949999999999</v>
      </c>
      <c r="K48" s="13">
        <v>37.793100000000003</v>
      </c>
      <c r="L48" s="13">
        <v>8.0905000000000005</v>
      </c>
      <c r="M48" s="13" t="s">
        <v>616</v>
      </c>
      <c r="N48" s="13">
        <v>135.40639999999999</v>
      </c>
    </row>
    <row r="49" spans="3:14" ht="16" thickBot="1" x14ac:dyDescent="0.4">
      <c r="C49" s="13">
        <v>1110</v>
      </c>
      <c r="D49" s="13">
        <v>2341431</v>
      </c>
      <c r="E49" s="13">
        <v>4</v>
      </c>
      <c r="F49" s="13">
        <v>3</v>
      </c>
      <c r="G49" s="13">
        <v>107.07850000000001</v>
      </c>
      <c r="H49" s="13" t="s">
        <v>649</v>
      </c>
      <c r="I49" s="13">
        <v>115.0257</v>
      </c>
      <c r="J49" s="13">
        <v>58.833199999999998</v>
      </c>
      <c r="K49" s="13">
        <v>279.02179999999998</v>
      </c>
      <c r="L49" s="13">
        <v>7.9474</v>
      </c>
      <c r="M49" s="13" t="s">
        <v>617</v>
      </c>
      <c r="N49" s="13">
        <v>173.8228</v>
      </c>
    </row>
    <row r="50" spans="3:14" ht="16" thickBot="1" x14ac:dyDescent="0.4">
      <c r="C50" s="13">
        <v>1140</v>
      </c>
      <c r="D50" s="13">
        <v>2352062</v>
      </c>
      <c r="E50" s="13">
        <v>2</v>
      </c>
      <c r="F50" s="13">
        <v>4</v>
      </c>
      <c r="G50" s="13">
        <v>145.49510000000001</v>
      </c>
      <c r="H50" s="13" t="s">
        <v>123</v>
      </c>
      <c r="I50" s="13">
        <v>153.2989</v>
      </c>
      <c r="J50" s="13">
        <v>352.75830000000002</v>
      </c>
      <c r="K50" s="13">
        <v>160.24979999999999</v>
      </c>
      <c r="L50" s="13" t="s">
        <v>623</v>
      </c>
      <c r="M50" s="13">
        <v>23.474699000000001</v>
      </c>
      <c r="N50" s="13">
        <v>212.23929999999999</v>
      </c>
    </row>
    <row r="51" spans="3:14" ht="16" thickBot="1" x14ac:dyDescent="0.4">
      <c r="C51" s="13">
        <v>1170</v>
      </c>
      <c r="D51" s="13">
        <v>2362693</v>
      </c>
      <c r="E51" s="13">
        <v>0</v>
      </c>
      <c r="F51" s="13">
        <v>0</v>
      </c>
      <c r="G51" s="13">
        <v>183.9118</v>
      </c>
      <c r="H51" s="13" t="s">
        <v>124</v>
      </c>
      <c r="I51" s="13">
        <v>191.5719</v>
      </c>
      <c r="J51" s="13" t="s">
        <v>638</v>
      </c>
      <c r="K51" s="13">
        <v>41.477400000000003</v>
      </c>
      <c r="L51" s="13">
        <v>7.6603000000000003</v>
      </c>
      <c r="M51" s="13">
        <v>23.470917</v>
      </c>
      <c r="N51" s="13">
        <v>250.6559</v>
      </c>
    </row>
    <row r="52" spans="3:14" ht="16" thickBot="1" x14ac:dyDescent="0.4">
      <c r="C52" s="13">
        <v>1200</v>
      </c>
      <c r="D52" s="13">
        <v>2373324</v>
      </c>
      <c r="E52" s="13">
        <v>5</v>
      </c>
      <c r="F52" s="13">
        <v>1</v>
      </c>
      <c r="G52" s="13">
        <v>222.32839999999999</v>
      </c>
      <c r="H52" s="13">
        <v>303.07150000000001</v>
      </c>
      <c r="I52" s="13">
        <v>229.84460000000001</v>
      </c>
      <c r="J52" s="13">
        <v>220.61320000000001</v>
      </c>
      <c r="K52" s="13">
        <v>282.70429999999999</v>
      </c>
      <c r="L52" s="13">
        <v>7.5164</v>
      </c>
      <c r="M52" s="13">
        <v>23.467134999999999</v>
      </c>
      <c r="N52" s="13">
        <v>289.07249999999999</v>
      </c>
    </row>
    <row r="53" spans="3:14" ht="16" thickBot="1" x14ac:dyDescent="0.4">
      <c r="C53" s="13">
        <v>1230</v>
      </c>
      <c r="D53" s="13">
        <v>2383955</v>
      </c>
      <c r="E53" s="13">
        <v>3</v>
      </c>
      <c r="F53" s="13">
        <v>2</v>
      </c>
      <c r="G53" s="13">
        <v>260.74520000000001</v>
      </c>
      <c r="H53" s="13">
        <v>340.98840000000001</v>
      </c>
      <c r="I53" s="13">
        <v>268.11709999999999</v>
      </c>
      <c r="J53" s="13">
        <v>154.5429</v>
      </c>
      <c r="K53" s="13">
        <v>163.9306</v>
      </c>
      <c r="L53" s="13">
        <v>7.3720999999999997</v>
      </c>
      <c r="M53" s="13">
        <v>23.463352</v>
      </c>
      <c r="N53" s="13">
        <v>327.48919999999998</v>
      </c>
    </row>
    <row r="54" spans="3:14" ht="16" thickBot="1" x14ac:dyDescent="0.4">
      <c r="C54" s="13">
        <v>1260</v>
      </c>
      <c r="D54" s="13">
        <v>2394586</v>
      </c>
      <c r="E54" s="13">
        <v>1</v>
      </c>
      <c r="F54" s="13">
        <v>3</v>
      </c>
      <c r="G54" s="13" t="s">
        <v>125</v>
      </c>
      <c r="H54" s="13">
        <v>18.905100000000001</v>
      </c>
      <c r="I54" s="13">
        <v>306.38940000000002</v>
      </c>
      <c r="J54" s="13">
        <v>88.474100000000007</v>
      </c>
      <c r="K54" s="13">
        <v>45.156399999999998</v>
      </c>
      <c r="L54" s="13">
        <v>7.2275999999999998</v>
      </c>
      <c r="M54" s="13">
        <v>23.459568000000001</v>
      </c>
      <c r="N54" s="13" t="s">
        <v>608</v>
      </c>
    </row>
    <row r="55" spans="3:14" ht="16" thickBot="1" x14ac:dyDescent="0.4">
      <c r="C55" s="13">
        <v>1290</v>
      </c>
      <c r="D55" s="13">
        <v>2405217</v>
      </c>
      <c r="E55" s="13">
        <v>6</v>
      </c>
      <c r="F55" s="13">
        <v>4</v>
      </c>
      <c r="G55" s="13">
        <v>337.5788</v>
      </c>
      <c r="H55" s="13">
        <v>56.821800000000003</v>
      </c>
      <c r="I55" s="13">
        <v>344.66140000000001</v>
      </c>
      <c r="J55" s="13">
        <v>22.468</v>
      </c>
      <c r="K55" s="13">
        <v>286.38159999999999</v>
      </c>
      <c r="L55" s="13">
        <v>7.0827999999999998</v>
      </c>
      <c r="M55" s="13">
        <v>23.455784000000001</v>
      </c>
      <c r="N55" s="13">
        <v>44.322800000000001</v>
      </c>
    </row>
    <row r="56" spans="3:14" ht="16" thickBot="1" x14ac:dyDescent="0.4">
      <c r="C56" s="13">
        <v>1320</v>
      </c>
      <c r="D56" s="13">
        <v>2415848</v>
      </c>
      <c r="E56" s="13">
        <v>4</v>
      </c>
      <c r="F56" s="13">
        <v>0</v>
      </c>
      <c r="G56" s="13">
        <v>15.995699999999999</v>
      </c>
      <c r="H56" s="13">
        <v>94.738500000000002</v>
      </c>
      <c r="I56" s="13">
        <v>22.933299999999999</v>
      </c>
      <c r="J56" s="13" t="s">
        <v>639</v>
      </c>
      <c r="K56" s="13">
        <v>167.6063</v>
      </c>
      <c r="L56" s="13">
        <v>6.9378000000000002</v>
      </c>
      <c r="M56" s="13" t="s">
        <v>614</v>
      </c>
      <c r="N56" s="13">
        <v>82.739699999999999</v>
      </c>
    </row>
    <row r="57" spans="3:14" ht="16" thickBot="1" x14ac:dyDescent="0.4">
      <c r="C57" s="13">
        <v>1350</v>
      </c>
      <c r="D57" s="13">
        <v>2426479</v>
      </c>
      <c r="E57" s="13">
        <v>2</v>
      </c>
      <c r="F57" s="13">
        <v>1</v>
      </c>
      <c r="G57" s="13">
        <v>54.412599999999998</v>
      </c>
      <c r="H57" s="13">
        <v>132.6551</v>
      </c>
      <c r="I57" s="13">
        <v>61.204900000000002</v>
      </c>
      <c r="J57" s="13">
        <v>250.27670000000001</v>
      </c>
      <c r="K57" s="13">
        <v>48.830300000000001</v>
      </c>
      <c r="L57" s="13">
        <v>6.7923999999999998</v>
      </c>
      <c r="M57" s="13">
        <v>23.448215000000001</v>
      </c>
      <c r="N57" s="13">
        <v>121.1567</v>
      </c>
    </row>
    <row r="58" spans="3:14" ht="16" thickBot="1" x14ac:dyDescent="0.4">
      <c r="C58" s="13">
        <v>1380</v>
      </c>
      <c r="D58" s="13">
        <v>2437110</v>
      </c>
      <c r="E58" s="13">
        <v>0</v>
      </c>
      <c r="F58" s="13">
        <v>2</v>
      </c>
      <c r="G58" s="13">
        <v>92.829599999999999</v>
      </c>
      <c r="H58" s="13">
        <v>170.5718</v>
      </c>
      <c r="I58" s="13">
        <v>99.476200000000006</v>
      </c>
      <c r="J58" s="13" t="s">
        <v>640</v>
      </c>
      <c r="K58" s="13">
        <v>290.05380000000002</v>
      </c>
      <c r="L58" s="13">
        <v>6.6467999999999998</v>
      </c>
      <c r="M58" s="13" t="s">
        <v>613</v>
      </c>
      <c r="N58" s="13">
        <v>159.5737</v>
      </c>
    </row>
    <row r="59" spans="3:14" ht="16" thickBot="1" x14ac:dyDescent="0.4">
      <c r="C59" s="13">
        <v>1410</v>
      </c>
      <c r="D59" s="13">
        <v>2447741</v>
      </c>
      <c r="E59" s="13">
        <v>5</v>
      </c>
      <c r="F59" s="13">
        <v>3</v>
      </c>
      <c r="G59" s="13">
        <v>131.2467</v>
      </c>
      <c r="H59" s="13">
        <v>208.48840000000001</v>
      </c>
      <c r="I59" s="13">
        <v>137.7474</v>
      </c>
      <c r="J59" s="13">
        <v>118.1528</v>
      </c>
      <c r="K59" s="13">
        <v>171.27670000000001</v>
      </c>
      <c r="L59" s="13">
        <v>6.5008999999999997</v>
      </c>
      <c r="M59" s="13">
        <v>23.440645</v>
      </c>
      <c r="N59" s="13">
        <v>197.99080000000001</v>
      </c>
    </row>
    <row r="60" spans="3:14" ht="16" thickBot="1" x14ac:dyDescent="0.4">
      <c r="C60" s="13">
        <v>1440</v>
      </c>
      <c r="D60" s="13">
        <v>2458372</v>
      </c>
      <c r="E60" s="13">
        <v>3</v>
      </c>
      <c r="F60" s="13">
        <v>4</v>
      </c>
      <c r="G60" s="13">
        <v>169.66370000000001</v>
      </c>
      <c r="H60" s="13" t="s">
        <v>126</v>
      </c>
      <c r="I60" s="13">
        <v>176.01830000000001</v>
      </c>
      <c r="J60" s="13">
        <v>520.93100000000004</v>
      </c>
      <c r="K60" s="13" t="s">
        <v>628</v>
      </c>
      <c r="L60" s="13">
        <v>6.3547000000000002</v>
      </c>
      <c r="M60" s="13" t="s">
        <v>612</v>
      </c>
      <c r="N60" s="13" t="s">
        <v>609</v>
      </c>
    </row>
    <row r="61" spans="3:14" ht="16" thickBot="1" x14ac:dyDescent="0.4">
      <c r="C61" s="13">
        <v>1470</v>
      </c>
      <c r="D61" s="13">
        <v>2469003</v>
      </c>
      <c r="E61" s="13">
        <v>1</v>
      </c>
      <c r="F61" s="13">
        <v>0</v>
      </c>
      <c r="G61" s="13">
        <v>208.08090000000001</v>
      </c>
      <c r="H61" s="13">
        <v>284.32150000000001</v>
      </c>
      <c r="I61" s="13" t="s">
        <v>648</v>
      </c>
      <c r="J61" s="13">
        <v>346.03489999999999</v>
      </c>
      <c r="K61" s="13">
        <v>293.7208</v>
      </c>
      <c r="L61" s="13">
        <v>6.2083000000000004</v>
      </c>
      <c r="M61" s="13">
        <v>23.433074999999999</v>
      </c>
      <c r="N61" s="13">
        <v>274.8252</v>
      </c>
    </row>
    <row r="62" spans="3:14" ht="16" thickBot="1" x14ac:dyDescent="0.4">
      <c r="C62" s="13">
        <v>1500</v>
      </c>
      <c r="D62" s="13">
        <v>2479634</v>
      </c>
      <c r="E62" s="13">
        <v>6</v>
      </c>
      <c r="F62" s="13">
        <v>1</v>
      </c>
      <c r="G62" s="13">
        <v>246.49809999999999</v>
      </c>
      <c r="H62" s="13">
        <v>322.23809999999997</v>
      </c>
      <c r="I62" s="13">
        <v>252.55950000000001</v>
      </c>
      <c r="J62" s="13">
        <v>279.97829999999999</v>
      </c>
      <c r="K62" s="13">
        <v>174.9419</v>
      </c>
      <c r="L62" s="13">
        <v>6.0616000000000003</v>
      </c>
      <c r="M62" s="13">
        <v>23.429290999999999</v>
      </c>
      <c r="N62" s="13">
        <v>313.24250000000001</v>
      </c>
    </row>
    <row r="63" spans="3:14" ht="16" thickBot="1" x14ac:dyDescent="0.4">
      <c r="C63" s="13">
        <v>1530</v>
      </c>
      <c r="D63" s="13">
        <v>2490265</v>
      </c>
      <c r="E63" s="13">
        <v>4</v>
      </c>
      <c r="F63" s="13">
        <v>2</v>
      </c>
      <c r="G63" s="13">
        <v>284.9153</v>
      </c>
      <c r="H63" s="13">
        <v>0.1547</v>
      </c>
      <c r="I63" s="13" t="s">
        <v>127</v>
      </c>
      <c r="J63" s="13">
        <v>213.92320000000001</v>
      </c>
      <c r="K63" s="13">
        <v>56.162500000000001</v>
      </c>
      <c r="L63" s="13">
        <v>5.9146000000000001</v>
      </c>
      <c r="M63" s="13">
        <v>23.425505999999999</v>
      </c>
      <c r="N63" s="13">
        <v>351.65980000000002</v>
      </c>
    </row>
    <row r="64" spans="3:14" ht="16" thickBot="1" x14ac:dyDescent="0.4">
      <c r="C64" s="13">
        <v>1560</v>
      </c>
      <c r="D64" s="13">
        <v>2500896</v>
      </c>
      <c r="E64" s="13">
        <v>2</v>
      </c>
      <c r="F64" s="13">
        <v>3</v>
      </c>
      <c r="G64" s="13">
        <v>323.33260000000001</v>
      </c>
      <c r="H64" s="13">
        <v>38.071100000000001</v>
      </c>
      <c r="I64" s="13" t="s">
        <v>128</v>
      </c>
      <c r="J64" s="13">
        <v>147.86959999999999</v>
      </c>
      <c r="K64" s="13">
        <v>297.38249999999999</v>
      </c>
      <c r="L64" s="13">
        <v>5.7672999999999996</v>
      </c>
      <c r="M64" s="13">
        <v>23.421721000000002</v>
      </c>
      <c r="N64" s="13">
        <v>30.077300000000001</v>
      </c>
    </row>
    <row r="65" spans="3:14" ht="16" thickBot="1" x14ac:dyDescent="0.4">
      <c r="C65" s="13">
        <v>1590</v>
      </c>
      <c r="D65" s="13">
        <v>2511527</v>
      </c>
      <c r="E65" s="13">
        <v>0</v>
      </c>
      <c r="F65" s="13">
        <v>4</v>
      </c>
      <c r="G65" s="13" t="s">
        <v>129</v>
      </c>
      <c r="H65" s="13">
        <v>75.987499999999997</v>
      </c>
      <c r="I65" s="13">
        <v>7.3695000000000004</v>
      </c>
      <c r="J65" s="13">
        <v>81.817599999999999</v>
      </c>
      <c r="K65" s="13" t="s">
        <v>629</v>
      </c>
      <c r="L65" s="13">
        <v>5.6197999999999997</v>
      </c>
      <c r="M65" s="13">
        <v>23.417936999999998</v>
      </c>
      <c r="N65" s="13">
        <v>68.494699999999995</v>
      </c>
    </row>
    <row r="66" spans="3:14" ht="16" thickBot="1" x14ac:dyDescent="0.4">
      <c r="C66" s="13">
        <v>1620</v>
      </c>
      <c r="D66" s="13">
        <v>2522158</v>
      </c>
      <c r="E66" s="13">
        <v>5</v>
      </c>
      <c r="F66" s="13">
        <v>0</v>
      </c>
      <c r="G66" s="13">
        <v>40.167400000000001</v>
      </c>
      <c r="H66" s="13" t="s">
        <v>130</v>
      </c>
      <c r="I66" s="13">
        <v>45.639099999999999</v>
      </c>
      <c r="J66" s="13" t="s">
        <v>641</v>
      </c>
      <c r="K66" s="13">
        <v>59.820799999999998</v>
      </c>
      <c r="L66" s="13">
        <v>5.4718999999999998</v>
      </c>
      <c r="M66" s="13">
        <v>23.414152999999999</v>
      </c>
      <c r="N66" s="13">
        <v>106.9123</v>
      </c>
    </row>
    <row r="67" spans="3:14" ht="16" thickBot="1" x14ac:dyDescent="0.4">
      <c r="C67" s="13">
        <v>1650</v>
      </c>
      <c r="D67" s="13">
        <v>2532789</v>
      </c>
      <c r="E67" s="13">
        <v>3</v>
      </c>
      <c r="F67" s="13">
        <v>1</v>
      </c>
      <c r="G67" s="13">
        <v>78.584800000000001</v>
      </c>
      <c r="H67" s="13">
        <v>151.82040000000001</v>
      </c>
      <c r="I67" s="13">
        <v>83.908500000000004</v>
      </c>
      <c r="J67" s="13">
        <v>309.71809999999999</v>
      </c>
      <c r="K67" s="13">
        <v>301.03910000000002</v>
      </c>
      <c r="L67" s="13">
        <v>5.3238000000000003</v>
      </c>
      <c r="M67" s="13" t="s">
        <v>611</v>
      </c>
      <c r="N67" s="13">
        <v>145.32990000000001</v>
      </c>
    </row>
    <row r="68" spans="3:14" ht="16" thickBot="1" x14ac:dyDescent="0.4">
      <c r="C68" s="13">
        <v>1680</v>
      </c>
      <c r="D68" s="13">
        <v>2543420</v>
      </c>
      <c r="E68" s="13">
        <v>1</v>
      </c>
      <c r="F68" s="13">
        <v>2</v>
      </c>
      <c r="G68" s="13">
        <v>117.00230000000001</v>
      </c>
      <c r="H68" s="13">
        <v>189.73679999999999</v>
      </c>
      <c r="I68" s="13">
        <v>122.1776</v>
      </c>
      <c r="J68" s="13">
        <v>243.67060000000001</v>
      </c>
      <c r="K68" s="13">
        <v>182.2568</v>
      </c>
      <c r="L68" s="13">
        <v>5.1755000000000004</v>
      </c>
      <c r="M68" s="13">
        <v>23.406586999999998</v>
      </c>
      <c r="N68" s="13">
        <v>183.74760000000001</v>
      </c>
    </row>
    <row r="69" spans="3:14" ht="16" thickBot="1" x14ac:dyDescent="0.4">
      <c r="C69" s="13">
        <v>1710</v>
      </c>
      <c r="D69" s="13">
        <v>2554051</v>
      </c>
      <c r="E69" s="13">
        <v>6</v>
      </c>
      <c r="F69" s="13">
        <v>3</v>
      </c>
      <c r="G69" s="13">
        <v>155.41990000000001</v>
      </c>
      <c r="H69" s="13">
        <v>227.65309999999999</v>
      </c>
      <c r="I69" s="13">
        <v>160.44649999999999</v>
      </c>
      <c r="J69" s="13">
        <v>177.62479999999999</v>
      </c>
      <c r="K69" s="13" t="s">
        <v>630</v>
      </c>
      <c r="L69" s="13">
        <v>5.0267999999999997</v>
      </c>
      <c r="M69" s="13">
        <v>23.402805000000001</v>
      </c>
      <c r="N69" s="13">
        <v>222.16540000000001</v>
      </c>
    </row>
    <row r="70" spans="3:14" ht="16" thickBot="1" x14ac:dyDescent="0.4">
      <c r="C70" s="13">
        <v>1740</v>
      </c>
      <c r="D70" s="13">
        <v>2564682</v>
      </c>
      <c r="E70" s="13">
        <v>4</v>
      </c>
      <c r="F70" s="13">
        <v>4</v>
      </c>
      <c r="G70" s="13">
        <v>193.83750000000001</v>
      </c>
      <c r="H70" s="13">
        <v>265.56950000000001</v>
      </c>
      <c r="I70" s="13">
        <v>198.71520000000001</v>
      </c>
      <c r="J70" s="13">
        <v>111.5804</v>
      </c>
      <c r="K70" s="13">
        <v>304.69049999999999</v>
      </c>
      <c r="L70" s="13">
        <v>4.8779000000000003</v>
      </c>
      <c r="M70" s="13">
        <v>23.399024000000001</v>
      </c>
      <c r="N70" s="13">
        <v>260.58319999999998</v>
      </c>
    </row>
    <row r="71" spans="3:14" ht="16" thickBot="1" x14ac:dyDescent="0.4">
      <c r="C71" s="13">
        <v>1770</v>
      </c>
      <c r="D71" s="13">
        <v>2575313</v>
      </c>
      <c r="E71" s="13">
        <v>2</v>
      </c>
      <c r="F71" s="13">
        <v>0</v>
      </c>
      <c r="G71" s="13">
        <v>232.2552</v>
      </c>
      <c r="H71" s="13">
        <v>303.48579999999998</v>
      </c>
      <c r="I71" s="13">
        <v>236.9837</v>
      </c>
      <c r="J71" s="13">
        <v>45.537599999999998</v>
      </c>
      <c r="K71" s="13">
        <v>185.90649999999999</v>
      </c>
      <c r="L71" s="13">
        <v>47287</v>
      </c>
      <c r="M71" s="13">
        <v>23.395243000000001</v>
      </c>
      <c r="N71" s="13">
        <v>299.00110000000001</v>
      </c>
    </row>
    <row r="72" spans="3:14" ht="16" thickBot="1" x14ac:dyDescent="0.4">
      <c r="C72" s="13">
        <v>1800</v>
      </c>
      <c r="D72" s="13">
        <v>2585944</v>
      </c>
      <c r="E72" s="13">
        <v>0</v>
      </c>
      <c r="F72" s="13">
        <v>1</v>
      </c>
      <c r="G72" s="13">
        <v>270.67290000000003</v>
      </c>
      <c r="H72" s="13" t="s">
        <v>131</v>
      </c>
      <c r="I72" s="13">
        <v>275.25189999999998</v>
      </c>
      <c r="J72" s="13">
        <v>339.49639999999999</v>
      </c>
      <c r="K72" s="13">
        <v>67.121899999999997</v>
      </c>
      <c r="L72" s="13">
        <v>45792</v>
      </c>
      <c r="M72" s="13">
        <v>23.391463000000002</v>
      </c>
      <c r="N72" s="13" t="s">
        <v>610</v>
      </c>
    </row>
  </sheetData>
  <mergeCells count="2">
    <mergeCell ref="C3:N3"/>
    <mergeCell ref="E4:F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9FD7-A8C4-4ADB-A460-CD981ABBAE51}">
  <dimension ref="C2:O36"/>
  <sheetViews>
    <sheetView topLeftCell="E1" workbookViewId="0">
      <selection activeCell="R8" sqref="R8"/>
    </sheetView>
  </sheetViews>
  <sheetFormatPr defaultRowHeight="14.5" x14ac:dyDescent="0.35"/>
  <cols>
    <col min="3" max="3" width="10.6328125" customWidth="1"/>
    <col min="7" max="7" width="11" customWidth="1"/>
    <col min="8" max="8" width="10.54296875" customWidth="1"/>
    <col min="9" max="9" width="11.1796875" customWidth="1"/>
    <col min="10" max="10" width="10.453125" customWidth="1"/>
    <col min="11" max="11" width="11.6328125" customWidth="1"/>
    <col min="12" max="12" width="10.81640625" customWidth="1"/>
    <col min="13" max="13" width="12.453125" customWidth="1"/>
    <col min="14" max="14" width="11.54296875" customWidth="1"/>
  </cols>
  <sheetData>
    <row r="2" spans="3:15" ht="16" customHeight="1" x14ac:dyDescent="0.35"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spans="3:15" ht="15" customHeight="1" x14ac:dyDescent="0.35">
      <c r="C3" s="120" t="s">
        <v>132</v>
      </c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</row>
    <row r="4" spans="3:15" ht="15.5" x14ac:dyDescent="0.35">
      <c r="C4" s="121" t="s">
        <v>94</v>
      </c>
      <c r="D4" s="121" t="s">
        <v>95</v>
      </c>
      <c r="E4" s="120" t="s">
        <v>96</v>
      </c>
      <c r="F4" s="120"/>
      <c r="G4" s="121" t="s">
        <v>97</v>
      </c>
      <c r="H4" s="121" t="s">
        <v>100</v>
      </c>
      <c r="I4" s="121" t="s">
        <v>99</v>
      </c>
      <c r="J4" s="121" t="s">
        <v>100</v>
      </c>
      <c r="K4" s="121" t="s">
        <v>101</v>
      </c>
      <c r="L4" s="121" t="s">
        <v>102</v>
      </c>
      <c r="M4" s="121" t="s">
        <v>103</v>
      </c>
      <c r="N4" s="118" t="s">
        <v>104</v>
      </c>
    </row>
    <row r="5" spans="3:15" ht="15.5" x14ac:dyDescent="0.35">
      <c r="C5" s="117"/>
      <c r="D5" s="117" t="s">
        <v>105</v>
      </c>
      <c r="E5" s="117" t="s">
        <v>106</v>
      </c>
      <c r="F5" s="117" t="s">
        <v>107</v>
      </c>
      <c r="G5" s="117" t="s">
        <v>108</v>
      </c>
      <c r="H5" s="117" t="s">
        <v>109</v>
      </c>
      <c r="I5" s="117" t="s">
        <v>2</v>
      </c>
      <c r="J5" s="117" t="s">
        <v>5</v>
      </c>
      <c r="K5" s="117" t="s">
        <v>110</v>
      </c>
      <c r="L5" s="117" t="s">
        <v>111</v>
      </c>
      <c r="M5" s="117">
        <v>0</v>
      </c>
      <c r="N5" s="122" t="s">
        <v>113</v>
      </c>
      <c r="O5" s="3"/>
    </row>
    <row r="6" spans="3:15" ht="15.5" x14ac:dyDescent="0.35">
      <c r="C6" s="31">
        <v>0</v>
      </c>
      <c r="D6" s="31" t="s">
        <v>16</v>
      </c>
      <c r="E6" s="31" t="s">
        <v>16</v>
      </c>
      <c r="F6" s="31" t="s">
        <v>16</v>
      </c>
      <c r="G6" s="31" t="s">
        <v>22</v>
      </c>
      <c r="H6" s="31" t="s">
        <v>22</v>
      </c>
      <c r="I6" s="31" t="s">
        <v>22</v>
      </c>
      <c r="J6" s="31" t="s">
        <v>22</v>
      </c>
      <c r="K6" s="31" t="s">
        <v>22</v>
      </c>
      <c r="L6" s="31" t="s">
        <v>22</v>
      </c>
      <c r="M6" s="31" t="s">
        <v>22</v>
      </c>
      <c r="N6" s="123" t="s">
        <v>22</v>
      </c>
      <c r="O6" s="3"/>
    </row>
    <row r="7" spans="3:15" ht="15.5" x14ac:dyDescent="0.35">
      <c r="C7" s="31">
        <v>1</v>
      </c>
      <c r="D7" s="31" t="s">
        <v>133</v>
      </c>
      <c r="E7" s="31" t="s">
        <v>45</v>
      </c>
      <c r="F7" s="31" t="s">
        <v>45</v>
      </c>
      <c r="G7" s="31">
        <v>348.91919999999999</v>
      </c>
      <c r="H7" s="31">
        <v>348.90249999999997</v>
      </c>
      <c r="I7" s="31">
        <v>344.44439999999997</v>
      </c>
      <c r="J7" s="31">
        <v>305.00749999999999</v>
      </c>
      <c r="K7" s="31" t="s">
        <v>134</v>
      </c>
      <c r="L7" s="31">
        <v>355.52519999999998</v>
      </c>
      <c r="M7" s="31">
        <v>-1.26E-4</v>
      </c>
      <c r="N7" s="123" t="s">
        <v>650</v>
      </c>
      <c r="O7" s="3"/>
    </row>
    <row r="8" spans="3:15" ht="15.5" x14ac:dyDescent="0.35">
      <c r="C8" s="31">
        <v>2</v>
      </c>
      <c r="D8" s="31" t="s">
        <v>135</v>
      </c>
      <c r="E8" s="31" t="s">
        <v>42</v>
      </c>
      <c r="F8" s="31" t="s">
        <v>44</v>
      </c>
      <c r="G8" s="31">
        <v>337.8383</v>
      </c>
      <c r="H8" s="31" t="s">
        <v>136</v>
      </c>
      <c r="I8" s="31">
        <v>328.88869999999997</v>
      </c>
      <c r="J8" s="31" t="s">
        <v>137</v>
      </c>
      <c r="K8" s="31" t="s">
        <v>138</v>
      </c>
      <c r="L8" s="31">
        <v>351.05040000000002</v>
      </c>
      <c r="M8" s="31">
        <v>-2.52E-4</v>
      </c>
      <c r="N8" s="123" t="s">
        <v>651</v>
      </c>
      <c r="O8" s="3"/>
    </row>
    <row r="9" spans="3:15" ht="15.5" x14ac:dyDescent="0.35">
      <c r="C9" s="31">
        <v>3</v>
      </c>
      <c r="D9" s="31" t="s">
        <v>139</v>
      </c>
      <c r="E9" s="31" t="s">
        <v>50</v>
      </c>
      <c r="F9" s="31" t="s">
        <v>44</v>
      </c>
      <c r="G9" s="31">
        <v>327.74310000000003</v>
      </c>
      <c r="H9" s="31">
        <v>327.69310000000002</v>
      </c>
      <c r="I9" s="31">
        <v>326.5095</v>
      </c>
      <c r="J9" s="31">
        <v>208.08750000000001</v>
      </c>
      <c r="K9" s="31">
        <v>22.799299999999999</v>
      </c>
      <c r="L9" s="31">
        <v>358.7663</v>
      </c>
      <c r="M9" s="31">
        <v>-3.7800000000000003E-4</v>
      </c>
      <c r="N9" s="123">
        <v>327.7432</v>
      </c>
      <c r="O9" s="3"/>
    </row>
    <row r="10" spans="3:15" ht="15.5" x14ac:dyDescent="0.35">
      <c r="C10" s="31">
        <v>4</v>
      </c>
      <c r="D10" s="31" t="s">
        <v>140</v>
      </c>
      <c r="E10" s="31" t="s">
        <v>44</v>
      </c>
      <c r="F10" s="31" t="s">
        <v>43</v>
      </c>
      <c r="G10" s="31">
        <v>316.66230000000002</v>
      </c>
      <c r="H10" s="31">
        <v>316.59559999999999</v>
      </c>
      <c r="I10" s="31">
        <v>310.9538</v>
      </c>
      <c r="J10" s="31" t="s">
        <v>141</v>
      </c>
      <c r="K10" s="31">
        <v>25.9893</v>
      </c>
      <c r="L10" s="31">
        <v>354.29149999999998</v>
      </c>
      <c r="M10" s="31">
        <v>-5.0500000000000002E-4</v>
      </c>
      <c r="N10" s="123">
        <v>316.66230000000002</v>
      </c>
      <c r="O10" s="3"/>
    </row>
    <row r="11" spans="3:15" ht="15.5" x14ac:dyDescent="0.35">
      <c r="C11" s="31">
        <v>5</v>
      </c>
      <c r="D11" s="31" t="s">
        <v>142</v>
      </c>
      <c r="E11" s="31" t="s">
        <v>16</v>
      </c>
      <c r="F11" s="31" t="s">
        <v>42</v>
      </c>
      <c r="G11" s="31">
        <v>305.58150000000001</v>
      </c>
      <c r="H11" s="31">
        <v>305.49810000000002</v>
      </c>
      <c r="I11" s="31">
        <v>295.39819999999997</v>
      </c>
      <c r="J11" s="31">
        <v>98.102500000000006</v>
      </c>
      <c r="K11" s="31">
        <v>29.179300000000001</v>
      </c>
      <c r="L11" s="31">
        <v>349.81670000000003</v>
      </c>
      <c r="M11" s="31">
        <v>-6.3100000000000005E-4</v>
      </c>
      <c r="N11" s="123">
        <v>305.58150000000001</v>
      </c>
      <c r="O11" s="3"/>
    </row>
    <row r="12" spans="3:15" ht="15.5" x14ac:dyDescent="0.35">
      <c r="C12" s="31">
        <v>6</v>
      </c>
      <c r="D12" s="31" t="s">
        <v>143</v>
      </c>
      <c r="E12" s="31" t="s">
        <v>47</v>
      </c>
      <c r="F12" s="31" t="s">
        <v>42</v>
      </c>
      <c r="G12" s="31">
        <v>295.48630000000003</v>
      </c>
      <c r="H12" s="31">
        <v>295.38619999999997</v>
      </c>
      <c r="I12" s="31">
        <v>293.01889999999997</v>
      </c>
      <c r="J12" s="31" t="s">
        <v>144</v>
      </c>
      <c r="K12" s="31">
        <v>45.598599999999998</v>
      </c>
      <c r="L12" s="31">
        <v>357.5326</v>
      </c>
      <c r="M12" s="31">
        <v>-7.5699999999999997E-4</v>
      </c>
      <c r="N12" s="123">
        <v>295.48630000000003</v>
      </c>
      <c r="O12" s="3"/>
    </row>
    <row r="13" spans="3:15" ht="15.5" x14ac:dyDescent="0.35">
      <c r="C13" s="31">
        <v>7</v>
      </c>
      <c r="D13" s="31" t="s">
        <v>145</v>
      </c>
      <c r="E13" s="31" t="s">
        <v>43</v>
      </c>
      <c r="F13" s="31" t="s">
        <v>16</v>
      </c>
      <c r="G13" s="31">
        <v>284.40550000000002</v>
      </c>
      <c r="H13" s="31">
        <v>284.28870000000001</v>
      </c>
      <c r="I13" s="31">
        <v>277.4633</v>
      </c>
      <c r="J13" s="31">
        <v>1.1826000000000001</v>
      </c>
      <c r="K13" s="31">
        <v>48.788600000000002</v>
      </c>
      <c r="L13" s="31">
        <v>353.05779999999999</v>
      </c>
      <c r="M13" s="31">
        <v>-8.83E-4</v>
      </c>
      <c r="N13" s="123">
        <v>284.40550000000002</v>
      </c>
      <c r="O13" s="3"/>
    </row>
    <row r="14" spans="3:15" ht="15.5" x14ac:dyDescent="0.35">
      <c r="C14" s="31">
        <v>8</v>
      </c>
      <c r="D14" s="31" t="s">
        <v>146</v>
      </c>
      <c r="E14" s="31" t="s">
        <v>50</v>
      </c>
      <c r="F14" s="31" t="s">
        <v>45</v>
      </c>
      <c r="G14" s="31">
        <v>273.32459999999998</v>
      </c>
      <c r="H14" s="31">
        <v>273.19119999999998</v>
      </c>
      <c r="I14" s="31">
        <v>261.9076</v>
      </c>
      <c r="J14" s="31">
        <v>306.19009999999997</v>
      </c>
      <c r="K14" s="31">
        <v>51.9786</v>
      </c>
      <c r="L14" s="31">
        <v>348.58300000000003</v>
      </c>
      <c r="M14" s="31">
        <v>-1.0089999999999999E-3</v>
      </c>
      <c r="N14" s="123">
        <v>273.32459999999998</v>
      </c>
      <c r="O14" s="3"/>
    </row>
    <row r="15" spans="3:15" ht="15.5" x14ac:dyDescent="0.35">
      <c r="C15" s="31">
        <v>9</v>
      </c>
      <c r="D15" s="31" t="s">
        <v>147</v>
      </c>
      <c r="E15" s="31" t="s">
        <v>45</v>
      </c>
      <c r="F15" s="31" t="s">
        <v>45</v>
      </c>
      <c r="G15" s="31">
        <v>263.2294</v>
      </c>
      <c r="H15" s="31">
        <v>263.07929999999999</v>
      </c>
      <c r="I15" s="31">
        <v>259.52839999999998</v>
      </c>
      <c r="J15" s="31">
        <v>264.26260000000002</v>
      </c>
      <c r="K15" s="31">
        <v>68.397900000000007</v>
      </c>
      <c r="L15" s="31">
        <v>356.2989</v>
      </c>
      <c r="M15" s="31">
        <v>-1.1349999999999999E-3</v>
      </c>
      <c r="N15" s="123">
        <v>263.22949999999997</v>
      </c>
      <c r="O15" s="3"/>
    </row>
    <row r="16" spans="3:15" ht="15.5" x14ac:dyDescent="0.35">
      <c r="C16" s="31">
        <v>10</v>
      </c>
      <c r="D16" s="31" t="s">
        <v>148</v>
      </c>
      <c r="E16" s="31" t="s">
        <v>42</v>
      </c>
      <c r="F16" s="31" t="s">
        <v>44</v>
      </c>
      <c r="G16" s="31">
        <v>252.14859999999999</v>
      </c>
      <c r="H16" s="31">
        <v>251.98179999999999</v>
      </c>
      <c r="I16" s="31">
        <v>243.9727</v>
      </c>
      <c r="J16" s="31">
        <v>209.27010000000001</v>
      </c>
      <c r="K16" s="31">
        <v>71.587900000000005</v>
      </c>
      <c r="L16" s="31">
        <v>351.82409999999999</v>
      </c>
      <c r="M16" s="31">
        <v>-1.261E-3</v>
      </c>
      <c r="N16" s="123">
        <v>252.14859999999999</v>
      </c>
      <c r="O16" s="3"/>
    </row>
    <row r="17" spans="3:15" ht="15.5" x14ac:dyDescent="0.35">
      <c r="C17" s="31">
        <v>11</v>
      </c>
      <c r="D17" s="31" t="s">
        <v>149</v>
      </c>
      <c r="E17" s="31" t="s">
        <v>50</v>
      </c>
      <c r="F17" s="31" t="s">
        <v>44</v>
      </c>
      <c r="G17" s="31">
        <v>242.05340000000001</v>
      </c>
      <c r="H17" s="31">
        <v>241.8699</v>
      </c>
      <c r="I17" s="31">
        <v>241.59350000000001</v>
      </c>
      <c r="J17" s="31">
        <v>167.3426</v>
      </c>
      <c r="K17" s="31">
        <v>88.007199999999997</v>
      </c>
      <c r="L17" s="31" t="s">
        <v>150</v>
      </c>
      <c r="M17" s="31">
        <v>-1.3879999999999999E-3</v>
      </c>
      <c r="N17" s="123">
        <v>242.05340000000001</v>
      </c>
      <c r="O17" s="3"/>
    </row>
    <row r="18" spans="3:15" ht="15.5" x14ac:dyDescent="0.35">
      <c r="C18" s="31">
        <v>12</v>
      </c>
      <c r="D18" s="31" t="s">
        <v>151</v>
      </c>
      <c r="E18" s="31" t="s">
        <v>44</v>
      </c>
      <c r="F18" s="31" t="s">
        <v>43</v>
      </c>
      <c r="G18" s="31">
        <v>230.9726</v>
      </c>
      <c r="H18" s="31">
        <v>230.7724</v>
      </c>
      <c r="I18" s="31">
        <v>226.0378</v>
      </c>
      <c r="J18" s="31">
        <v>112.3502</v>
      </c>
      <c r="K18" s="31">
        <v>91.197199999999995</v>
      </c>
      <c r="L18" s="31">
        <v>355.0652</v>
      </c>
      <c r="M18" s="31">
        <v>-1.5139999999999999E-3</v>
      </c>
      <c r="N18" s="123">
        <v>230.9726</v>
      </c>
      <c r="O18" s="3"/>
    </row>
    <row r="19" spans="3:15" ht="15.5" x14ac:dyDescent="0.35">
      <c r="C19" s="31">
        <v>13</v>
      </c>
      <c r="D19" s="31" t="s">
        <v>152</v>
      </c>
      <c r="E19" s="31" t="s">
        <v>16</v>
      </c>
      <c r="F19" s="31" t="s">
        <v>42</v>
      </c>
      <c r="G19" s="31">
        <v>219.89169999999999</v>
      </c>
      <c r="H19" s="31">
        <v>219.67490000000001</v>
      </c>
      <c r="I19" s="31">
        <v>210.48220000000001</v>
      </c>
      <c r="J19" s="31">
        <v>57.357700000000001</v>
      </c>
      <c r="K19" s="31">
        <v>94.387200000000007</v>
      </c>
      <c r="L19" s="31">
        <v>350.59039999999999</v>
      </c>
      <c r="M19" s="31" t="s">
        <v>153</v>
      </c>
      <c r="N19" s="123">
        <v>219.89179999999999</v>
      </c>
      <c r="O19" s="3"/>
    </row>
    <row r="20" spans="3:15" ht="15.5" x14ac:dyDescent="0.35">
      <c r="C20" s="31">
        <v>14</v>
      </c>
      <c r="D20" s="31" t="s">
        <v>154</v>
      </c>
      <c r="E20" s="31" t="s">
        <v>47</v>
      </c>
      <c r="F20" s="31" t="s">
        <v>42</v>
      </c>
      <c r="G20" s="31">
        <v>209.79660000000001</v>
      </c>
      <c r="H20" s="31" t="s">
        <v>155</v>
      </c>
      <c r="I20" s="31">
        <v>208.10290000000001</v>
      </c>
      <c r="J20" s="31">
        <v>15.430199999999999</v>
      </c>
      <c r="K20" s="31">
        <v>110.8065</v>
      </c>
      <c r="L20" s="31">
        <v>358.30630000000002</v>
      </c>
      <c r="M20" s="31">
        <v>-1.766E-3</v>
      </c>
      <c r="N20" s="123">
        <v>209.79660000000001</v>
      </c>
      <c r="O20" s="3"/>
    </row>
    <row r="21" spans="3:15" ht="15.5" x14ac:dyDescent="0.35">
      <c r="C21" s="31">
        <v>15</v>
      </c>
      <c r="D21" s="31" t="s">
        <v>156</v>
      </c>
      <c r="E21" s="31" t="s">
        <v>43</v>
      </c>
      <c r="F21" s="31" t="s">
        <v>16</v>
      </c>
      <c r="G21" s="31">
        <v>198.7157</v>
      </c>
      <c r="H21" s="31">
        <v>198.46549999999999</v>
      </c>
      <c r="I21" s="31">
        <v>192.54730000000001</v>
      </c>
      <c r="J21" s="31">
        <v>320.43770000000001</v>
      </c>
      <c r="K21" s="31">
        <v>113.9965</v>
      </c>
      <c r="L21" s="31">
        <v>353.83150000000001</v>
      </c>
      <c r="M21" s="31">
        <v>-1.892E-3</v>
      </c>
      <c r="N21" s="123">
        <v>198.7158</v>
      </c>
      <c r="O21" s="3"/>
    </row>
    <row r="22" spans="3:15" ht="15.5" x14ac:dyDescent="0.35">
      <c r="C22" s="31">
        <v>16</v>
      </c>
      <c r="D22" s="31" t="s">
        <v>157</v>
      </c>
      <c r="E22" s="31" t="s">
        <v>50</v>
      </c>
      <c r="F22" s="31" t="s">
        <v>45</v>
      </c>
      <c r="G22" s="31">
        <v>187.63489999999999</v>
      </c>
      <c r="H22" s="31" t="s">
        <v>158</v>
      </c>
      <c r="I22" s="31">
        <v>176.99160000000001</v>
      </c>
      <c r="J22" s="31">
        <v>265.44529999999997</v>
      </c>
      <c r="K22" s="31">
        <v>117.18640000000001</v>
      </c>
      <c r="L22" s="31">
        <v>349.35669999999999</v>
      </c>
      <c r="M22" s="31">
        <v>-2.0179999999999998E-3</v>
      </c>
      <c r="N22" s="123">
        <v>187.63489999999999</v>
      </c>
      <c r="O22" s="3"/>
    </row>
    <row r="23" spans="3:15" ht="15.5" x14ac:dyDescent="0.35">
      <c r="C23" s="31">
        <v>17</v>
      </c>
      <c r="D23" s="31" t="s">
        <v>159</v>
      </c>
      <c r="E23" s="31" t="s">
        <v>45</v>
      </c>
      <c r="F23" s="31" t="s">
        <v>45</v>
      </c>
      <c r="G23" s="31">
        <v>177.53970000000001</v>
      </c>
      <c r="H23" s="31">
        <v>177.2561</v>
      </c>
      <c r="I23" s="31">
        <v>174.6123</v>
      </c>
      <c r="J23" s="31">
        <v>223.51779999999999</v>
      </c>
      <c r="K23" s="31">
        <v>133.60579999999999</v>
      </c>
      <c r="L23" s="31">
        <v>357.07260000000002</v>
      </c>
      <c r="M23" s="31">
        <v>-2.1450000000000002E-3</v>
      </c>
      <c r="N23" s="123">
        <v>177.53970000000001</v>
      </c>
      <c r="O23" s="3"/>
    </row>
    <row r="24" spans="3:15" ht="15.5" x14ac:dyDescent="0.35">
      <c r="C24" s="31">
        <v>18</v>
      </c>
      <c r="D24" s="31" t="s">
        <v>160</v>
      </c>
      <c r="E24" s="31" t="s">
        <v>42</v>
      </c>
      <c r="F24" s="31" t="s">
        <v>44</v>
      </c>
      <c r="G24" s="31">
        <v>166.4589</v>
      </c>
      <c r="H24" s="31">
        <v>166.15860000000001</v>
      </c>
      <c r="I24" s="31">
        <v>159.05670000000001</v>
      </c>
      <c r="J24" s="31">
        <v>168.52529999999999</v>
      </c>
      <c r="K24" s="31">
        <v>136.79570000000001</v>
      </c>
      <c r="L24" s="31">
        <v>352.59780000000001</v>
      </c>
      <c r="M24" s="31">
        <v>-2.271E-3</v>
      </c>
      <c r="N24" s="123">
        <v>166.4589</v>
      </c>
      <c r="O24" s="3"/>
    </row>
    <row r="25" spans="3:15" ht="15.5" x14ac:dyDescent="0.35">
      <c r="C25" s="31">
        <v>19</v>
      </c>
      <c r="D25" s="31" t="s">
        <v>161</v>
      </c>
      <c r="E25" s="31" t="s">
        <v>47</v>
      </c>
      <c r="F25" s="31" t="s">
        <v>43</v>
      </c>
      <c r="G25" s="31" t="s">
        <v>162</v>
      </c>
      <c r="H25" s="31">
        <v>155.06110000000001</v>
      </c>
      <c r="I25" s="31" t="s">
        <v>163</v>
      </c>
      <c r="J25" s="31">
        <v>113.5329</v>
      </c>
      <c r="K25" s="31">
        <v>139.98570000000001</v>
      </c>
      <c r="L25" s="31" t="s">
        <v>164</v>
      </c>
      <c r="M25" s="31">
        <v>-2.3969999999999998E-3</v>
      </c>
      <c r="N25" s="123">
        <v>155.37809999999999</v>
      </c>
      <c r="O25" s="3"/>
    </row>
    <row r="26" spans="3:15" ht="15.5" x14ac:dyDescent="0.35">
      <c r="C26" s="31">
        <v>20</v>
      </c>
      <c r="D26" s="31" t="s">
        <v>165</v>
      </c>
      <c r="E26" s="31" t="s">
        <v>44</v>
      </c>
      <c r="F26" s="31" t="s">
        <v>43</v>
      </c>
      <c r="G26" s="31">
        <v>145.28290000000001</v>
      </c>
      <c r="H26" s="31">
        <v>144.94919999999999</v>
      </c>
      <c r="I26" s="31">
        <v>141.12180000000001</v>
      </c>
      <c r="J26" s="31">
        <v>71.605400000000003</v>
      </c>
      <c r="K26" s="31" t="s">
        <v>166</v>
      </c>
      <c r="L26" s="31">
        <v>355.83890000000002</v>
      </c>
      <c r="M26" s="31">
        <v>-2.5230000000000001E-3</v>
      </c>
      <c r="N26" s="123">
        <v>145.28290000000001</v>
      </c>
      <c r="O26" s="3"/>
    </row>
    <row r="27" spans="3:15" ht="15.5" x14ac:dyDescent="0.35">
      <c r="C27" s="31">
        <v>21</v>
      </c>
      <c r="D27" s="31" t="s">
        <v>167</v>
      </c>
      <c r="E27" s="31" t="s">
        <v>16</v>
      </c>
      <c r="F27" s="31" t="s">
        <v>42</v>
      </c>
      <c r="G27" s="31" t="s">
        <v>168</v>
      </c>
      <c r="H27" s="31">
        <v>133.85169999999999</v>
      </c>
      <c r="I27" s="31">
        <v>125.56610000000001</v>
      </c>
      <c r="J27" s="31">
        <v>16.6129</v>
      </c>
      <c r="K27" s="31" t="s">
        <v>169</v>
      </c>
      <c r="L27" s="31">
        <v>351.36410000000001</v>
      </c>
      <c r="M27" s="31">
        <v>-2.6489999999999999E-3</v>
      </c>
      <c r="N27" s="123">
        <v>134.2021</v>
      </c>
      <c r="O27" s="3"/>
    </row>
    <row r="28" spans="3:15" ht="15.5" x14ac:dyDescent="0.35">
      <c r="C28" s="31">
        <v>22</v>
      </c>
      <c r="D28" s="31" t="s">
        <v>170</v>
      </c>
      <c r="E28" s="31" t="s">
        <v>47</v>
      </c>
      <c r="F28" s="31" t="s">
        <v>42</v>
      </c>
      <c r="G28" s="31">
        <v>124.10680000000001</v>
      </c>
      <c r="H28" s="31">
        <v>123.7398</v>
      </c>
      <c r="I28" s="31">
        <v>123.18689999999999</v>
      </c>
      <c r="J28" s="31">
        <v>334.68549999999999</v>
      </c>
      <c r="K28" s="31">
        <v>176.01429999999999</v>
      </c>
      <c r="L28" s="31" t="s">
        <v>171</v>
      </c>
      <c r="M28" s="31">
        <v>-2.7759999999999998E-3</v>
      </c>
      <c r="N28" s="123">
        <v>124.1069</v>
      </c>
      <c r="O28" s="3"/>
    </row>
    <row r="29" spans="3:15" ht="15.5" x14ac:dyDescent="0.35">
      <c r="C29" s="31">
        <v>23</v>
      </c>
      <c r="D29" s="31" t="s">
        <v>172</v>
      </c>
      <c r="E29" s="31" t="s">
        <v>43</v>
      </c>
      <c r="F29" s="31" t="s">
        <v>16</v>
      </c>
      <c r="G29" s="31" t="s">
        <v>173</v>
      </c>
      <c r="H29" s="31">
        <v>112.64230000000001</v>
      </c>
      <c r="I29" s="31">
        <v>107.63120000000001</v>
      </c>
      <c r="J29" s="31" t="s">
        <v>174</v>
      </c>
      <c r="K29" s="31">
        <v>179.20429999999999</v>
      </c>
      <c r="L29" s="31">
        <v>354.60520000000002</v>
      </c>
      <c r="M29" s="31">
        <v>-2.9020000000000001E-3</v>
      </c>
      <c r="N29" s="123">
        <v>113.0261</v>
      </c>
      <c r="O29" s="3"/>
    </row>
    <row r="30" spans="3:15" ht="15.5" x14ac:dyDescent="0.35">
      <c r="C30" s="31">
        <v>24</v>
      </c>
      <c r="D30" s="31" t="s">
        <v>175</v>
      </c>
      <c r="E30" s="31" t="s">
        <v>50</v>
      </c>
      <c r="F30" s="31" t="s">
        <v>45</v>
      </c>
      <c r="G30" s="31">
        <v>101.9452</v>
      </c>
      <c r="H30" s="31">
        <v>101.5448</v>
      </c>
      <c r="I30" s="31">
        <v>92.075599999999994</v>
      </c>
      <c r="J30" s="31">
        <v>224.70060000000001</v>
      </c>
      <c r="K30" s="31">
        <v>182.39429999999999</v>
      </c>
      <c r="L30" s="31">
        <v>350.13040000000001</v>
      </c>
      <c r="M30" s="31">
        <v>-3.0279999999999999E-3</v>
      </c>
      <c r="N30" s="123">
        <v>101.9452</v>
      </c>
      <c r="O30" s="3"/>
    </row>
    <row r="31" spans="3:15" ht="15.5" x14ac:dyDescent="0.35">
      <c r="C31" s="31">
        <v>25</v>
      </c>
      <c r="D31" s="31" t="s">
        <v>176</v>
      </c>
      <c r="E31" s="31" t="s">
        <v>45</v>
      </c>
      <c r="F31" s="31" t="s">
        <v>45</v>
      </c>
      <c r="G31" s="31" t="s">
        <v>177</v>
      </c>
      <c r="H31" s="31">
        <v>91.432900000000004</v>
      </c>
      <c r="I31" s="31">
        <v>89.696299999999994</v>
      </c>
      <c r="J31" s="31">
        <v>182.7731</v>
      </c>
      <c r="K31" s="31">
        <v>198.81360000000001</v>
      </c>
      <c r="L31" s="31">
        <v>357.84629999999999</v>
      </c>
      <c r="M31" s="31">
        <v>-3.1540000000000001E-3</v>
      </c>
      <c r="N31" s="123" t="s">
        <v>177</v>
      </c>
      <c r="O31" s="3"/>
    </row>
    <row r="32" spans="3:15" ht="15.5" x14ac:dyDescent="0.35">
      <c r="C32" s="31">
        <v>26</v>
      </c>
      <c r="D32" s="31" t="s">
        <v>178</v>
      </c>
      <c r="E32" s="31" t="s">
        <v>42</v>
      </c>
      <c r="F32" s="31" t="s">
        <v>44</v>
      </c>
      <c r="G32" s="31">
        <v>80.769099999999995</v>
      </c>
      <c r="H32" s="31">
        <v>80.335400000000007</v>
      </c>
      <c r="I32" s="31">
        <v>74.140699999999995</v>
      </c>
      <c r="J32" s="31">
        <v>127.7807</v>
      </c>
      <c r="K32" s="31">
        <v>202.0035</v>
      </c>
      <c r="L32" s="31">
        <v>353.37150000000003</v>
      </c>
      <c r="M32" s="31" t="s">
        <v>179</v>
      </c>
      <c r="N32" s="123">
        <v>80.769199999999998</v>
      </c>
      <c r="O32" s="3"/>
    </row>
    <row r="33" spans="3:15" ht="15.5" x14ac:dyDescent="0.35">
      <c r="C33" s="31">
        <v>27</v>
      </c>
      <c r="D33" s="31" t="s">
        <v>180</v>
      </c>
      <c r="E33" s="31" t="s">
        <v>47</v>
      </c>
      <c r="F33" s="31" t="s">
        <v>43</v>
      </c>
      <c r="G33" s="31">
        <v>69.688299999999998</v>
      </c>
      <c r="H33" s="31">
        <v>69.237899999999996</v>
      </c>
      <c r="I33" s="31" t="s">
        <v>181</v>
      </c>
      <c r="J33" s="31">
        <v>72.788200000000003</v>
      </c>
      <c r="K33" s="31">
        <v>205.1935</v>
      </c>
      <c r="L33" s="31">
        <v>348.89670000000001</v>
      </c>
      <c r="M33" s="31">
        <v>-3.4060000000000002E-3</v>
      </c>
      <c r="N33" s="123">
        <v>69.688400000000001</v>
      </c>
      <c r="O33" s="3"/>
    </row>
    <row r="34" spans="3:15" ht="15.5" x14ac:dyDescent="0.35">
      <c r="C34" s="31">
        <v>28</v>
      </c>
      <c r="D34" s="31" t="s">
        <v>182</v>
      </c>
      <c r="E34" s="31" t="s">
        <v>44</v>
      </c>
      <c r="F34" s="31" t="s">
        <v>43</v>
      </c>
      <c r="G34" s="31">
        <v>59.5931</v>
      </c>
      <c r="H34" s="31" t="s">
        <v>183</v>
      </c>
      <c r="I34" s="31">
        <v>56.205800000000004</v>
      </c>
      <c r="J34" s="31">
        <v>30.860800000000001</v>
      </c>
      <c r="K34" s="31">
        <v>221.61279999999999</v>
      </c>
      <c r="L34" s="31">
        <v>356.61259999999999</v>
      </c>
      <c r="M34" s="31">
        <v>-3.5330000000000001E-3</v>
      </c>
      <c r="N34" s="123">
        <v>59.593200000000003</v>
      </c>
      <c r="O34" s="3"/>
    </row>
    <row r="35" spans="3:15" ht="15.5" x14ac:dyDescent="0.35">
      <c r="C35" s="31">
        <v>29</v>
      </c>
      <c r="D35" s="31" t="s">
        <v>184</v>
      </c>
      <c r="E35" s="31" t="s">
        <v>16</v>
      </c>
      <c r="F35" s="31" t="s">
        <v>42</v>
      </c>
      <c r="G35" s="31">
        <v>48.512300000000003</v>
      </c>
      <c r="H35" s="31">
        <v>48.028500000000001</v>
      </c>
      <c r="I35" s="31">
        <v>40.650100000000002</v>
      </c>
      <c r="J35" s="31">
        <v>335.86829999999998</v>
      </c>
      <c r="K35" s="31">
        <v>224.80279999999999</v>
      </c>
      <c r="L35" s="31">
        <v>352.13780000000003</v>
      </c>
      <c r="M35" s="31">
        <v>-3.6589999999999999E-3</v>
      </c>
      <c r="N35" s="123">
        <v>48.5124</v>
      </c>
      <c r="O35" s="3"/>
    </row>
    <row r="36" spans="3:15" ht="15.5" x14ac:dyDescent="0.35">
      <c r="C36" s="31">
        <v>30</v>
      </c>
      <c r="D36" s="31" t="s">
        <v>185</v>
      </c>
      <c r="E36" s="31" t="s">
        <v>47</v>
      </c>
      <c r="F36" s="31" t="s">
        <v>42</v>
      </c>
      <c r="G36" s="31">
        <v>38.417099999999998</v>
      </c>
      <c r="H36" s="31" t="s">
        <v>186</v>
      </c>
      <c r="I36" s="31">
        <v>38.270800000000001</v>
      </c>
      <c r="J36" s="31">
        <v>293.9409</v>
      </c>
      <c r="K36" s="31">
        <v>241.22210000000001</v>
      </c>
      <c r="L36" s="31">
        <v>359.8537</v>
      </c>
      <c r="M36" s="31">
        <v>-3.7850000000000002E-3</v>
      </c>
      <c r="N36" s="123">
        <v>38.417200000000001</v>
      </c>
      <c r="O36" s="3"/>
    </row>
  </sheetData>
  <mergeCells count="2">
    <mergeCell ref="E4:F4"/>
    <mergeCell ref="C3:N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5F66-7C96-4D74-AB69-560211C266F1}">
  <dimension ref="C2:N17"/>
  <sheetViews>
    <sheetView topLeftCell="D2" workbookViewId="0">
      <selection activeCell="N7" sqref="N7"/>
    </sheetView>
  </sheetViews>
  <sheetFormatPr defaultRowHeight="14.5" x14ac:dyDescent="0.35"/>
  <cols>
    <col min="3" max="3" width="9.81640625" customWidth="1"/>
    <col min="7" max="7" width="10.6328125" customWidth="1"/>
    <col min="8" max="8" width="9.81640625" customWidth="1"/>
    <col min="9" max="9" width="10.26953125" customWidth="1"/>
    <col min="10" max="10" width="9.54296875" customWidth="1"/>
    <col min="11" max="11" width="10" customWidth="1"/>
    <col min="12" max="12" width="9.6328125" customWidth="1"/>
    <col min="13" max="13" width="11.08984375" customWidth="1"/>
    <col min="14" max="14" width="11.453125" customWidth="1"/>
  </cols>
  <sheetData>
    <row r="2" spans="3:14" ht="15" thickBot="1" x14ac:dyDescent="0.4"/>
    <row r="3" spans="3:14" ht="15" thickBot="1" x14ac:dyDescent="0.4">
      <c r="C3" s="69" t="s">
        <v>187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1"/>
    </row>
    <row r="4" spans="3:14" ht="15" thickBot="1" x14ac:dyDescent="0.4">
      <c r="C4" s="17" t="s">
        <v>94</v>
      </c>
      <c r="D4" s="17" t="s">
        <v>95</v>
      </c>
      <c r="E4" s="69" t="s">
        <v>96</v>
      </c>
      <c r="F4" s="71"/>
      <c r="G4" s="17" t="s">
        <v>97</v>
      </c>
      <c r="H4" s="17" t="s">
        <v>100</v>
      </c>
      <c r="I4" s="17" t="s">
        <v>99</v>
      </c>
      <c r="J4" s="17" t="s">
        <v>100</v>
      </c>
      <c r="K4" s="17" t="s">
        <v>101</v>
      </c>
      <c r="L4" s="17" t="s">
        <v>102</v>
      </c>
      <c r="M4" s="17" t="s">
        <v>103</v>
      </c>
      <c r="N4" s="17" t="s">
        <v>104</v>
      </c>
    </row>
    <row r="5" spans="3:14" ht="15" thickBot="1" x14ac:dyDescent="0.4">
      <c r="C5" s="17"/>
      <c r="D5" s="17" t="s">
        <v>105</v>
      </c>
      <c r="E5" s="17" t="s">
        <v>106</v>
      </c>
      <c r="F5" s="17" t="s">
        <v>107</v>
      </c>
      <c r="G5" s="17" t="s">
        <v>108</v>
      </c>
      <c r="H5" s="17" t="s">
        <v>109</v>
      </c>
      <c r="I5" s="17" t="s">
        <v>2</v>
      </c>
      <c r="J5" s="17" t="s">
        <v>5</v>
      </c>
      <c r="K5" s="17" t="s">
        <v>110</v>
      </c>
      <c r="L5" s="17" t="s">
        <v>111</v>
      </c>
      <c r="M5" s="17">
        <v>0</v>
      </c>
      <c r="N5" s="17" t="s">
        <v>113</v>
      </c>
    </row>
    <row r="6" spans="3:14" ht="15" thickBot="1" x14ac:dyDescent="0.4">
      <c r="C6" s="17">
        <v>1</v>
      </c>
      <c r="D6" s="17">
        <v>0</v>
      </c>
      <c r="E6" s="17">
        <v>0</v>
      </c>
      <c r="F6" s="17">
        <v>0</v>
      </c>
      <c r="G6" s="17">
        <v>38.417200000000001</v>
      </c>
      <c r="H6" s="17" t="s">
        <v>22</v>
      </c>
      <c r="I6" s="17" t="s">
        <v>22</v>
      </c>
      <c r="J6" s="17" t="s">
        <v>22</v>
      </c>
      <c r="K6" s="17" t="s">
        <v>22</v>
      </c>
      <c r="L6" s="17" t="s">
        <v>22</v>
      </c>
      <c r="M6" s="17" t="s">
        <v>22</v>
      </c>
      <c r="N6" s="17" t="s">
        <v>22</v>
      </c>
    </row>
    <row r="7" spans="3:14" ht="15" thickBot="1" x14ac:dyDescent="0.4">
      <c r="C7" s="17">
        <v>2</v>
      </c>
      <c r="D7" s="17">
        <v>30</v>
      </c>
      <c r="E7" s="17">
        <v>2</v>
      </c>
      <c r="F7" s="17">
        <v>0</v>
      </c>
      <c r="G7" s="17">
        <v>29.569400000000002</v>
      </c>
      <c r="H7" s="17">
        <v>29.568000000000001</v>
      </c>
      <c r="I7" s="17">
        <v>35.291899999999998</v>
      </c>
      <c r="J7" s="17">
        <v>31.9498</v>
      </c>
      <c r="K7" s="17">
        <v>36.880499999999998</v>
      </c>
      <c r="L7" s="17">
        <v>5.7225000000000001</v>
      </c>
      <c r="M7" s="17">
        <v>-1.1E-5</v>
      </c>
      <c r="N7" s="17">
        <v>295694</v>
      </c>
    </row>
    <row r="8" spans="3:14" ht="15" thickBot="1" x14ac:dyDescent="0.4">
      <c r="C8" s="17">
        <v>3</v>
      </c>
      <c r="D8" s="17">
        <v>59</v>
      </c>
      <c r="E8" s="17">
        <v>3</v>
      </c>
      <c r="F8" s="17">
        <v>4</v>
      </c>
      <c r="G8" s="17">
        <v>58.153199999999998</v>
      </c>
      <c r="H8" s="17">
        <v>58.150399999999998</v>
      </c>
      <c r="I8" s="17">
        <v>57.407400000000003</v>
      </c>
      <c r="J8" s="17">
        <v>50.834600000000002</v>
      </c>
      <c r="K8" s="17">
        <v>60.531700000000001</v>
      </c>
      <c r="L8" s="17">
        <v>359.25420000000003</v>
      </c>
      <c r="M8" s="17" t="s">
        <v>188</v>
      </c>
      <c r="N8" s="17">
        <v>581532</v>
      </c>
    </row>
    <row r="9" spans="3:14" ht="15" thickBot="1" x14ac:dyDescent="0.4">
      <c r="C9" s="17">
        <v>4</v>
      </c>
      <c r="D9" s="17">
        <v>89</v>
      </c>
      <c r="E9" s="17">
        <v>5</v>
      </c>
      <c r="F9" s="17">
        <v>4</v>
      </c>
      <c r="G9" s="17">
        <v>87.7226</v>
      </c>
      <c r="H9" s="17">
        <v>87.718400000000003</v>
      </c>
      <c r="I9" s="17">
        <v>92.699299999999994</v>
      </c>
      <c r="J9" s="17">
        <v>82.784400000000005</v>
      </c>
      <c r="K9" s="17">
        <v>97.412199999999999</v>
      </c>
      <c r="L9" s="17">
        <v>4.9767000000000001</v>
      </c>
      <c r="M9" s="17" t="s">
        <v>189</v>
      </c>
      <c r="N9" s="17">
        <v>87.7226</v>
      </c>
    </row>
    <row r="10" spans="3:14" ht="15" thickBot="1" x14ac:dyDescent="0.4">
      <c r="C10" s="17">
        <v>5</v>
      </c>
      <c r="D10" s="17">
        <v>118</v>
      </c>
      <c r="E10" s="17">
        <v>6</v>
      </c>
      <c r="F10" s="17">
        <v>3</v>
      </c>
      <c r="G10" s="17">
        <v>116.3064</v>
      </c>
      <c r="H10" s="17">
        <v>116.3008</v>
      </c>
      <c r="I10" s="17">
        <v>114.81480000000001</v>
      </c>
      <c r="J10" s="17">
        <v>101.669</v>
      </c>
      <c r="K10" s="17">
        <v>121.0633</v>
      </c>
      <c r="L10" s="17">
        <v>358.50839999999999</v>
      </c>
      <c r="M10" s="17" t="s">
        <v>190</v>
      </c>
      <c r="N10" s="17">
        <v>116.3064</v>
      </c>
    </row>
    <row r="11" spans="3:14" ht="15" thickBot="1" x14ac:dyDescent="0.4">
      <c r="C11" s="17">
        <v>6</v>
      </c>
      <c r="D11" s="17">
        <v>148</v>
      </c>
      <c r="E11" s="17">
        <v>1</v>
      </c>
      <c r="F11" s="17">
        <v>3</v>
      </c>
      <c r="G11" s="17">
        <v>145.8758</v>
      </c>
      <c r="H11" s="17">
        <v>145.86879999999999</v>
      </c>
      <c r="I11" s="17">
        <v>150.10669999999999</v>
      </c>
      <c r="J11" s="17">
        <v>133.619</v>
      </c>
      <c r="K11" s="17">
        <v>157.94380000000001</v>
      </c>
      <c r="L11" s="17">
        <v>4.2309000000000001</v>
      </c>
      <c r="M11" s="17" t="s">
        <v>191</v>
      </c>
      <c r="N11" s="17">
        <v>145.8758</v>
      </c>
    </row>
    <row r="12" spans="3:14" ht="15" thickBot="1" x14ac:dyDescent="0.4">
      <c r="C12" s="17">
        <v>7</v>
      </c>
      <c r="D12" s="17">
        <v>177</v>
      </c>
      <c r="E12" s="17">
        <v>2</v>
      </c>
      <c r="F12" s="17">
        <v>2</v>
      </c>
      <c r="G12" s="17">
        <v>174.45959999999999</v>
      </c>
      <c r="H12" s="17">
        <v>174.4512</v>
      </c>
      <c r="I12" s="17">
        <v>172.22219999999999</v>
      </c>
      <c r="J12" s="17">
        <v>152.50380000000001</v>
      </c>
      <c r="K12" s="17">
        <v>181.595</v>
      </c>
      <c r="L12" s="17">
        <v>357.76260000000002</v>
      </c>
      <c r="M12" s="17" t="s">
        <v>192</v>
      </c>
      <c r="N12" s="17">
        <v>174.45959999999999</v>
      </c>
    </row>
    <row r="13" spans="3:14" ht="15" thickBot="1" x14ac:dyDescent="0.4">
      <c r="C13" s="17">
        <v>8</v>
      </c>
      <c r="D13" s="17">
        <v>207</v>
      </c>
      <c r="E13" s="17">
        <v>4</v>
      </c>
      <c r="F13" s="17">
        <v>2</v>
      </c>
      <c r="G13" s="17">
        <v>204.029</v>
      </c>
      <c r="H13" s="17">
        <v>204.01929999999999</v>
      </c>
      <c r="I13" s="17">
        <v>207.51410000000001</v>
      </c>
      <c r="J13" s="17">
        <v>184.45349999999999</v>
      </c>
      <c r="K13" s="17">
        <v>218.47550000000001</v>
      </c>
      <c r="L13" s="17">
        <v>3.4851000000000001</v>
      </c>
      <c r="M13" s="17" t="s">
        <v>193</v>
      </c>
      <c r="N13" s="17">
        <v>204.029</v>
      </c>
    </row>
    <row r="14" spans="3:14" ht="15" thickBot="1" x14ac:dyDescent="0.4">
      <c r="C14" s="17">
        <v>9</v>
      </c>
      <c r="D14" s="17">
        <v>236</v>
      </c>
      <c r="E14" s="17">
        <v>5</v>
      </c>
      <c r="F14" s="17">
        <v>1</v>
      </c>
      <c r="G14" s="17">
        <v>232.61279999999999</v>
      </c>
      <c r="H14" s="17">
        <v>232.60169999999999</v>
      </c>
      <c r="I14" s="17">
        <v>229.62960000000001</v>
      </c>
      <c r="J14" s="17">
        <v>203.3383</v>
      </c>
      <c r="K14" s="17">
        <v>242.1267</v>
      </c>
      <c r="L14" s="17">
        <v>357.01679999999999</v>
      </c>
      <c r="M14" s="17" t="s">
        <v>194</v>
      </c>
      <c r="N14" s="17">
        <v>232.61279999999999</v>
      </c>
    </row>
    <row r="15" spans="3:14" ht="15" thickBot="1" x14ac:dyDescent="0.4">
      <c r="C15" s="17">
        <v>10</v>
      </c>
      <c r="D15" s="17">
        <v>266</v>
      </c>
      <c r="E15" s="17">
        <v>0</v>
      </c>
      <c r="F15" s="17">
        <v>1</v>
      </c>
      <c r="G15" s="17">
        <v>262.18220000000002</v>
      </c>
      <c r="H15" s="17">
        <v>262.16969999999998</v>
      </c>
      <c r="I15" s="17">
        <v>264.92149999999998</v>
      </c>
      <c r="J15" s="17">
        <v>235.28809999999999</v>
      </c>
      <c r="K15" s="17">
        <v>279.00720000000001</v>
      </c>
      <c r="L15" s="17">
        <v>2.7393000000000001</v>
      </c>
      <c r="M15" s="17" t="s">
        <v>195</v>
      </c>
      <c r="N15" s="17">
        <v>262.18220000000002</v>
      </c>
    </row>
    <row r="16" spans="3:14" ht="15" thickBot="1" x14ac:dyDescent="0.4">
      <c r="C16" s="17">
        <v>11</v>
      </c>
      <c r="D16" s="17">
        <v>295</v>
      </c>
      <c r="E16" s="17">
        <v>1</v>
      </c>
      <c r="F16" s="17">
        <v>0</v>
      </c>
      <c r="G16" s="17">
        <v>290.76600000000002</v>
      </c>
      <c r="H16" s="17">
        <v>290.75209999999998</v>
      </c>
      <c r="I16" s="17">
        <v>287.03699999999998</v>
      </c>
      <c r="J16" s="17">
        <v>254.1729</v>
      </c>
      <c r="K16" s="17">
        <v>302.6583</v>
      </c>
      <c r="L16" s="17">
        <v>356.27100000000002</v>
      </c>
      <c r="M16" s="17" t="s">
        <v>196</v>
      </c>
      <c r="N16" s="17">
        <v>290.76600000000002</v>
      </c>
    </row>
    <row r="17" spans="3:14" ht="15" thickBot="1" x14ac:dyDescent="0.4">
      <c r="C17" s="17">
        <v>12</v>
      </c>
      <c r="D17" s="17">
        <v>325</v>
      </c>
      <c r="E17" s="17">
        <v>3</v>
      </c>
      <c r="F17" s="17">
        <v>0</v>
      </c>
      <c r="G17" s="17">
        <v>320.33539999999999</v>
      </c>
      <c r="H17" s="17">
        <v>320.32010000000002</v>
      </c>
      <c r="I17" s="17">
        <v>322.32889999999998</v>
      </c>
      <c r="J17" s="17">
        <v>286.12270000000001</v>
      </c>
      <c r="K17" s="17">
        <v>339.53879999999998</v>
      </c>
      <c r="L17" s="17">
        <v>1.9935</v>
      </c>
      <c r="M17" s="17" t="s">
        <v>197</v>
      </c>
      <c r="N17" s="17">
        <v>320.33539999999999</v>
      </c>
    </row>
  </sheetData>
  <mergeCells count="2">
    <mergeCell ref="C3:N3"/>
    <mergeCell ref="E4:F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7DFB-2605-487A-A48E-8BF82B205787}">
  <dimension ref="C6:N39"/>
  <sheetViews>
    <sheetView topLeftCell="C1" workbookViewId="0">
      <selection activeCell="B6" sqref="B6:N39"/>
    </sheetView>
  </sheetViews>
  <sheetFormatPr defaultRowHeight="14.5" x14ac:dyDescent="0.35"/>
  <cols>
    <col min="3" max="3" width="12.54296875" customWidth="1"/>
    <col min="4" max="4" width="19.81640625" customWidth="1"/>
    <col min="5" max="5" width="6.54296875" customWidth="1"/>
    <col min="6" max="6" width="6.453125" customWidth="1"/>
    <col min="7" max="7" width="11.7265625" customWidth="1"/>
    <col min="8" max="8" width="12.54296875" customWidth="1"/>
    <col min="9" max="9" width="12" customWidth="1"/>
    <col min="10" max="10" width="10.54296875" customWidth="1"/>
    <col min="11" max="11" width="11.26953125" customWidth="1"/>
    <col min="12" max="12" width="10.7265625" customWidth="1"/>
    <col min="13" max="14" width="12.81640625" customWidth="1"/>
  </cols>
  <sheetData>
    <row r="6" spans="3:14" ht="15" thickBot="1" x14ac:dyDescent="0.4"/>
    <row r="7" spans="3:14" x14ac:dyDescent="0.35">
      <c r="C7" s="76" t="s">
        <v>94</v>
      </c>
      <c r="D7" s="79" t="s">
        <v>95</v>
      </c>
      <c r="E7" s="72" t="s">
        <v>96</v>
      </c>
      <c r="F7" s="73"/>
      <c r="G7" s="76" t="s">
        <v>97</v>
      </c>
      <c r="H7" s="76" t="s">
        <v>100</v>
      </c>
      <c r="I7" s="76" t="s">
        <v>99</v>
      </c>
      <c r="J7" s="76" t="s">
        <v>100</v>
      </c>
      <c r="K7" s="76" t="s">
        <v>101</v>
      </c>
      <c r="L7" s="76" t="s">
        <v>102</v>
      </c>
      <c r="M7" s="76" t="s">
        <v>103</v>
      </c>
      <c r="N7" s="76" t="s">
        <v>104</v>
      </c>
    </row>
    <row r="8" spans="3:14" ht="15" thickBot="1" x14ac:dyDescent="0.4">
      <c r="C8" s="78"/>
      <c r="D8" s="80"/>
      <c r="E8" s="74"/>
      <c r="F8" s="75"/>
      <c r="G8" s="77"/>
      <c r="H8" s="77"/>
      <c r="I8" s="77"/>
      <c r="J8" s="77"/>
      <c r="K8" s="77"/>
      <c r="L8" s="77"/>
      <c r="M8" s="77"/>
      <c r="N8" s="77"/>
    </row>
    <row r="9" spans="3:14" ht="16" thickBot="1" x14ac:dyDescent="0.4">
      <c r="C9" s="77"/>
      <c r="D9" s="7" t="s">
        <v>105</v>
      </c>
      <c r="E9" s="7" t="s">
        <v>106</v>
      </c>
      <c r="F9" s="7" t="s">
        <v>107</v>
      </c>
      <c r="G9" s="7" t="s">
        <v>108</v>
      </c>
      <c r="H9" s="7" t="s">
        <v>109</v>
      </c>
      <c r="I9" s="7" t="s">
        <v>2</v>
      </c>
      <c r="J9" s="7" t="s">
        <v>5</v>
      </c>
      <c r="K9" s="7" t="s">
        <v>110</v>
      </c>
      <c r="L9" s="7" t="s">
        <v>111</v>
      </c>
      <c r="M9" s="7" t="s">
        <v>112</v>
      </c>
      <c r="N9" s="7" t="s">
        <v>113</v>
      </c>
    </row>
    <row r="10" spans="3:14" ht="16" thickBot="1" x14ac:dyDescent="0.4">
      <c r="C10" s="2">
        <v>1</v>
      </c>
      <c r="D10" s="2">
        <v>1</v>
      </c>
      <c r="E10" s="2">
        <v>1</v>
      </c>
      <c r="F10" s="2"/>
      <c r="G10" s="1">
        <v>0.98560000000000003</v>
      </c>
      <c r="H10" s="1">
        <v>0.98560000000000003</v>
      </c>
      <c r="I10" s="1">
        <v>131764</v>
      </c>
      <c r="J10" s="1">
        <v>130650</v>
      </c>
      <c r="K10" s="1">
        <v>132294</v>
      </c>
      <c r="L10" s="1">
        <v>121907</v>
      </c>
      <c r="M10" s="18">
        <v>0</v>
      </c>
      <c r="N10" s="1" t="s">
        <v>198</v>
      </c>
    </row>
    <row r="11" spans="3:14" ht="17.25" customHeight="1" thickBot="1" x14ac:dyDescent="0.4">
      <c r="C11" s="2">
        <v>2</v>
      </c>
      <c r="D11" s="2">
        <v>2</v>
      </c>
      <c r="E11" s="2">
        <v>2</v>
      </c>
      <c r="F11" s="2">
        <v>2</v>
      </c>
      <c r="G11" s="1">
        <v>1.9713000000000001</v>
      </c>
      <c r="H11" s="1">
        <v>19712</v>
      </c>
      <c r="I11" s="1">
        <v>263528</v>
      </c>
      <c r="J11" s="1">
        <v>261300</v>
      </c>
      <c r="K11" s="1">
        <v>264587</v>
      </c>
      <c r="L11" s="1">
        <v>243815</v>
      </c>
      <c r="M11" s="19" t="s">
        <v>199</v>
      </c>
      <c r="N11" s="1">
        <v>19713</v>
      </c>
    </row>
    <row r="12" spans="3:14" ht="16.5" customHeight="1" thickBot="1" x14ac:dyDescent="0.4">
      <c r="C12" s="2">
        <v>3</v>
      </c>
      <c r="D12" s="2">
        <v>3</v>
      </c>
      <c r="E12" s="2">
        <v>3</v>
      </c>
      <c r="F12" s="2">
        <v>3</v>
      </c>
      <c r="G12" s="1">
        <v>2.9569000000000001</v>
      </c>
      <c r="H12" s="1">
        <v>29568</v>
      </c>
      <c r="I12" s="1">
        <v>395292</v>
      </c>
      <c r="J12" s="1">
        <v>391950</v>
      </c>
      <c r="K12" s="1">
        <v>396881</v>
      </c>
      <c r="L12" s="1">
        <v>365722</v>
      </c>
      <c r="M12" s="19" t="s">
        <v>199</v>
      </c>
      <c r="N12" s="1">
        <v>29569</v>
      </c>
    </row>
    <row r="13" spans="3:14" ht="16.5" customHeight="1" thickBot="1" x14ac:dyDescent="0.4">
      <c r="C13" s="2">
        <v>4</v>
      </c>
      <c r="D13" s="2">
        <v>4</v>
      </c>
      <c r="E13" s="2">
        <v>4</v>
      </c>
      <c r="F13" s="2">
        <v>4</v>
      </c>
      <c r="G13" s="1">
        <v>3.9426000000000001</v>
      </c>
      <c r="H13" s="1">
        <v>39424</v>
      </c>
      <c r="I13" s="1">
        <v>527056</v>
      </c>
      <c r="J13" s="1">
        <v>522600</v>
      </c>
      <c r="K13" s="1">
        <v>529174</v>
      </c>
      <c r="L13" s="1">
        <v>487630</v>
      </c>
      <c r="M13" s="19" t="s">
        <v>199</v>
      </c>
      <c r="N13" s="1">
        <v>39426</v>
      </c>
    </row>
    <row r="14" spans="3:14" ht="15.75" customHeight="1" thickBot="1" x14ac:dyDescent="0.4">
      <c r="C14" s="2">
        <v>5</v>
      </c>
      <c r="D14" s="2">
        <v>5</v>
      </c>
      <c r="E14" s="2">
        <v>5</v>
      </c>
      <c r="F14" s="2">
        <v>5</v>
      </c>
      <c r="G14" s="1">
        <v>4.9282000000000004</v>
      </c>
      <c r="H14" s="1">
        <v>49280</v>
      </c>
      <c r="I14" s="1">
        <v>658820</v>
      </c>
      <c r="J14" s="1">
        <v>653250</v>
      </c>
      <c r="K14" s="1">
        <v>661468</v>
      </c>
      <c r="L14" s="1">
        <v>609537</v>
      </c>
      <c r="M14" s="19" t="s">
        <v>200</v>
      </c>
      <c r="N14" s="1">
        <v>49282</v>
      </c>
    </row>
    <row r="15" spans="3:14" ht="16.5" customHeight="1" thickBot="1" x14ac:dyDescent="0.4">
      <c r="C15" s="2">
        <v>6</v>
      </c>
      <c r="D15" s="2">
        <v>6</v>
      </c>
      <c r="E15" s="2">
        <v>6</v>
      </c>
      <c r="F15" s="2">
        <v>1</v>
      </c>
      <c r="G15" s="1">
        <v>5.9138999999999999</v>
      </c>
      <c r="H15" s="1">
        <v>59136</v>
      </c>
      <c r="I15" s="1">
        <v>790584</v>
      </c>
      <c r="J15" s="1">
        <v>783900</v>
      </c>
      <c r="K15" s="1">
        <v>793761</v>
      </c>
      <c r="L15" s="1">
        <v>731445</v>
      </c>
      <c r="M15" s="19" t="s">
        <v>200</v>
      </c>
      <c r="N15" s="1">
        <v>59139</v>
      </c>
    </row>
    <row r="16" spans="3:14" ht="17.25" customHeight="1" thickBot="1" x14ac:dyDescent="0.4">
      <c r="C16" s="2">
        <v>7</v>
      </c>
      <c r="D16" s="2">
        <v>7</v>
      </c>
      <c r="E16" s="2">
        <v>7</v>
      </c>
      <c r="F16" s="2">
        <v>2</v>
      </c>
      <c r="G16" s="1">
        <v>6.8994999999999997</v>
      </c>
      <c r="H16" s="1">
        <v>68992</v>
      </c>
      <c r="I16" s="1">
        <v>922348</v>
      </c>
      <c r="J16" s="1">
        <v>914550</v>
      </c>
      <c r="K16" s="1">
        <v>926055</v>
      </c>
      <c r="L16" s="1">
        <v>853352</v>
      </c>
      <c r="M16" s="19" t="s">
        <v>200</v>
      </c>
      <c r="N16" s="1">
        <v>68995</v>
      </c>
    </row>
    <row r="17" spans="3:14" ht="15.75" customHeight="1" thickBot="1" x14ac:dyDescent="0.4">
      <c r="C17" s="2">
        <v>8</v>
      </c>
      <c r="D17" s="2">
        <v>8</v>
      </c>
      <c r="E17" s="2">
        <v>1</v>
      </c>
      <c r="F17" s="2">
        <v>3</v>
      </c>
      <c r="G17" s="1">
        <v>7.8852000000000002</v>
      </c>
      <c r="H17" s="1">
        <v>78848</v>
      </c>
      <c r="I17" s="1">
        <v>1054112</v>
      </c>
      <c r="J17" s="1">
        <v>1045199</v>
      </c>
      <c r="K17" s="1">
        <v>1058348</v>
      </c>
      <c r="L17" s="1">
        <v>975260</v>
      </c>
      <c r="M17" s="19" t="s">
        <v>201</v>
      </c>
      <c r="N17" s="1">
        <v>78852</v>
      </c>
    </row>
    <row r="18" spans="3:14" ht="17.25" customHeight="1" thickBot="1" x14ac:dyDescent="0.4">
      <c r="C18" s="2">
        <v>9</v>
      </c>
      <c r="D18" s="2">
        <v>9</v>
      </c>
      <c r="E18" s="2">
        <v>2</v>
      </c>
      <c r="F18" s="2">
        <v>4</v>
      </c>
      <c r="G18" s="1">
        <v>8.8707999999999991</v>
      </c>
      <c r="H18" s="1">
        <v>88704</v>
      </c>
      <c r="I18" s="1">
        <v>1185876</v>
      </c>
      <c r="J18" s="1">
        <v>1175849</v>
      </c>
      <c r="K18" s="1">
        <v>1190642</v>
      </c>
      <c r="L18" s="1">
        <v>1097167</v>
      </c>
      <c r="M18" s="19" t="s">
        <v>201</v>
      </c>
      <c r="N18" s="1">
        <v>88708</v>
      </c>
    </row>
    <row r="19" spans="3:14" ht="15.75" customHeight="1" thickBot="1" x14ac:dyDescent="0.4">
      <c r="C19" s="2">
        <v>10</v>
      </c>
      <c r="D19" s="2">
        <v>10</v>
      </c>
      <c r="E19" s="2">
        <v>3</v>
      </c>
      <c r="F19" s="2">
        <v>5</v>
      </c>
      <c r="G19" s="1" t="s">
        <v>202</v>
      </c>
      <c r="H19" s="1">
        <v>98560</v>
      </c>
      <c r="I19" s="1">
        <v>1317640</v>
      </c>
      <c r="J19" s="1">
        <v>1306499</v>
      </c>
      <c r="K19" s="1">
        <v>1322935</v>
      </c>
      <c r="L19" s="1">
        <v>1219075</v>
      </c>
      <c r="M19" s="19" t="s">
        <v>203</v>
      </c>
      <c r="N19" s="1">
        <v>98565</v>
      </c>
    </row>
    <row r="20" spans="3:14" ht="15.75" customHeight="1" thickBot="1" x14ac:dyDescent="0.4">
      <c r="C20" s="2">
        <v>11</v>
      </c>
      <c r="D20" s="2">
        <v>11</v>
      </c>
      <c r="E20" s="2">
        <v>4</v>
      </c>
      <c r="F20" s="2">
        <v>1</v>
      </c>
      <c r="G20" s="1">
        <v>10.8421</v>
      </c>
      <c r="H20" s="1">
        <v>108416</v>
      </c>
      <c r="I20" s="1">
        <v>1449404</v>
      </c>
      <c r="J20" s="1">
        <v>1437149</v>
      </c>
      <c r="K20" s="1">
        <v>1455229</v>
      </c>
      <c r="L20" s="1">
        <v>1340982</v>
      </c>
      <c r="M20" s="19" t="s">
        <v>203</v>
      </c>
      <c r="N20" s="1">
        <v>108421</v>
      </c>
    </row>
    <row r="21" spans="3:14" ht="16.5" customHeight="1" thickBot="1" x14ac:dyDescent="0.4">
      <c r="C21" s="2">
        <v>12</v>
      </c>
      <c r="D21" s="2">
        <v>12</v>
      </c>
      <c r="E21" s="2">
        <v>5</v>
      </c>
      <c r="F21" s="2">
        <v>2</v>
      </c>
      <c r="G21" s="1">
        <v>11.8278</v>
      </c>
      <c r="H21" s="1">
        <v>118272</v>
      </c>
      <c r="I21" s="1">
        <v>1581168</v>
      </c>
      <c r="J21" s="1">
        <v>1567799</v>
      </c>
      <c r="K21" s="1">
        <v>1587522</v>
      </c>
      <c r="L21" s="1">
        <v>1462890</v>
      </c>
      <c r="M21" s="19" t="s">
        <v>203</v>
      </c>
      <c r="N21" s="1">
        <v>118278</v>
      </c>
    </row>
    <row r="22" spans="3:14" ht="16.5" customHeight="1" thickBot="1" x14ac:dyDescent="0.4">
      <c r="C22" s="2">
        <v>13</v>
      </c>
      <c r="D22" s="2">
        <v>13</v>
      </c>
      <c r="E22" s="2">
        <v>6</v>
      </c>
      <c r="F22" s="2">
        <v>3</v>
      </c>
      <c r="G22" s="1">
        <v>12.8134</v>
      </c>
      <c r="H22" s="1">
        <v>128128</v>
      </c>
      <c r="I22" s="1">
        <v>1712932</v>
      </c>
      <c r="J22" s="1">
        <v>1698449</v>
      </c>
      <c r="K22" s="1">
        <v>1719816</v>
      </c>
      <c r="L22" s="1">
        <v>1584797</v>
      </c>
      <c r="M22" s="19" t="s">
        <v>204</v>
      </c>
      <c r="N22" s="1">
        <v>128134</v>
      </c>
    </row>
    <row r="23" spans="3:14" ht="16.5" customHeight="1" thickBot="1" x14ac:dyDescent="0.4">
      <c r="C23" s="2">
        <v>14</v>
      </c>
      <c r="D23" s="2">
        <v>14</v>
      </c>
      <c r="E23" s="2">
        <v>7</v>
      </c>
      <c r="F23" s="2">
        <v>4</v>
      </c>
      <c r="G23" s="1">
        <v>13.799099999999999</v>
      </c>
      <c r="H23" s="1">
        <v>137984</v>
      </c>
      <c r="I23" s="1">
        <v>1844696</v>
      </c>
      <c r="J23" s="1">
        <v>1829099</v>
      </c>
      <c r="K23" s="1">
        <v>1852109</v>
      </c>
      <c r="L23" s="1">
        <v>1706705</v>
      </c>
      <c r="M23" s="19" t="s">
        <v>204</v>
      </c>
      <c r="N23" s="1">
        <v>137991</v>
      </c>
    </row>
    <row r="24" spans="3:14" ht="18.75" customHeight="1" thickBot="1" x14ac:dyDescent="0.4">
      <c r="C24" s="2">
        <v>15</v>
      </c>
      <c r="D24" s="2">
        <v>15</v>
      </c>
      <c r="E24" s="2">
        <v>1</v>
      </c>
      <c r="F24" s="2">
        <v>5</v>
      </c>
      <c r="G24" s="1">
        <v>14.784700000000001</v>
      </c>
      <c r="H24" s="1">
        <v>147840</v>
      </c>
      <c r="I24" s="1">
        <v>1976459</v>
      </c>
      <c r="J24" s="1">
        <v>1959749</v>
      </c>
      <c r="K24" s="1">
        <v>1984403</v>
      </c>
      <c r="L24" s="1">
        <v>1828612</v>
      </c>
      <c r="M24" s="19" t="s">
        <v>204</v>
      </c>
      <c r="N24" s="1">
        <v>147847</v>
      </c>
    </row>
    <row r="25" spans="3:14" ht="17.25" customHeight="1" thickBot="1" x14ac:dyDescent="0.4">
      <c r="C25" s="2">
        <v>16</v>
      </c>
      <c r="D25" s="2">
        <v>16</v>
      </c>
      <c r="E25" s="2">
        <v>2</v>
      </c>
      <c r="F25" s="2">
        <v>1</v>
      </c>
      <c r="G25" s="1">
        <v>15.7704</v>
      </c>
      <c r="H25" s="1">
        <v>157696</v>
      </c>
      <c r="I25" s="1">
        <v>2108223</v>
      </c>
      <c r="J25" s="1">
        <v>2090399</v>
      </c>
      <c r="K25" s="1">
        <v>2116696</v>
      </c>
      <c r="L25" s="1">
        <v>1950520</v>
      </c>
      <c r="M25" s="19" t="s">
        <v>205</v>
      </c>
      <c r="N25" s="1">
        <v>157704</v>
      </c>
    </row>
    <row r="26" spans="3:14" ht="15.75" customHeight="1" thickBot="1" x14ac:dyDescent="0.4">
      <c r="C26" s="2">
        <v>17</v>
      </c>
      <c r="D26" s="2">
        <v>17</v>
      </c>
      <c r="E26" s="2">
        <v>3</v>
      </c>
      <c r="F26" s="2">
        <v>2</v>
      </c>
      <c r="G26" s="1">
        <v>16.756</v>
      </c>
      <c r="H26" s="1">
        <v>167552</v>
      </c>
      <c r="I26" s="1">
        <v>2239987</v>
      </c>
      <c r="J26" s="1">
        <v>2221049</v>
      </c>
      <c r="K26" s="1">
        <v>2248990</v>
      </c>
      <c r="L26" s="1">
        <v>2072427</v>
      </c>
      <c r="M26" s="19" t="s">
        <v>205</v>
      </c>
      <c r="N26" s="1">
        <v>167560</v>
      </c>
    </row>
    <row r="27" spans="3:14" ht="16.5" customHeight="1" thickBot="1" x14ac:dyDescent="0.4">
      <c r="C27" s="2">
        <v>18</v>
      </c>
      <c r="D27" s="2">
        <v>18</v>
      </c>
      <c r="E27" s="2">
        <v>4</v>
      </c>
      <c r="F27" s="2">
        <v>3</v>
      </c>
      <c r="G27" s="1">
        <v>17.741700000000002</v>
      </c>
      <c r="H27" s="1">
        <v>177408</v>
      </c>
      <c r="I27" s="1">
        <v>2371751</v>
      </c>
      <c r="J27" s="1">
        <v>2351699</v>
      </c>
      <c r="K27" s="1">
        <v>2381283</v>
      </c>
      <c r="L27" s="1">
        <v>2194335</v>
      </c>
      <c r="M27" s="19" t="s">
        <v>205</v>
      </c>
      <c r="N27" s="1">
        <v>177417</v>
      </c>
    </row>
    <row r="28" spans="3:14" ht="18" customHeight="1" thickBot="1" x14ac:dyDescent="0.4">
      <c r="C28" s="2">
        <v>19</v>
      </c>
      <c r="D28" s="2">
        <v>19</v>
      </c>
      <c r="E28" s="2">
        <v>5</v>
      </c>
      <c r="F28" s="2">
        <v>4</v>
      </c>
      <c r="G28" s="1">
        <v>18.7273</v>
      </c>
      <c r="H28" s="1">
        <v>187264</v>
      </c>
      <c r="I28" s="1">
        <v>2503515</v>
      </c>
      <c r="J28" s="1">
        <v>2482349</v>
      </c>
      <c r="K28" s="1">
        <v>2513577</v>
      </c>
      <c r="L28" s="1">
        <v>2316242</v>
      </c>
      <c r="M28" s="19" t="s">
        <v>206</v>
      </c>
      <c r="N28" s="1">
        <v>187273</v>
      </c>
    </row>
    <row r="29" spans="3:14" ht="16.5" customHeight="1" thickBot="1" x14ac:dyDescent="0.4">
      <c r="C29" s="2">
        <v>20</v>
      </c>
      <c r="D29" s="2">
        <v>20</v>
      </c>
      <c r="E29" s="2">
        <v>6</v>
      </c>
      <c r="F29" s="2">
        <v>5</v>
      </c>
      <c r="G29" s="1">
        <v>19.712900000000001</v>
      </c>
      <c r="H29" s="1">
        <v>197120</v>
      </c>
      <c r="I29" s="1">
        <v>2635279</v>
      </c>
      <c r="J29" s="1">
        <v>2612999</v>
      </c>
      <c r="K29" s="1">
        <v>2645870</v>
      </c>
      <c r="L29" s="1">
        <v>2438150</v>
      </c>
      <c r="M29" s="19" t="s">
        <v>206</v>
      </c>
      <c r="N29" s="1">
        <v>197129</v>
      </c>
    </row>
    <row r="30" spans="3:14" ht="15.75" customHeight="1" thickBot="1" x14ac:dyDescent="0.4">
      <c r="C30" s="2">
        <v>21</v>
      </c>
      <c r="D30" s="2">
        <v>21</v>
      </c>
      <c r="E30" s="2">
        <v>7</v>
      </c>
      <c r="F30" s="2">
        <v>1</v>
      </c>
      <c r="G30" s="1">
        <v>20.698599999999999</v>
      </c>
      <c r="H30" s="1">
        <v>206976</v>
      </c>
      <c r="I30" s="1">
        <v>2767043</v>
      </c>
      <c r="J30" s="1">
        <v>2743649</v>
      </c>
      <c r="K30" s="1">
        <v>2778164</v>
      </c>
      <c r="L30" s="1">
        <v>2560057</v>
      </c>
      <c r="M30" s="19" t="s">
        <v>206</v>
      </c>
      <c r="N30" s="1">
        <v>206986</v>
      </c>
    </row>
    <row r="31" spans="3:14" ht="16.5" customHeight="1" thickBot="1" x14ac:dyDescent="0.4">
      <c r="C31" s="2">
        <v>22</v>
      </c>
      <c r="D31" s="2">
        <v>22</v>
      </c>
      <c r="E31" s="2">
        <v>1</v>
      </c>
      <c r="F31" s="2">
        <v>2</v>
      </c>
      <c r="G31" s="1">
        <v>21.684200000000001</v>
      </c>
      <c r="H31" s="1">
        <v>216832</v>
      </c>
      <c r="I31" s="1">
        <v>2898807</v>
      </c>
      <c r="J31" s="1">
        <v>2874298</v>
      </c>
      <c r="K31" s="1">
        <v>2910457</v>
      </c>
      <c r="L31" s="1">
        <v>2681965</v>
      </c>
      <c r="M31" s="19" t="s">
        <v>207</v>
      </c>
      <c r="N31" s="1">
        <v>216842</v>
      </c>
    </row>
    <row r="32" spans="3:14" ht="16.5" customHeight="1" thickBot="1" x14ac:dyDescent="0.4">
      <c r="C32" s="2">
        <v>23</v>
      </c>
      <c r="D32" s="2">
        <v>23</v>
      </c>
      <c r="E32" s="2">
        <v>2</v>
      </c>
      <c r="F32" s="2">
        <v>3</v>
      </c>
      <c r="G32" s="1" t="s">
        <v>208</v>
      </c>
      <c r="H32" s="1">
        <v>226688</v>
      </c>
      <c r="I32" s="1">
        <v>3030571</v>
      </c>
      <c r="J32" s="1">
        <v>3004948</v>
      </c>
      <c r="K32" s="1">
        <v>3042751</v>
      </c>
      <c r="L32" s="1">
        <v>2803872</v>
      </c>
      <c r="M32" s="19" t="s">
        <v>207</v>
      </c>
      <c r="N32" s="1">
        <v>226699</v>
      </c>
    </row>
    <row r="33" spans="3:14" ht="15.75" customHeight="1" thickBot="1" x14ac:dyDescent="0.4">
      <c r="C33" s="2">
        <v>24</v>
      </c>
      <c r="D33" s="2">
        <v>24</v>
      </c>
      <c r="E33" s="2">
        <v>3</v>
      </c>
      <c r="F33" s="2">
        <v>4</v>
      </c>
      <c r="G33" s="1">
        <v>23.6555</v>
      </c>
      <c r="H33" s="1">
        <v>236544</v>
      </c>
      <c r="I33" s="1">
        <v>3162335</v>
      </c>
      <c r="J33" s="1">
        <v>3135598</v>
      </c>
      <c r="K33" s="1">
        <v>3175044</v>
      </c>
      <c r="L33" s="1">
        <v>2925780</v>
      </c>
      <c r="M33" s="19" t="s">
        <v>209</v>
      </c>
      <c r="N33" s="1">
        <v>236555</v>
      </c>
    </row>
    <row r="34" spans="3:14" ht="17.25" customHeight="1" thickBot="1" x14ac:dyDescent="0.4">
      <c r="C34" s="2">
        <v>25</v>
      </c>
      <c r="D34" s="2">
        <v>25</v>
      </c>
      <c r="E34" s="2">
        <v>4</v>
      </c>
      <c r="F34" s="2">
        <v>5</v>
      </c>
      <c r="G34" s="1">
        <v>24.641200000000001</v>
      </c>
      <c r="H34" s="1">
        <v>246400</v>
      </c>
      <c r="I34" s="1">
        <v>3294099</v>
      </c>
      <c r="J34" s="1">
        <v>3266248</v>
      </c>
      <c r="K34" s="1">
        <v>3307338</v>
      </c>
      <c r="L34" s="1">
        <v>3047687</v>
      </c>
      <c r="M34" s="19" t="s">
        <v>209</v>
      </c>
      <c r="N34" s="1">
        <v>246412</v>
      </c>
    </row>
    <row r="35" spans="3:14" ht="18" customHeight="1" thickBot="1" x14ac:dyDescent="0.4">
      <c r="C35" s="2">
        <v>26</v>
      </c>
      <c r="D35" s="2">
        <v>26</v>
      </c>
      <c r="E35" s="2">
        <v>5</v>
      </c>
      <c r="F35" s="2">
        <v>1</v>
      </c>
      <c r="G35" s="1">
        <v>25.626799999999999</v>
      </c>
      <c r="H35" s="1">
        <v>256256</v>
      </c>
      <c r="I35" s="1">
        <v>3425863</v>
      </c>
      <c r="J35" s="1">
        <v>3396898</v>
      </c>
      <c r="K35" s="1">
        <v>3439631</v>
      </c>
      <c r="L35" s="1">
        <v>3169595</v>
      </c>
      <c r="M35" s="19" t="s">
        <v>209</v>
      </c>
      <c r="N35" s="1">
        <v>256268</v>
      </c>
    </row>
    <row r="36" spans="3:14" ht="17.25" customHeight="1" thickBot="1" x14ac:dyDescent="0.4">
      <c r="C36" s="2">
        <v>27</v>
      </c>
      <c r="D36" s="2">
        <v>27</v>
      </c>
      <c r="E36" s="2">
        <v>6</v>
      </c>
      <c r="F36" s="2">
        <v>2</v>
      </c>
      <c r="G36" s="1">
        <v>26.612500000000001</v>
      </c>
      <c r="H36" s="1">
        <v>266112</v>
      </c>
      <c r="I36" s="1">
        <v>3557627</v>
      </c>
      <c r="J36" s="1">
        <v>3527548</v>
      </c>
      <c r="K36" s="1">
        <v>3571925</v>
      </c>
      <c r="L36" s="1">
        <v>3291502</v>
      </c>
      <c r="M36" s="19" t="s">
        <v>210</v>
      </c>
      <c r="N36" s="1">
        <v>266125</v>
      </c>
    </row>
    <row r="37" spans="3:14" ht="16.5" customHeight="1" thickBot="1" x14ac:dyDescent="0.4">
      <c r="C37" s="2">
        <v>28</v>
      </c>
      <c r="D37" s="2">
        <v>28</v>
      </c>
      <c r="E37" s="2">
        <v>7</v>
      </c>
      <c r="F37" s="2">
        <v>3</v>
      </c>
      <c r="G37" s="1">
        <v>27.598099999999999</v>
      </c>
      <c r="H37" s="1">
        <v>275968</v>
      </c>
      <c r="I37" s="1">
        <v>89391</v>
      </c>
      <c r="J37" s="1">
        <v>58198</v>
      </c>
      <c r="K37" s="1">
        <v>104218</v>
      </c>
      <c r="L37" s="1">
        <v>3413410</v>
      </c>
      <c r="M37" s="19" t="s">
        <v>210</v>
      </c>
      <c r="N37" s="1">
        <v>275981</v>
      </c>
    </row>
    <row r="38" spans="3:14" ht="17.25" customHeight="1" thickBot="1" x14ac:dyDescent="0.4">
      <c r="C38" s="2">
        <v>29</v>
      </c>
      <c r="D38" s="2">
        <v>29</v>
      </c>
      <c r="E38" s="2">
        <v>1</v>
      </c>
      <c r="F38" s="2">
        <v>4</v>
      </c>
      <c r="G38" s="1">
        <v>28.5838</v>
      </c>
      <c r="H38" s="1">
        <v>285824</v>
      </c>
      <c r="I38" s="1">
        <v>221155</v>
      </c>
      <c r="J38" s="1">
        <v>188848</v>
      </c>
      <c r="K38" s="1">
        <v>236512</v>
      </c>
      <c r="L38" s="1">
        <v>3535317</v>
      </c>
      <c r="M38" s="19" t="s">
        <v>210</v>
      </c>
      <c r="N38" s="1">
        <v>285838</v>
      </c>
    </row>
    <row r="39" spans="3:14" ht="18.75" customHeight="1" thickBot="1" x14ac:dyDescent="0.4">
      <c r="C39" s="2">
        <v>30</v>
      </c>
      <c r="D39" s="2">
        <v>30</v>
      </c>
      <c r="E39" s="2">
        <v>2</v>
      </c>
      <c r="F39" s="2">
        <v>5</v>
      </c>
      <c r="G39" s="1">
        <v>29.569400000000002</v>
      </c>
      <c r="H39" s="1">
        <v>295680</v>
      </c>
      <c r="I39" s="1">
        <v>352919</v>
      </c>
      <c r="J39" s="1">
        <v>319498</v>
      </c>
      <c r="K39" s="1">
        <v>368805</v>
      </c>
      <c r="L39" s="1">
        <v>57225</v>
      </c>
      <c r="M39" s="19" t="s">
        <v>211</v>
      </c>
      <c r="N39" s="1">
        <v>295694</v>
      </c>
    </row>
  </sheetData>
  <mergeCells count="11">
    <mergeCell ref="E7:F8"/>
    <mergeCell ref="N7:N8"/>
    <mergeCell ref="C7:C9"/>
    <mergeCell ref="D7:D8"/>
    <mergeCell ref="G7:G8"/>
    <mergeCell ref="H7:H8"/>
    <mergeCell ref="I7:I8"/>
    <mergeCell ref="J7:J8"/>
    <mergeCell ref="K7:K8"/>
    <mergeCell ref="L7:L8"/>
    <mergeCell ref="M7:M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86175-D6A3-434C-91B2-318EA4C9B65D}">
  <dimension ref="B4:F40"/>
  <sheetViews>
    <sheetView workbookViewId="0">
      <selection activeCell="B3" sqref="B3:F40"/>
    </sheetView>
  </sheetViews>
  <sheetFormatPr defaultRowHeight="14.5" x14ac:dyDescent="0.35"/>
  <cols>
    <col min="3" max="3" width="10.26953125" customWidth="1"/>
    <col min="4" max="4" width="11.7265625" customWidth="1"/>
    <col min="5" max="5" width="10.81640625" customWidth="1"/>
    <col min="6" max="6" width="12.54296875" customWidth="1"/>
  </cols>
  <sheetData>
    <row r="4" spans="2:6" x14ac:dyDescent="0.35">
      <c r="B4" s="52" t="s">
        <v>488</v>
      </c>
      <c r="C4" s="52"/>
      <c r="D4" s="52"/>
      <c r="E4" s="52"/>
      <c r="F4" s="52"/>
    </row>
    <row r="5" spans="2:6" x14ac:dyDescent="0.35">
      <c r="B5" s="52"/>
      <c r="C5" s="52"/>
      <c r="D5" s="52"/>
      <c r="E5" s="52"/>
      <c r="F5" s="52"/>
    </row>
    <row r="7" spans="2:6" x14ac:dyDescent="0.35">
      <c r="B7" s="53" t="s">
        <v>132</v>
      </c>
      <c r="C7" s="53"/>
      <c r="D7" s="53"/>
      <c r="E7" s="53"/>
      <c r="F7" s="53"/>
    </row>
    <row r="8" spans="2:6" x14ac:dyDescent="0.35">
      <c r="B8" s="54" t="s">
        <v>10</v>
      </c>
      <c r="C8" s="33" t="s">
        <v>9</v>
      </c>
      <c r="D8" s="3" t="s">
        <v>8</v>
      </c>
      <c r="E8" s="33" t="s">
        <v>7</v>
      </c>
      <c r="F8" s="33" t="s">
        <v>6</v>
      </c>
    </row>
    <row r="9" spans="2:6" x14ac:dyDescent="0.35">
      <c r="B9" s="55"/>
      <c r="C9" s="33" t="s">
        <v>5</v>
      </c>
      <c r="D9" s="33" t="s">
        <v>4</v>
      </c>
      <c r="E9" s="33" t="s">
        <v>3</v>
      </c>
      <c r="F9" s="33" t="s">
        <v>2</v>
      </c>
    </row>
    <row r="10" spans="2:6" x14ac:dyDescent="0.35">
      <c r="B10" s="33">
        <v>1</v>
      </c>
      <c r="C10" s="33">
        <v>2</v>
      </c>
      <c r="D10" s="33">
        <v>3</v>
      </c>
      <c r="E10" s="33">
        <v>4</v>
      </c>
      <c r="F10" s="33">
        <v>5</v>
      </c>
    </row>
    <row r="11" spans="2:6" x14ac:dyDescent="0.35">
      <c r="B11" s="33">
        <v>1</v>
      </c>
      <c r="C11" s="33">
        <v>354.36709999999999</v>
      </c>
      <c r="D11" s="33">
        <v>8.0460999999999991</v>
      </c>
      <c r="E11" s="34">
        <v>309.803</v>
      </c>
      <c r="F11" s="33">
        <v>349.26429999999999</v>
      </c>
    </row>
    <row r="12" spans="2:6" x14ac:dyDescent="0.35">
      <c r="B12" s="33">
        <v>2</v>
      </c>
      <c r="C12" s="33">
        <v>708.73410000000001</v>
      </c>
      <c r="D12" s="33">
        <v>16.092199999999998</v>
      </c>
      <c r="E12" s="34">
        <v>259.60599999999999</v>
      </c>
      <c r="F12" s="33">
        <v>338.52850000000001</v>
      </c>
    </row>
    <row r="13" spans="2:6" x14ac:dyDescent="0.35">
      <c r="B13" s="33">
        <v>3</v>
      </c>
      <c r="C13" s="33">
        <v>1063.1012000000001</v>
      </c>
      <c r="D13" s="33">
        <v>24.138200000000001</v>
      </c>
      <c r="E13" s="33">
        <v>209.4091</v>
      </c>
      <c r="F13" s="33">
        <v>327.7928</v>
      </c>
    </row>
    <row r="14" spans="2:6" x14ac:dyDescent="0.35">
      <c r="B14" s="33">
        <v>4</v>
      </c>
      <c r="C14" s="33">
        <v>1417.4683</v>
      </c>
      <c r="D14" s="33">
        <v>32.1843</v>
      </c>
      <c r="E14" s="33">
        <v>159.21209999999999</v>
      </c>
      <c r="F14" s="33">
        <v>317.05709999999999</v>
      </c>
    </row>
    <row r="15" spans="2:6" x14ac:dyDescent="0.35">
      <c r="B15" s="33">
        <v>5</v>
      </c>
      <c r="C15" s="33">
        <v>1771.8353</v>
      </c>
      <c r="D15" s="33">
        <v>40.230400000000003</v>
      </c>
      <c r="E15" s="33">
        <v>109.01519999999999</v>
      </c>
      <c r="F15" s="33">
        <v>306.32139999999998</v>
      </c>
    </row>
    <row r="16" spans="2:6" x14ac:dyDescent="0.35">
      <c r="B16" s="33">
        <v>6</v>
      </c>
      <c r="C16" s="33">
        <v>2126.2024000000001</v>
      </c>
      <c r="D16" s="33">
        <v>48.276499999999999</v>
      </c>
      <c r="E16" s="33">
        <v>58.818100000000001</v>
      </c>
      <c r="F16" s="33">
        <v>295.5856</v>
      </c>
    </row>
    <row r="17" spans="2:6" x14ac:dyDescent="0.35">
      <c r="B17" s="33">
        <v>7</v>
      </c>
      <c r="C17" s="33">
        <v>2480.5693999999999</v>
      </c>
      <c r="D17" s="33">
        <v>56.322499999999998</v>
      </c>
      <c r="E17" s="33">
        <v>8.6211000000000002</v>
      </c>
      <c r="F17" s="33">
        <v>284.84989999999999</v>
      </c>
    </row>
    <row r="18" spans="2:6" x14ac:dyDescent="0.35">
      <c r="B18" s="33">
        <v>8</v>
      </c>
      <c r="C18" s="33">
        <v>2834.9364999999998</v>
      </c>
      <c r="D18" s="33">
        <v>64.368600000000001</v>
      </c>
      <c r="E18" s="33">
        <v>318.42410000000001</v>
      </c>
      <c r="F18" s="33">
        <v>274.11419999999998</v>
      </c>
    </row>
    <row r="19" spans="2:6" x14ac:dyDescent="0.35">
      <c r="B19" s="33">
        <v>9</v>
      </c>
      <c r="C19" s="33">
        <v>3189.3036000000002</v>
      </c>
      <c r="D19" s="33">
        <v>72.414699999999996</v>
      </c>
      <c r="E19" s="33">
        <v>268.22719999999998</v>
      </c>
      <c r="F19" s="33">
        <v>263.37849999999997</v>
      </c>
    </row>
    <row r="20" spans="2:6" x14ac:dyDescent="0.35">
      <c r="B20" s="33">
        <v>10</v>
      </c>
      <c r="C20" s="33">
        <v>3543.6705999999999</v>
      </c>
      <c r="D20" s="33">
        <v>80.460800000000006</v>
      </c>
      <c r="E20" s="33">
        <v>218.03020000000001</v>
      </c>
      <c r="F20" s="33">
        <v>252.64269999999999</v>
      </c>
    </row>
    <row r="21" spans="2:6" x14ac:dyDescent="0.35">
      <c r="B21" s="33">
        <v>11</v>
      </c>
      <c r="C21" s="33">
        <v>3898.0376999999999</v>
      </c>
      <c r="D21" s="33">
        <v>88.506900000000002</v>
      </c>
      <c r="E21" s="33">
        <v>167.83320000000001</v>
      </c>
      <c r="F21" s="33">
        <v>241.90700000000001</v>
      </c>
    </row>
    <row r="22" spans="2:6" x14ac:dyDescent="0.35">
      <c r="B22" s="33">
        <v>12</v>
      </c>
      <c r="C22" s="33">
        <v>4252.4048000000003</v>
      </c>
      <c r="D22" s="33">
        <v>96.552899999999994</v>
      </c>
      <c r="E22" s="33">
        <v>117.6362</v>
      </c>
      <c r="F22" s="33">
        <v>231.1713</v>
      </c>
    </row>
    <row r="23" spans="2:6" x14ac:dyDescent="0.35">
      <c r="B23" s="33">
        <v>13</v>
      </c>
      <c r="C23" s="33">
        <v>4606.7718000000004</v>
      </c>
      <c r="D23" s="33">
        <v>104.599</v>
      </c>
      <c r="E23" s="33">
        <v>67.4392</v>
      </c>
      <c r="F23" s="33">
        <v>220.43549999999999</v>
      </c>
    </row>
    <row r="24" spans="2:6" x14ac:dyDescent="0.35">
      <c r="B24" s="33">
        <v>14</v>
      </c>
      <c r="C24" s="33">
        <v>4961.1388999999999</v>
      </c>
      <c r="D24" s="33">
        <v>112.6451</v>
      </c>
      <c r="E24" s="33">
        <v>17.2422</v>
      </c>
      <c r="F24" s="33">
        <v>209.69980000000001</v>
      </c>
    </row>
    <row r="25" spans="2:6" x14ac:dyDescent="0.35">
      <c r="B25" s="33">
        <v>15</v>
      </c>
      <c r="C25" s="33">
        <v>5315.5060000000003</v>
      </c>
      <c r="D25" s="33">
        <v>120.69119999999999</v>
      </c>
      <c r="E25" s="33">
        <v>327.0453</v>
      </c>
      <c r="F25" s="33">
        <v>198.9641</v>
      </c>
    </row>
    <row r="26" spans="2:6" x14ac:dyDescent="0.35">
      <c r="B26" s="33">
        <v>16</v>
      </c>
      <c r="C26" s="33">
        <v>5669.8729999999996</v>
      </c>
      <c r="D26" s="33">
        <v>128.7372</v>
      </c>
      <c r="E26" s="33">
        <v>276.84829999999999</v>
      </c>
      <c r="F26" s="33">
        <v>188.22839999999999</v>
      </c>
    </row>
    <row r="27" spans="2:6" x14ac:dyDescent="0.35">
      <c r="B27" s="33">
        <v>17</v>
      </c>
      <c r="C27" s="33">
        <v>6024.2401</v>
      </c>
      <c r="D27" s="33">
        <v>136.7833</v>
      </c>
      <c r="E27" s="33">
        <v>226.65129999999999</v>
      </c>
      <c r="F27" s="33">
        <v>177.49260000000001</v>
      </c>
    </row>
    <row r="28" spans="2:6" x14ac:dyDescent="0.35">
      <c r="B28" s="33">
        <v>18</v>
      </c>
      <c r="C28" s="33">
        <v>6378.6072000000004</v>
      </c>
      <c r="D28" s="33">
        <v>144.82939999999999</v>
      </c>
      <c r="E28" s="33">
        <v>176.45429999999999</v>
      </c>
      <c r="F28" s="33">
        <v>166.7569</v>
      </c>
    </row>
    <row r="29" spans="2:6" x14ac:dyDescent="0.35">
      <c r="B29" s="33">
        <v>19</v>
      </c>
      <c r="C29" s="33">
        <v>6732.9741999999997</v>
      </c>
      <c r="D29" s="33">
        <v>152.87549999999999</v>
      </c>
      <c r="E29" s="33">
        <v>126.2573</v>
      </c>
      <c r="F29" s="33">
        <v>156.02119999999999</v>
      </c>
    </row>
    <row r="30" spans="2:6" x14ac:dyDescent="0.35">
      <c r="B30" s="33">
        <v>20</v>
      </c>
      <c r="C30" s="33">
        <v>7087.3413</v>
      </c>
      <c r="D30" s="33">
        <v>160.92160000000001</v>
      </c>
      <c r="E30" s="33">
        <v>76.060299999999998</v>
      </c>
      <c r="F30" s="33">
        <v>145.28550000000001</v>
      </c>
    </row>
    <row r="31" spans="2:6" x14ac:dyDescent="0.35">
      <c r="B31" s="33">
        <v>21</v>
      </c>
      <c r="C31" s="33">
        <v>7441.7083000000002</v>
      </c>
      <c r="D31" s="33">
        <v>168.9676</v>
      </c>
      <c r="E31" s="33">
        <v>25.863399999999999</v>
      </c>
      <c r="F31" s="33">
        <v>134.5497</v>
      </c>
    </row>
    <row r="32" spans="2:6" x14ac:dyDescent="0.35">
      <c r="B32" s="33">
        <v>22</v>
      </c>
      <c r="C32" s="33">
        <v>7796.0753999999997</v>
      </c>
      <c r="D32" s="33">
        <v>177.0137</v>
      </c>
      <c r="E32" s="33">
        <v>335.66640000000001</v>
      </c>
      <c r="F32" s="33">
        <v>123.81399999999999</v>
      </c>
    </row>
    <row r="33" spans="2:6" x14ac:dyDescent="0.35">
      <c r="B33" s="33">
        <v>23</v>
      </c>
      <c r="C33" s="33">
        <v>8150.4425000000001</v>
      </c>
      <c r="D33" s="33">
        <v>185.0598</v>
      </c>
      <c r="E33" s="33">
        <v>285.46940000000001</v>
      </c>
      <c r="F33" s="33">
        <v>113.0783</v>
      </c>
    </row>
    <row r="34" spans="2:6" x14ac:dyDescent="0.35">
      <c r="B34" s="33">
        <v>24</v>
      </c>
      <c r="C34" s="33">
        <v>8504.8094999999994</v>
      </c>
      <c r="D34" s="33">
        <v>193.10589999999999</v>
      </c>
      <c r="E34" s="33">
        <v>235.27250000000001</v>
      </c>
      <c r="F34" s="33">
        <v>102.3426</v>
      </c>
    </row>
    <row r="35" spans="2:6" x14ac:dyDescent="0.35">
      <c r="B35" s="33">
        <v>25</v>
      </c>
      <c r="C35" s="33">
        <v>8859.1766000000007</v>
      </c>
      <c r="D35" s="33">
        <v>201.15199999999999</v>
      </c>
      <c r="E35" s="33">
        <v>185.07550000000001</v>
      </c>
      <c r="F35" s="33">
        <v>91.606800000000007</v>
      </c>
    </row>
    <row r="36" spans="2:6" x14ac:dyDescent="0.35">
      <c r="B36" s="33">
        <v>26</v>
      </c>
      <c r="C36" s="33">
        <v>9213.5437000000002</v>
      </c>
      <c r="D36" s="33">
        <v>209.19800000000001</v>
      </c>
      <c r="E36" s="33">
        <v>134.8785</v>
      </c>
      <c r="F36" s="33">
        <v>80.871099999999998</v>
      </c>
    </row>
    <row r="37" spans="2:6" x14ac:dyDescent="0.35">
      <c r="B37" s="33">
        <v>27</v>
      </c>
      <c r="C37" s="33">
        <v>9567.9107000000004</v>
      </c>
      <c r="D37" s="33">
        <v>217.2441</v>
      </c>
      <c r="E37" s="33">
        <v>84.6815</v>
      </c>
      <c r="F37" s="33">
        <v>70.135400000000004</v>
      </c>
    </row>
    <row r="38" spans="2:6" x14ac:dyDescent="0.35">
      <c r="B38" s="33">
        <v>28</v>
      </c>
      <c r="C38" s="33">
        <v>9922.2777999999998</v>
      </c>
      <c r="D38" s="33">
        <v>225.2902</v>
      </c>
      <c r="E38" s="33">
        <v>34.484499999999997</v>
      </c>
      <c r="F38" s="33">
        <v>59.399700000000003</v>
      </c>
    </row>
    <row r="39" spans="2:6" x14ac:dyDescent="0.35">
      <c r="B39" s="33">
        <v>29</v>
      </c>
      <c r="C39" s="33">
        <v>10276.644899999999</v>
      </c>
      <c r="D39" s="33">
        <v>233.33629999999999</v>
      </c>
      <c r="E39" s="33">
        <v>344.28750000000002</v>
      </c>
      <c r="F39" s="33">
        <v>48.663899999999998</v>
      </c>
    </row>
    <row r="40" spans="2:6" x14ac:dyDescent="0.35">
      <c r="B40" s="33">
        <v>30</v>
      </c>
      <c r="C40" s="33">
        <v>10631.0119</v>
      </c>
      <c r="D40" s="33">
        <v>241.38229999999999</v>
      </c>
      <c r="E40" s="33">
        <v>294.09050000000002</v>
      </c>
      <c r="F40" s="33">
        <v>37.928199999999997</v>
      </c>
    </row>
  </sheetData>
  <mergeCells count="3">
    <mergeCell ref="B4:F5"/>
    <mergeCell ref="B7:F7"/>
    <mergeCell ref="B8:B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5B82D-538E-4EC3-9EF5-C536ABD189B1}">
  <dimension ref="C3:J31"/>
  <sheetViews>
    <sheetView topLeftCell="B16" workbookViewId="0">
      <selection activeCell="C28" sqref="C28"/>
    </sheetView>
  </sheetViews>
  <sheetFormatPr defaultRowHeight="14.5" x14ac:dyDescent="0.35"/>
  <cols>
    <col min="3" max="3" width="11" customWidth="1"/>
    <col min="4" max="4" width="11.54296875" customWidth="1"/>
    <col min="5" max="5" width="11" customWidth="1"/>
    <col min="6" max="6" width="11.1796875" customWidth="1"/>
    <col min="7" max="8" width="10.453125" customWidth="1"/>
    <col min="9" max="9" width="10.7265625" customWidth="1"/>
    <col min="10" max="10" width="12.26953125" customWidth="1"/>
  </cols>
  <sheetData>
    <row r="3" spans="3:10" ht="15" thickBot="1" x14ac:dyDescent="0.4"/>
    <row r="4" spans="3:10" x14ac:dyDescent="0.35">
      <c r="C4" s="83"/>
      <c r="D4" s="85" t="s">
        <v>97</v>
      </c>
      <c r="E4" s="85" t="s">
        <v>100</v>
      </c>
      <c r="F4" s="85" t="s">
        <v>99</v>
      </c>
      <c r="G4" s="85" t="s">
        <v>212</v>
      </c>
      <c r="H4" s="85" t="s">
        <v>8</v>
      </c>
      <c r="I4" s="81" t="s">
        <v>102</v>
      </c>
      <c r="J4" s="81" t="s">
        <v>104</v>
      </c>
    </row>
    <row r="5" spans="3:10" ht="15" thickBot="1" x14ac:dyDescent="0.4">
      <c r="C5" s="84"/>
      <c r="D5" s="86"/>
      <c r="E5" s="86"/>
      <c r="F5" s="86"/>
      <c r="G5" s="86"/>
      <c r="H5" s="86"/>
      <c r="I5" s="82"/>
      <c r="J5" s="82"/>
    </row>
    <row r="6" spans="3:10" ht="15.5" thickBot="1" x14ac:dyDescent="0.4">
      <c r="C6" s="50"/>
      <c r="D6" s="20" t="s">
        <v>108</v>
      </c>
      <c r="E6" s="20" t="s">
        <v>109</v>
      </c>
      <c r="F6" s="20" t="s">
        <v>2</v>
      </c>
      <c r="G6" s="20" t="s">
        <v>5</v>
      </c>
      <c r="H6" s="20" t="s">
        <v>110</v>
      </c>
      <c r="I6" s="20" t="s">
        <v>111</v>
      </c>
      <c r="J6" s="20" t="s">
        <v>113</v>
      </c>
    </row>
    <row r="7" spans="3:10" ht="16" thickBot="1" x14ac:dyDescent="0.4">
      <c r="C7" s="5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3:10" ht="16" thickBot="1" x14ac:dyDescent="0.4">
      <c r="C8" s="2">
        <v>1</v>
      </c>
      <c r="D8" s="5">
        <v>4.1099999999999998E-2</v>
      </c>
      <c r="E8" s="5">
        <v>4.1099999999999998E-2</v>
      </c>
      <c r="F8" s="9">
        <v>0.54900000000000004</v>
      </c>
      <c r="G8" s="5">
        <v>0.5444</v>
      </c>
      <c r="H8" s="5">
        <v>0.55120000000000002</v>
      </c>
      <c r="I8" s="5">
        <v>0.50790000000000002</v>
      </c>
      <c r="J8" s="5">
        <v>15.0411</v>
      </c>
    </row>
    <row r="9" spans="3:10" ht="16" thickBot="1" x14ac:dyDescent="0.4">
      <c r="C9" s="5">
        <v>2</v>
      </c>
      <c r="D9" s="5">
        <v>8.2100000000000006E-2</v>
      </c>
      <c r="E9" s="5">
        <v>8.2100000000000006E-2</v>
      </c>
      <c r="F9" s="9">
        <v>1.0980000000000001</v>
      </c>
      <c r="G9" s="5">
        <v>1.0887</v>
      </c>
      <c r="H9" s="5">
        <v>1.1024</v>
      </c>
      <c r="I9" s="5">
        <v>1.0159</v>
      </c>
      <c r="J9" s="5">
        <v>30.082100000000001</v>
      </c>
    </row>
    <row r="10" spans="3:10" ht="16" thickBot="1" x14ac:dyDescent="0.4">
      <c r="C10" s="5">
        <v>3</v>
      </c>
      <c r="D10" s="5">
        <v>0.1232</v>
      </c>
      <c r="E10" s="5">
        <v>0.1232</v>
      </c>
      <c r="F10" s="9">
        <v>1.647</v>
      </c>
      <c r="G10" s="5">
        <v>1.6331</v>
      </c>
      <c r="H10" s="5">
        <v>1.6536999999999999</v>
      </c>
      <c r="I10" s="5">
        <v>1.5238</v>
      </c>
      <c r="J10" s="5">
        <v>45.123199999999997</v>
      </c>
    </row>
    <row r="11" spans="3:10" ht="16" thickBot="1" x14ac:dyDescent="0.4">
      <c r="C11" s="5">
        <v>4</v>
      </c>
      <c r="D11" s="5">
        <v>0.1643</v>
      </c>
      <c r="E11" s="5">
        <v>0.1643</v>
      </c>
      <c r="F11" s="5">
        <v>2.1960999999999999</v>
      </c>
      <c r="G11" s="5">
        <v>2.1775000000000002</v>
      </c>
      <c r="H11" s="5">
        <v>2.2048999999999999</v>
      </c>
      <c r="I11" s="5">
        <v>2.0318000000000001</v>
      </c>
      <c r="J11" s="5">
        <v>60.164299999999997</v>
      </c>
    </row>
    <row r="12" spans="3:10" ht="16" thickBot="1" x14ac:dyDescent="0.4">
      <c r="C12" s="5">
        <v>5</v>
      </c>
      <c r="D12" s="5">
        <v>0.20530000000000001</v>
      </c>
      <c r="E12" s="5">
        <v>0.20530000000000001</v>
      </c>
      <c r="F12" s="5">
        <v>2.7450999999999999</v>
      </c>
      <c r="G12" s="5">
        <v>2.7219000000000002</v>
      </c>
      <c r="H12" s="5">
        <v>2.7561</v>
      </c>
      <c r="I12" s="5">
        <v>2.5396999999999998</v>
      </c>
      <c r="J12" s="5">
        <v>75.205299999999994</v>
      </c>
    </row>
    <row r="13" spans="3:10" ht="16" thickBot="1" x14ac:dyDescent="0.4">
      <c r="C13" s="5">
        <v>6</v>
      </c>
      <c r="D13" s="5">
        <v>0.24640000000000001</v>
      </c>
      <c r="E13" s="5">
        <v>0.24640000000000001</v>
      </c>
      <c r="F13" s="5">
        <v>3.2940999999999998</v>
      </c>
      <c r="G13" s="5">
        <v>3.2662</v>
      </c>
      <c r="H13" s="5">
        <v>3.3073000000000001</v>
      </c>
      <c r="I13" s="5">
        <v>3.0476999999999999</v>
      </c>
      <c r="J13" s="5">
        <v>90.246399999999994</v>
      </c>
    </row>
    <row r="14" spans="3:10" ht="16" thickBot="1" x14ac:dyDescent="0.4">
      <c r="C14" s="5">
        <v>7</v>
      </c>
      <c r="D14" s="5">
        <v>0.28749999999999998</v>
      </c>
      <c r="E14" s="5">
        <v>0.28749999999999998</v>
      </c>
      <c r="F14" s="5">
        <v>3.8431000000000002</v>
      </c>
      <c r="G14" s="5">
        <v>3.8106</v>
      </c>
      <c r="H14" s="5">
        <v>3.8586</v>
      </c>
      <c r="I14" s="5">
        <v>3.5556000000000001</v>
      </c>
      <c r="J14" s="5">
        <v>105.28749999999999</v>
      </c>
    </row>
    <row r="15" spans="3:10" ht="16" thickBot="1" x14ac:dyDescent="0.4">
      <c r="C15" s="5">
        <v>8</v>
      </c>
      <c r="D15" s="5">
        <v>0.32850000000000001</v>
      </c>
      <c r="E15" s="5">
        <v>0.32850000000000001</v>
      </c>
      <c r="F15" s="5">
        <v>4.3921000000000001</v>
      </c>
      <c r="G15" s="9">
        <v>4.3550000000000004</v>
      </c>
      <c r="H15" s="5">
        <v>4.4097999999999997</v>
      </c>
      <c r="I15" s="5">
        <v>4.0636000000000001</v>
      </c>
      <c r="J15" s="5">
        <v>120.32850000000001</v>
      </c>
    </row>
    <row r="16" spans="3:10" ht="16" thickBot="1" x14ac:dyDescent="0.4">
      <c r="C16" s="5">
        <v>9</v>
      </c>
      <c r="D16" s="5">
        <v>0.36959999999999998</v>
      </c>
      <c r="E16" s="5">
        <v>0.36959999999999998</v>
      </c>
      <c r="F16" s="5">
        <v>4.9410999999999996</v>
      </c>
      <c r="G16" s="5">
        <v>4.8994</v>
      </c>
      <c r="H16" s="9">
        <v>4.9610000000000003</v>
      </c>
      <c r="I16" s="5">
        <v>4.5715000000000003</v>
      </c>
      <c r="J16" s="5">
        <v>135.36959999999999</v>
      </c>
    </row>
    <row r="17" spans="3:10" ht="16" thickBot="1" x14ac:dyDescent="0.4">
      <c r="C17" s="5">
        <v>10</v>
      </c>
      <c r="D17" s="5">
        <v>0.41070000000000001</v>
      </c>
      <c r="E17" s="5">
        <v>0.41070000000000001</v>
      </c>
      <c r="F17" s="5">
        <v>5.4901999999999997</v>
      </c>
      <c r="G17" s="5">
        <v>5.4436999999999998</v>
      </c>
      <c r="H17" s="5">
        <v>5.5122</v>
      </c>
      <c r="I17" s="5">
        <v>5.0795000000000003</v>
      </c>
      <c r="J17" s="5">
        <v>150.41069999999999</v>
      </c>
    </row>
    <row r="18" spans="3:10" ht="16" thickBot="1" x14ac:dyDescent="0.4">
      <c r="C18" s="5">
        <v>11</v>
      </c>
      <c r="D18" s="5">
        <v>0.45179999999999998</v>
      </c>
      <c r="E18" s="5">
        <v>0.45169999999999999</v>
      </c>
      <c r="F18" s="5">
        <v>6.0392000000000001</v>
      </c>
      <c r="G18" s="5">
        <v>5.9881000000000002</v>
      </c>
      <c r="H18" s="5">
        <v>6.0635000000000003</v>
      </c>
      <c r="I18" s="5">
        <v>5.5873999999999997</v>
      </c>
      <c r="J18" s="5">
        <v>165.45179999999999</v>
      </c>
    </row>
    <row r="19" spans="3:10" ht="16" thickBot="1" x14ac:dyDescent="0.4">
      <c r="C19" s="5">
        <v>12</v>
      </c>
      <c r="D19" s="5">
        <v>0.49280000000000002</v>
      </c>
      <c r="E19" s="5">
        <v>0.49280000000000002</v>
      </c>
      <c r="F19" s="5">
        <v>6.5881999999999996</v>
      </c>
      <c r="G19" s="5">
        <v>6.5324999999999998</v>
      </c>
      <c r="H19" s="5">
        <v>6.6147</v>
      </c>
      <c r="I19" s="5">
        <v>6.0953999999999997</v>
      </c>
      <c r="J19" s="5">
        <v>180.49279999999999</v>
      </c>
    </row>
    <row r="20" spans="3:10" ht="16" thickBot="1" x14ac:dyDescent="0.4">
      <c r="C20" s="5">
        <v>13</v>
      </c>
      <c r="D20" s="5">
        <v>0.53390000000000004</v>
      </c>
      <c r="E20" s="5">
        <v>0.53390000000000004</v>
      </c>
      <c r="F20" s="5">
        <v>7.1372</v>
      </c>
      <c r="G20" s="5">
        <v>7.0769000000000002</v>
      </c>
      <c r="H20" s="5">
        <v>7.1658999999999997</v>
      </c>
      <c r="I20" s="5">
        <v>6.6032999999999999</v>
      </c>
      <c r="J20" s="5">
        <v>195.53389999999999</v>
      </c>
    </row>
    <row r="21" spans="3:10" ht="16" thickBot="1" x14ac:dyDescent="0.4">
      <c r="C21" s="5">
        <v>14</v>
      </c>
      <c r="D21" s="9">
        <v>0.57499999999999996</v>
      </c>
      <c r="E21" s="5">
        <v>0.57489999999999997</v>
      </c>
      <c r="F21" s="5">
        <v>7.6862000000000004</v>
      </c>
      <c r="G21" s="5">
        <v>7.6212</v>
      </c>
      <c r="H21" s="5">
        <v>7.7171000000000003</v>
      </c>
      <c r="I21" s="5">
        <v>7.1113</v>
      </c>
      <c r="J21" s="9">
        <v>210.57499999999999</v>
      </c>
    </row>
    <row r="22" spans="3:10" ht="16" thickBot="1" x14ac:dyDescent="0.4">
      <c r="C22" s="2">
        <v>15</v>
      </c>
      <c r="D22" s="9">
        <v>0.61599999999999999</v>
      </c>
      <c r="E22" s="9">
        <v>0.61599999999999999</v>
      </c>
      <c r="F22" s="5">
        <v>8.2352000000000007</v>
      </c>
      <c r="G22" s="5">
        <v>8.1655999999999995</v>
      </c>
      <c r="H22" s="5">
        <v>8.2683</v>
      </c>
      <c r="I22" s="5">
        <v>7.6192000000000002</v>
      </c>
      <c r="J22" s="9">
        <v>225.61600000000001</v>
      </c>
    </row>
    <row r="23" spans="3:10" ht="16" thickBot="1" x14ac:dyDescent="0.4">
      <c r="C23" s="2">
        <v>16</v>
      </c>
      <c r="D23" s="5">
        <v>0.65710000000000002</v>
      </c>
      <c r="E23" s="5">
        <v>0.65710000000000002</v>
      </c>
      <c r="F23" s="5">
        <v>8.7843</v>
      </c>
      <c r="G23" s="9">
        <v>8.7100000000000009</v>
      </c>
      <c r="H23" s="5">
        <v>8.8195999999999994</v>
      </c>
      <c r="I23" s="5">
        <v>8.1272000000000002</v>
      </c>
      <c r="J23" s="5">
        <v>240.65710000000001</v>
      </c>
    </row>
    <row r="24" spans="3:10" ht="16" thickBot="1" x14ac:dyDescent="0.4">
      <c r="C24" s="2">
        <v>17</v>
      </c>
      <c r="D24" s="5">
        <v>0.69820000000000004</v>
      </c>
      <c r="E24" s="5">
        <v>0.69810000000000005</v>
      </c>
      <c r="F24" s="5">
        <v>9.3332999999999995</v>
      </c>
      <c r="G24" s="5">
        <v>9.2544000000000004</v>
      </c>
      <c r="H24" s="5">
        <v>9.3707999999999991</v>
      </c>
      <c r="I24" s="5">
        <v>8.6350999999999996</v>
      </c>
      <c r="J24" s="5">
        <v>255.69820000000001</v>
      </c>
    </row>
    <row r="25" spans="3:10" ht="16" thickBot="1" x14ac:dyDescent="0.4">
      <c r="C25" s="2">
        <v>18</v>
      </c>
      <c r="D25" s="5">
        <v>0.73919999999999997</v>
      </c>
      <c r="E25" s="5">
        <v>0.73919999999999997</v>
      </c>
      <c r="F25" s="5">
        <v>9.8823000000000008</v>
      </c>
      <c r="G25" s="5">
        <v>9.7987000000000002</v>
      </c>
      <c r="H25" s="5">
        <v>9.9220000000000006</v>
      </c>
      <c r="I25" s="5">
        <v>9.1431000000000004</v>
      </c>
      <c r="J25" s="5">
        <v>270.73919999999998</v>
      </c>
    </row>
    <row r="26" spans="3:10" ht="16" thickBot="1" x14ac:dyDescent="0.4">
      <c r="C26" s="2">
        <v>19</v>
      </c>
      <c r="D26" s="5">
        <v>0.78029999999999999</v>
      </c>
      <c r="E26" s="5">
        <v>0.78029999999999999</v>
      </c>
      <c r="F26" s="5">
        <v>10.4313</v>
      </c>
      <c r="G26" s="5">
        <v>10.3431</v>
      </c>
      <c r="H26" s="5">
        <v>10.4732</v>
      </c>
      <c r="I26" s="5">
        <v>9.6509999999999998</v>
      </c>
      <c r="J26" s="5">
        <v>285.78030000000001</v>
      </c>
    </row>
    <row r="27" spans="3:10" ht="16" thickBot="1" x14ac:dyDescent="0.4">
      <c r="C27" s="2">
        <v>20</v>
      </c>
      <c r="D27" s="5">
        <v>0.82140000000000002</v>
      </c>
      <c r="E27" s="5">
        <v>0.82130000000000003</v>
      </c>
      <c r="F27" s="5">
        <v>10.9803</v>
      </c>
      <c r="G27" s="5">
        <v>10.887499999999999</v>
      </c>
      <c r="H27" s="5">
        <v>11.0245</v>
      </c>
      <c r="I27" s="5">
        <v>10.159000000000001</v>
      </c>
      <c r="J27" s="5">
        <v>300.82139999999998</v>
      </c>
    </row>
    <row r="28" spans="3:10" ht="16" thickBot="1" x14ac:dyDescent="0.4">
      <c r="C28" s="5">
        <v>21</v>
      </c>
      <c r="D28" s="5">
        <v>0.86240000000000006</v>
      </c>
      <c r="E28" s="5">
        <v>0.86240000000000006</v>
      </c>
      <c r="F28" s="5">
        <v>11.529299999999999</v>
      </c>
      <c r="G28" s="5">
        <v>11.431900000000001</v>
      </c>
      <c r="H28" s="5">
        <v>11.575699999999999</v>
      </c>
      <c r="I28" s="5">
        <v>10.6669</v>
      </c>
      <c r="J28" s="5">
        <v>315.86239999999998</v>
      </c>
    </row>
    <row r="29" spans="3:10" ht="16" thickBot="1" x14ac:dyDescent="0.4">
      <c r="C29" s="5">
        <v>22</v>
      </c>
      <c r="D29" s="5">
        <v>0.90349999999999997</v>
      </c>
      <c r="E29" s="5">
        <v>0.90349999999999997</v>
      </c>
      <c r="F29" s="5">
        <v>12.0784</v>
      </c>
      <c r="G29" s="5">
        <v>11.9762</v>
      </c>
      <c r="H29" s="5">
        <v>12.126899999999999</v>
      </c>
      <c r="I29" s="5">
        <v>11.174899999999999</v>
      </c>
      <c r="J29" s="5">
        <v>330.90350000000001</v>
      </c>
    </row>
    <row r="30" spans="3:10" ht="16" thickBot="1" x14ac:dyDescent="0.4">
      <c r="C30" s="5">
        <v>23</v>
      </c>
      <c r="D30" s="5">
        <v>0.9446</v>
      </c>
      <c r="E30" s="5">
        <v>0.94450000000000001</v>
      </c>
      <c r="F30" s="5">
        <v>12.6274</v>
      </c>
      <c r="G30" s="5">
        <v>12.5206</v>
      </c>
      <c r="H30" s="5">
        <v>12.678100000000001</v>
      </c>
      <c r="I30" s="5">
        <v>11.6828</v>
      </c>
      <c r="J30" s="5">
        <v>345.94459999999998</v>
      </c>
    </row>
    <row r="31" spans="3:10" ht="16" thickBot="1" x14ac:dyDescent="0.4">
      <c r="C31" s="5">
        <v>24</v>
      </c>
      <c r="D31" s="5">
        <v>0.98560000000000003</v>
      </c>
      <c r="E31" s="5">
        <v>0.98560000000000003</v>
      </c>
      <c r="F31" s="5">
        <v>13.176399999999999</v>
      </c>
      <c r="G31" s="5">
        <v>13.065</v>
      </c>
      <c r="H31" s="5">
        <v>13.2294</v>
      </c>
      <c r="I31" s="5">
        <v>12.1907</v>
      </c>
      <c r="J31" s="5">
        <v>0.98560000000000003</v>
      </c>
    </row>
  </sheetData>
  <mergeCells count="8">
    <mergeCell ref="I4:I5"/>
    <mergeCell ref="J4:J5"/>
    <mergeCell ref="C4:C6"/>
    <mergeCell ref="D4:D5"/>
    <mergeCell ref="E4:E5"/>
    <mergeCell ref="F4:F5"/>
    <mergeCell ref="G4:G5"/>
    <mergeCell ref="H4:H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FBFE-90EA-4C5A-A19B-F97CD93EA58F}">
  <dimension ref="C3:J67"/>
  <sheetViews>
    <sheetView workbookViewId="0">
      <selection activeCell="J4" sqref="J4:J5"/>
    </sheetView>
  </sheetViews>
  <sheetFormatPr defaultRowHeight="14.5" x14ac:dyDescent="0.35"/>
  <cols>
    <col min="4" max="4" width="10.7265625" customWidth="1"/>
    <col min="5" max="5" width="12" customWidth="1"/>
    <col min="6" max="6" width="11.1796875" customWidth="1"/>
    <col min="7" max="7" width="11.26953125" customWidth="1"/>
    <col min="8" max="8" width="10.81640625" customWidth="1"/>
    <col min="9" max="9" width="10" customWidth="1"/>
    <col min="10" max="10" width="11.26953125" customWidth="1"/>
  </cols>
  <sheetData>
    <row r="3" spans="3:10" ht="15" thickBot="1" x14ac:dyDescent="0.4"/>
    <row r="4" spans="3:10" x14ac:dyDescent="0.35">
      <c r="C4" s="83" t="s">
        <v>0</v>
      </c>
      <c r="D4" s="81" t="s">
        <v>97</v>
      </c>
      <c r="E4" s="81" t="s">
        <v>100</v>
      </c>
      <c r="F4" s="81" t="s">
        <v>99</v>
      </c>
      <c r="G4" s="81" t="s">
        <v>212</v>
      </c>
      <c r="H4" s="81" t="s">
        <v>8</v>
      </c>
      <c r="I4" s="81" t="s">
        <v>102</v>
      </c>
      <c r="J4" s="81" t="s">
        <v>104</v>
      </c>
    </row>
    <row r="5" spans="3:10" ht="15" thickBot="1" x14ac:dyDescent="0.4">
      <c r="C5" s="84"/>
      <c r="D5" s="82"/>
      <c r="E5" s="82"/>
      <c r="F5" s="82"/>
      <c r="G5" s="82"/>
      <c r="H5" s="82"/>
      <c r="I5" s="82"/>
      <c r="J5" s="82"/>
    </row>
    <row r="6" spans="3:10" ht="15.5" thickBot="1" x14ac:dyDescent="0.4">
      <c r="C6" s="50"/>
      <c r="D6" s="20" t="s">
        <v>108</v>
      </c>
      <c r="E6" s="20" t="s">
        <v>109</v>
      </c>
      <c r="F6" s="20" t="s">
        <v>2</v>
      </c>
      <c r="G6" s="20" t="s">
        <v>5</v>
      </c>
      <c r="H6" s="20" t="s">
        <v>110</v>
      </c>
      <c r="I6" s="20" t="s">
        <v>111</v>
      </c>
      <c r="J6" s="20" t="s">
        <v>113</v>
      </c>
    </row>
    <row r="7" spans="3:10" ht="16" thickBot="1" x14ac:dyDescent="0.4">
      <c r="C7" s="21"/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3:10" ht="16" thickBot="1" x14ac:dyDescent="0.4">
      <c r="C8" s="5">
        <v>1</v>
      </c>
      <c r="D8" s="9">
        <v>6.9999999999999999E-4</v>
      </c>
      <c r="E8" s="9">
        <v>6.9999999999999999E-4</v>
      </c>
      <c r="F8" s="9">
        <v>9.1999999999999998E-3</v>
      </c>
      <c r="G8" s="9">
        <v>9.1000000000000004E-3</v>
      </c>
      <c r="H8" s="9">
        <v>9.1999999999999998E-3</v>
      </c>
      <c r="I8" s="9">
        <v>8.5000000000000006E-3</v>
      </c>
      <c r="J8" s="9">
        <v>0.25069999999999998</v>
      </c>
    </row>
    <row r="9" spans="3:10" ht="16" thickBot="1" x14ac:dyDescent="0.4">
      <c r="C9" s="5">
        <v>2</v>
      </c>
      <c r="D9" s="9">
        <v>1.4E-3</v>
      </c>
      <c r="E9" s="9">
        <v>1.4E-3</v>
      </c>
      <c r="F9" s="9">
        <v>1.83E-2</v>
      </c>
      <c r="G9" s="9">
        <v>1.8100000000000002E-2</v>
      </c>
      <c r="H9" s="9">
        <v>1.84E-2</v>
      </c>
      <c r="I9" s="9">
        <v>1.6899999999999998E-2</v>
      </c>
      <c r="J9" s="9">
        <v>0.50139999999999996</v>
      </c>
    </row>
    <row r="10" spans="3:10" ht="16" thickBot="1" x14ac:dyDescent="0.4">
      <c r="C10" s="5">
        <v>3</v>
      </c>
      <c r="D10" s="9">
        <v>2.0999999999999999E-3</v>
      </c>
      <c r="E10" s="9">
        <v>2.0999999999999999E-3</v>
      </c>
      <c r="F10" s="9">
        <v>2.75E-2</v>
      </c>
      <c r="G10" s="9">
        <v>2.7199999999999998E-2</v>
      </c>
      <c r="H10" s="9">
        <v>2.76E-2</v>
      </c>
      <c r="I10" s="9">
        <v>2.5399999999999999E-2</v>
      </c>
      <c r="J10" s="9">
        <v>0.75209999999999999</v>
      </c>
    </row>
    <row r="11" spans="3:10" ht="16" thickBot="1" x14ac:dyDescent="0.4">
      <c r="C11" s="5">
        <v>4</v>
      </c>
      <c r="D11" s="9">
        <v>2.7000000000000001E-3</v>
      </c>
      <c r="E11" s="9">
        <v>2.7000000000000001E-3</v>
      </c>
      <c r="F11" s="9">
        <v>3.6600000000000001E-2</v>
      </c>
      <c r="G11" s="9">
        <v>3.6299999999999999E-2</v>
      </c>
      <c r="H11" s="9">
        <v>3.6700000000000003E-2</v>
      </c>
      <c r="I11" s="9">
        <v>3.39E-2</v>
      </c>
      <c r="J11" s="9">
        <v>1.0026999999999999</v>
      </c>
    </row>
    <row r="12" spans="3:10" ht="16" thickBot="1" x14ac:dyDescent="0.4">
      <c r="C12" s="5">
        <v>5</v>
      </c>
      <c r="D12" s="9">
        <v>3.3999999999999998E-3</v>
      </c>
      <c r="E12" s="9">
        <v>3.3999999999999998E-3</v>
      </c>
      <c r="F12" s="9">
        <v>4.58E-2</v>
      </c>
      <c r="G12" s="9">
        <v>4.5400000000000003E-2</v>
      </c>
      <c r="H12" s="9">
        <v>4.5900000000000003E-2</v>
      </c>
      <c r="I12" s="9">
        <v>4.2299999999999997E-2</v>
      </c>
      <c r="J12" s="9">
        <v>1.2534000000000001</v>
      </c>
    </row>
    <row r="13" spans="3:10" ht="16" thickBot="1" x14ac:dyDescent="0.4">
      <c r="C13" s="5">
        <v>6</v>
      </c>
      <c r="D13" s="9">
        <v>4.1000000000000003E-3</v>
      </c>
      <c r="E13" s="9">
        <v>4.1000000000000003E-3</v>
      </c>
      <c r="F13" s="9">
        <v>5.4899999999999997E-2</v>
      </c>
      <c r="G13" s="9">
        <v>5.4399999999999997E-2</v>
      </c>
      <c r="H13" s="9">
        <v>5.5100000000000003E-2</v>
      </c>
      <c r="I13" s="9">
        <v>5.0799999999999998E-2</v>
      </c>
      <c r="J13" s="9">
        <v>1.5041</v>
      </c>
    </row>
    <row r="14" spans="3:10" ht="16" thickBot="1" x14ac:dyDescent="0.4">
      <c r="C14" s="5">
        <v>7</v>
      </c>
      <c r="D14" s="9">
        <v>4.7999999999999996E-3</v>
      </c>
      <c r="E14" s="9">
        <v>4.7999999999999996E-3</v>
      </c>
      <c r="F14" s="9">
        <v>6.4100000000000004E-2</v>
      </c>
      <c r="G14" s="9">
        <v>6.3500000000000001E-2</v>
      </c>
      <c r="H14" s="9">
        <v>6.4299999999999996E-2</v>
      </c>
      <c r="I14" s="9">
        <v>5.9299999999999999E-2</v>
      </c>
      <c r="J14" s="9">
        <v>1.7547999999999999</v>
      </c>
    </row>
    <row r="15" spans="3:10" ht="16" thickBot="1" x14ac:dyDescent="0.4">
      <c r="C15" s="5">
        <v>8</v>
      </c>
      <c r="D15" s="9">
        <v>5.4999999999999997E-3</v>
      </c>
      <c r="E15" s="9">
        <v>5.4999999999999997E-3</v>
      </c>
      <c r="F15" s="9">
        <v>7.3200000000000001E-2</v>
      </c>
      <c r="G15" s="9">
        <v>7.2599999999999998E-2</v>
      </c>
      <c r="H15" s="9">
        <v>7.3499999999999996E-2</v>
      </c>
      <c r="I15" s="9">
        <v>6.7699999999999996E-2</v>
      </c>
      <c r="J15" s="9">
        <v>2.0055000000000001</v>
      </c>
    </row>
    <row r="16" spans="3:10" ht="16" thickBot="1" x14ac:dyDescent="0.4">
      <c r="C16" s="5">
        <v>9</v>
      </c>
      <c r="D16" s="9">
        <v>6.1999999999999998E-3</v>
      </c>
      <c r="E16" s="9">
        <v>6.1999999999999998E-3</v>
      </c>
      <c r="F16" s="9">
        <v>8.2400000000000001E-2</v>
      </c>
      <c r="G16" s="9">
        <v>8.1699999999999995E-2</v>
      </c>
      <c r="H16" s="9">
        <v>8.2699999999999996E-2</v>
      </c>
      <c r="I16" s="9">
        <v>7.6200000000000004E-2</v>
      </c>
      <c r="J16" s="9">
        <v>2.2562000000000002</v>
      </c>
    </row>
    <row r="17" spans="3:10" ht="16" thickBot="1" x14ac:dyDescent="0.4">
      <c r="C17" s="5">
        <v>10</v>
      </c>
      <c r="D17" s="9">
        <v>6.7999999999999996E-3</v>
      </c>
      <c r="E17" s="9">
        <v>6.7999999999999996E-3</v>
      </c>
      <c r="F17" s="9">
        <v>9.1499999999999998E-2</v>
      </c>
      <c r="G17" s="9">
        <v>9.0700000000000003E-2</v>
      </c>
      <c r="H17" s="9">
        <v>9.1899999999999996E-2</v>
      </c>
      <c r="I17" s="9">
        <v>8.4699999999999998E-2</v>
      </c>
      <c r="J17" s="9">
        <v>2.5068000000000001</v>
      </c>
    </row>
    <row r="18" spans="3:10" ht="16" thickBot="1" x14ac:dyDescent="0.4">
      <c r="C18" s="5">
        <v>11</v>
      </c>
      <c r="D18" s="9">
        <v>7.4999999999999997E-3</v>
      </c>
      <c r="E18" s="9">
        <v>7.4999999999999997E-3</v>
      </c>
      <c r="F18" s="9">
        <v>0.1007</v>
      </c>
      <c r="G18" s="9">
        <v>9.98E-2</v>
      </c>
      <c r="H18" s="9">
        <v>0.1011</v>
      </c>
      <c r="I18" s="9">
        <v>9.3100000000000002E-2</v>
      </c>
      <c r="J18" s="9">
        <v>2.7574999999999998</v>
      </c>
    </row>
    <row r="19" spans="3:10" ht="16" thickBot="1" x14ac:dyDescent="0.4">
      <c r="C19" s="5">
        <v>12</v>
      </c>
      <c r="D19" s="9">
        <v>8.2000000000000007E-3</v>
      </c>
      <c r="E19" s="9">
        <v>8.2000000000000007E-3</v>
      </c>
      <c r="F19" s="9">
        <v>0.10979999999999999</v>
      </c>
      <c r="G19" s="9">
        <v>0.1089</v>
      </c>
      <c r="H19" s="9">
        <v>0.11020000000000001</v>
      </c>
      <c r="I19" s="9">
        <v>0.1016</v>
      </c>
      <c r="J19" s="9">
        <v>3.0082</v>
      </c>
    </row>
    <row r="20" spans="3:10" ht="16" thickBot="1" x14ac:dyDescent="0.4">
      <c r="C20" s="5">
        <v>13</v>
      </c>
      <c r="D20" s="9">
        <v>8.8999999999999999E-3</v>
      </c>
      <c r="E20" s="9">
        <v>8.8999999999999999E-3</v>
      </c>
      <c r="F20" s="9">
        <v>0.11899999999999999</v>
      </c>
      <c r="G20" s="9">
        <v>0.1179</v>
      </c>
      <c r="H20" s="9">
        <v>0.11940000000000001</v>
      </c>
      <c r="I20" s="9">
        <v>0.1101</v>
      </c>
      <c r="J20" s="9">
        <v>3.2589000000000001</v>
      </c>
    </row>
    <row r="21" spans="3:10" ht="16" thickBot="1" x14ac:dyDescent="0.4">
      <c r="C21" s="5">
        <v>14</v>
      </c>
      <c r="D21" s="9">
        <v>9.5999999999999992E-3</v>
      </c>
      <c r="E21" s="9">
        <v>9.5999999999999992E-3</v>
      </c>
      <c r="F21" s="9">
        <v>0.12809999999999999</v>
      </c>
      <c r="G21" s="9">
        <v>0.127</v>
      </c>
      <c r="H21" s="9">
        <v>0.12859999999999999</v>
      </c>
      <c r="I21" s="9">
        <v>0.11849999999999999</v>
      </c>
      <c r="J21" s="9">
        <v>3.5095999999999998</v>
      </c>
    </row>
    <row r="22" spans="3:10" ht="16" thickBot="1" x14ac:dyDescent="0.4">
      <c r="C22" s="5">
        <v>15</v>
      </c>
      <c r="D22" s="9">
        <v>1.03E-2</v>
      </c>
      <c r="E22" s="9">
        <v>1.03E-2</v>
      </c>
      <c r="F22" s="9">
        <v>0.13730000000000001</v>
      </c>
      <c r="G22" s="9">
        <v>0.1361</v>
      </c>
      <c r="H22" s="9">
        <v>0.13780000000000001</v>
      </c>
      <c r="I22" s="9">
        <v>0.127</v>
      </c>
      <c r="J22" s="9">
        <v>3.7603</v>
      </c>
    </row>
    <row r="23" spans="3:10" ht="16" thickBot="1" x14ac:dyDescent="0.4">
      <c r="C23" s="5">
        <v>16</v>
      </c>
      <c r="D23" s="9">
        <v>1.0999999999999999E-2</v>
      </c>
      <c r="E23" s="9">
        <v>1.0999999999999999E-2</v>
      </c>
      <c r="F23" s="9">
        <v>0.1464</v>
      </c>
      <c r="G23" s="9">
        <v>0.1452</v>
      </c>
      <c r="H23" s="9">
        <v>0.14699999999999999</v>
      </c>
      <c r="I23" s="9">
        <v>0.13550000000000001</v>
      </c>
      <c r="J23" s="9">
        <v>4.0110000000000001</v>
      </c>
    </row>
    <row r="24" spans="3:10" ht="16" thickBot="1" x14ac:dyDescent="0.4">
      <c r="C24" s="5">
        <v>17</v>
      </c>
      <c r="D24" s="9">
        <v>1.1599999999999999E-2</v>
      </c>
      <c r="E24" s="9">
        <v>1.1599999999999999E-2</v>
      </c>
      <c r="F24" s="9">
        <v>0.15559999999999999</v>
      </c>
      <c r="G24" s="9">
        <v>0.1542</v>
      </c>
      <c r="H24" s="9">
        <v>0.15620000000000001</v>
      </c>
      <c r="I24" s="9">
        <v>0.1439</v>
      </c>
      <c r="J24" s="9">
        <v>4.2615999999999996</v>
      </c>
    </row>
    <row r="25" spans="3:10" ht="16" thickBot="1" x14ac:dyDescent="0.4">
      <c r="C25" s="5">
        <v>18</v>
      </c>
      <c r="D25" s="9">
        <v>1.23E-2</v>
      </c>
      <c r="E25" s="9">
        <v>1.23E-2</v>
      </c>
      <c r="F25" s="9">
        <v>0.16470000000000001</v>
      </c>
      <c r="G25" s="9">
        <v>0.1633</v>
      </c>
      <c r="H25" s="9">
        <v>0.16539999999999999</v>
      </c>
      <c r="I25" s="9">
        <v>0.15240000000000001</v>
      </c>
      <c r="J25" s="9">
        <v>4.5122999999999998</v>
      </c>
    </row>
    <row r="26" spans="3:10" ht="16" thickBot="1" x14ac:dyDescent="0.4">
      <c r="C26" s="5">
        <v>19</v>
      </c>
      <c r="D26" s="9">
        <v>1.2999999999999999E-2</v>
      </c>
      <c r="E26" s="9">
        <v>1.2999999999999999E-2</v>
      </c>
      <c r="F26" s="9">
        <v>0.1739</v>
      </c>
      <c r="G26" s="9">
        <v>0.1724</v>
      </c>
      <c r="H26" s="9">
        <v>0.17460000000000001</v>
      </c>
      <c r="I26" s="9">
        <v>0.16089999999999999</v>
      </c>
      <c r="J26" s="9">
        <v>4.7629999999999999</v>
      </c>
    </row>
    <row r="27" spans="3:10" ht="16" thickBot="1" x14ac:dyDescent="0.4">
      <c r="C27" s="5">
        <v>20</v>
      </c>
      <c r="D27" s="9">
        <v>1.37E-2</v>
      </c>
      <c r="E27" s="9">
        <v>1.37E-2</v>
      </c>
      <c r="F27" s="9">
        <v>0.183</v>
      </c>
      <c r="G27" s="9">
        <v>0.18149999999999999</v>
      </c>
      <c r="H27" s="9">
        <v>0.1837</v>
      </c>
      <c r="I27" s="9">
        <v>0.16930000000000001</v>
      </c>
      <c r="J27" s="9">
        <v>5.0137</v>
      </c>
    </row>
    <row r="28" spans="3:10" ht="16" thickBot="1" x14ac:dyDescent="0.4">
      <c r="C28" s="5">
        <v>21</v>
      </c>
      <c r="D28" s="9">
        <v>1.44E-2</v>
      </c>
      <c r="E28" s="9">
        <v>1.44E-2</v>
      </c>
      <c r="F28" s="9">
        <v>0.19220000000000001</v>
      </c>
      <c r="G28" s="9">
        <v>0.1905</v>
      </c>
      <c r="H28" s="9">
        <v>0.19289999999999999</v>
      </c>
      <c r="I28" s="9">
        <v>0.17780000000000001</v>
      </c>
      <c r="J28" s="9">
        <v>5.2644000000000002</v>
      </c>
    </row>
    <row r="29" spans="3:10" ht="16" thickBot="1" x14ac:dyDescent="0.4">
      <c r="C29" s="5">
        <v>22</v>
      </c>
      <c r="D29" s="9">
        <v>1.5100000000000001E-2</v>
      </c>
      <c r="E29" s="9">
        <v>1.5100000000000001E-2</v>
      </c>
      <c r="F29" s="9">
        <v>0.20130000000000001</v>
      </c>
      <c r="G29" s="9">
        <v>0.1996</v>
      </c>
      <c r="H29" s="9">
        <v>0.2021</v>
      </c>
      <c r="I29" s="9">
        <v>0.18629999999999999</v>
      </c>
      <c r="J29" s="9">
        <v>5.5151000000000003</v>
      </c>
    </row>
    <row r="30" spans="3:10" ht="16" thickBot="1" x14ac:dyDescent="0.4">
      <c r="C30" s="5">
        <v>23</v>
      </c>
      <c r="D30" s="9">
        <v>1.5699999999999999E-2</v>
      </c>
      <c r="E30" s="9">
        <v>1.5699999999999999E-2</v>
      </c>
      <c r="F30" s="9">
        <v>0.21049999999999999</v>
      </c>
      <c r="G30" s="9">
        <v>0.2087</v>
      </c>
      <c r="H30" s="9">
        <v>0.21129999999999999</v>
      </c>
      <c r="I30" s="9">
        <v>0.19470000000000001</v>
      </c>
      <c r="J30" s="9">
        <v>5.7656999999999998</v>
      </c>
    </row>
    <row r="31" spans="3:10" ht="16" thickBot="1" x14ac:dyDescent="0.4">
      <c r="C31" s="5">
        <v>24</v>
      </c>
      <c r="D31" s="9">
        <v>1.6400000000000001E-2</v>
      </c>
      <c r="E31" s="9">
        <v>1.6400000000000001E-2</v>
      </c>
      <c r="F31" s="9">
        <v>0.21959999999999999</v>
      </c>
      <c r="G31" s="9">
        <v>0.2177</v>
      </c>
      <c r="H31" s="9">
        <v>0.2205</v>
      </c>
      <c r="I31" s="9">
        <v>0.20319999999999999</v>
      </c>
      <c r="J31" s="9">
        <v>6.0164</v>
      </c>
    </row>
    <row r="32" spans="3:10" ht="16" thickBot="1" x14ac:dyDescent="0.4">
      <c r="C32" s="5">
        <v>25</v>
      </c>
      <c r="D32" s="9">
        <v>1.7100000000000001E-2</v>
      </c>
      <c r="E32" s="9">
        <v>1.7100000000000001E-2</v>
      </c>
      <c r="F32" s="9">
        <v>0.2288</v>
      </c>
      <c r="G32" s="9">
        <v>0.2268</v>
      </c>
      <c r="H32" s="9">
        <v>0.22969999999999999</v>
      </c>
      <c r="I32" s="9">
        <v>0.21160000000000001</v>
      </c>
      <c r="J32" s="9">
        <v>6.2671000000000001</v>
      </c>
    </row>
    <row r="33" spans="3:10" ht="16" thickBot="1" x14ac:dyDescent="0.4">
      <c r="C33" s="5">
        <v>26</v>
      </c>
      <c r="D33" s="9">
        <v>1.78E-2</v>
      </c>
      <c r="E33" s="9">
        <v>1.78E-2</v>
      </c>
      <c r="F33" s="9">
        <v>0.2379</v>
      </c>
      <c r="G33" s="9">
        <v>0.2359</v>
      </c>
      <c r="H33" s="9">
        <v>0.2389</v>
      </c>
      <c r="I33" s="9">
        <v>0.22009999999999999</v>
      </c>
      <c r="J33" s="9">
        <v>6.5178000000000003</v>
      </c>
    </row>
    <row r="34" spans="3:10" ht="16" thickBot="1" x14ac:dyDescent="0.4">
      <c r="C34" s="5">
        <v>27</v>
      </c>
      <c r="D34" s="9">
        <v>1.8499999999999999E-2</v>
      </c>
      <c r="E34" s="9">
        <v>1.8499999999999999E-2</v>
      </c>
      <c r="F34" s="9">
        <v>0.24709999999999999</v>
      </c>
      <c r="G34" s="9">
        <v>0.245</v>
      </c>
      <c r="H34" s="9">
        <v>0.24809999999999999</v>
      </c>
      <c r="I34" s="9">
        <v>0.2286</v>
      </c>
      <c r="J34" s="9">
        <v>6.7685000000000004</v>
      </c>
    </row>
    <row r="35" spans="3:10" ht="16" thickBot="1" x14ac:dyDescent="0.4">
      <c r="C35" s="5">
        <v>28</v>
      </c>
      <c r="D35" s="9">
        <v>1.9199999999999998E-2</v>
      </c>
      <c r="E35" s="9">
        <v>1.9199999999999998E-2</v>
      </c>
      <c r="F35" s="9">
        <v>0.25619999999999998</v>
      </c>
      <c r="G35" s="9">
        <v>0.254</v>
      </c>
      <c r="H35" s="9">
        <v>0.25719999999999998</v>
      </c>
      <c r="I35" s="9">
        <v>0.23699999999999999</v>
      </c>
      <c r="J35" s="9">
        <v>7.0191999999999997</v>
      </c>
    </row>
    <row r="36" spans="3:10" ht="16" thickBot="1" x14ac:dyDescent="0.4">
      <c r="C36" s="5">
        <v>29</v>
      </c>
      <c r="D36" s="9">
        <v>1.9800000000000002E-2</v>
      </c>
      <c r="E36" s="9">
        <v>1.9800000000000002E-2</v>
      </c>
      <c r="F36" s="9">
        <v>0.26540000000000002</v>
      </c>
      <c r="G36" s="9">
        <v>0.2631</v>
      </c>
      <c r="H36" s="9">
        <v>0.26640000000000003</v>
      </c>
      <c r="I36" s="9">
        <v>0.2455</v>
      </c>
      <c r="J36" s="9">
        <v>7.2698</v>
      </c>
    </row>
    <row r="37" spans="3:10" ht="16" thickBot="1" x14ac:dyDescent="0.4">
      <c r="C37" s="5">
        <v>30</v>
      </c>
      <c r="D37" s="9">
        <v>2.0500000000000001E-2</v>
      </c>
      <c r="E37" s="9">
        <v>2.0500000000000001E-2</v>
      </c>
      <c r="F37" s="9">
        <v>0.27450000000000002</v>
      </c>
      <c r="G37" s="9">
        <v>0.2722</v>
      </c>
      <c r="H37" s="9">
        <v>0.27560000000000001</v>
      </c>
      <c r="I37" s="9">
        <v>0.254</v>
      </c>
      <c r="J37" s="9">
        <v>7.5205000000000002</v>
      </c>
    </row>
    <row r="38" spans="3:10" ht="16" thickBot="1" x14ac:dyDescent="0.4">
      <c r="C38" s="5">
        <v>31</v>
      </c>
      <c r="D38" s="9">
        <v>2.12E-2</v>
      </c>
      <c r="E38" s="9">
        <v>2.12E-2</v>
      </c>
      <c r="F38" s="9">
        <v>0.28370000000000001</v>
      </c>
      <c r="G38" s="9">
        <v>0.28129999999999999</v>
      </c>
      <c r="H38" s="9">
        <v>0.2848</v>
      </c>
      <c r="I38" s="9">
        <v>0.26240000000000002</v>
      </c>
      <c r="J38" s="9">
        <v>7.7712000000000003</v>
      </c>
    </row>
    <row r="39" spans="3:10" ht="16" thickBot="1" x14ac:dyDescent="0.4">
      <c r="C39" s="5">
        <v>32</v>
      </c>
      <c r="D39" s="9">
        <v>2.1899999999999999E-2</v>
      </c>
      <c r="E39" s="9">
        <v>2.1899999999999999E-2</v>
      </c>
      <c r="F39" s="9">
        <v>0.2928</v>
      </c>
      <c r="G39" s="9">
        <v>0.2903</v>
      </c>
      <c r="H39" s="9">
        <v>0.29399999999999998</v>
      </c>
      <c r="I39" s="9">
        <v>0.27089999999999997</v>
      </c>
      <c r="J39" s="9">
        <v>8.0219000000000005</v>
      </c>
    </row>
    <row r="40" spans="3:10" ht="16" thickBot="1" x14ac:dyDescent="0.4">
      <c r="C40" s="5">
        <v>33</v>
      </c>
      <c r="D40" s="9">
        <v>2.2599999999999999E-2</v>
      </c>
      <c r="E40" s="9">
        <v>2.2599999999999999E-2</v>
      </c>
      <c r="F40" s="9">
        <v>0.30199999999999999</v>
      </c>
      <c r="G40" s="9">
        <v>0.2994</v>
      </c>
      <c r="H40" s="9">
        <v>0.30320000000000003</v>
      </c>
      <c r="I40" s="9">
        <v>0.27939999999999998</v>
      </c>
      <c r="J40" s="9">
        <v>8.2726000000000006</v>
      </c>
    </row>
    <row r="41" spans="3:10" ht="16" thickBot="1" x14ac:dyDescent="0.4">
      <c r="C41" s="5">
        <v>34</v>
      </c>
      <c r="D41" s="9">
        <v>2.3300000000000001E-2</v>
      </c>
      <c r="E41" s="9">
        <v>2.3300000000000001E-2</v>
      </c>
      <c r="F41" s="9">
        <v>0.31109999999999999</v>
      </c>
      <c r="G41" s="9">
        <v>0.3085</v>
      </c>
      <c r="H41" s="9">
        <v>0.31240000000000001</v>
      </c>
      <c r="I41" s="9">
        <v>0.2878</v>
      </c>
      <c r="J41" s="9">
        <v>8.5233000000000008</v>
      </c>
    </row>
    <row r="42" spans="3:10" ht="16" thickBot="1" x14ac:dyDescent="0.4">
      <c r="C42" s="5">
        <v>35</v>
      </c>
      <c r="D42" s="9">
        <v>2.4E-2</v>
      </c>
      <c r="E42" s="9">
        <v>2.4E-2</v>
      </c>
      <c r="F42" s="9">
        <v>0.32029999999999997</v>
      </c>
      <c r="G42" s="9">
        <v>0.31759999999999999</v>
      </c>
      <c r="H42" s="9">
        <v>0.32150000000000001</v>
      </c>
      <c r="I42" s="9">
        <v>0.29630000000000001</v>
      </c>
      <c r="J42" s="9">
        <v>8.7739999999999991</v>
      </c>
    </row>
    <row r="43" spans="3:10" ht="16" thickBot="1" x14ac:dyDescent="0.4">
      <c r="C43" s="5">
        <v>36</v>
      </c>
      <c r="D43" s="9">
        <v>2.46E-2</v>
      </c>
      <c r="E43" s="9">
        <v>2.46E-2</v>
      </c>
      <c r="F43" s="9">
        <v>0.32940000000000003</v>
      </c>
      <c r="G43" s="9">
        <v>0.3266</v>
      </c>
      <c r="H43" s="9">
        <v>0.33069999999999999</v>
      </c>
      <c r="I43" s="9">
        <v>0.30480000000000002</v>
      </c>
      <c r="J43" s="9">
        <v>9.0245999999999995</v>
      </c>
    </row>
    <row r="44" spans="3:10" ht="16" thickBot="1" x14ac:dyDescent="0.4">
      <c r="C44" s="5">
        <v>37</v>
      </c>
      <c r="D44" s="9">
        <v>2.53E-2</v>
      </c>
      <c r="E44" s="9">
        <v>2.53E-2</v>
      </c>
      <c r="F44" s="9">
        <v>0.33860000000000001</v>
      </c>
      <c r="G44" s="9">
        <v>0.3357</v>
      </c>
      <c r="H44" s="9">
        <v>0.33989999999999998</v>
      </c>
      <c r="I44" s="9">
        <v>0.31319999999999998</v>
      </c>
      <c r="J44" s="9">
        <v>9.2752999999999997</v>
      </c>
    </row>
    <row r="45" spans="3:10" ht="16" thickBot="1" x14ac:dyDescent="0.4">
      <c r="C45" s="5">
        <v>38</v>
      </c>
      <c r="D45" s="9">
        <v>2.5999999999999999E-2</v>
      </c>
      <c r="E45" s="9">
        <v>2.5999999999999999E-2</v>
      </c>
      <c r="F45" s="9">
        <v>0.34770000000000001</v>
      </c>
      <c r="G45" s="9">
        <v>0.3448</v>
      </c>
      <c r="H45" s="9">
        <v>0.34910000000000002</v>
      </c>
      <c r="I45" s="9">
        <v>0.32169999999999999</v>
      </c>
      <c r="J45" s="9">
        <v>9.5259999999999998</v>
      </c>
    </row>
    <row r="46" spans="3:10" ht="16" thickBot="1" x14ac:dyDescent="0.4">
      <c r="C46" s="5">
        <v>39</v>
      </c>
      <c r="D46" s="9">
        <v>2.6700000000000002E-2</v>
      </c>
      <c r="E46" s="9">
        <v>2.6700000000000002E-2</v>
      </c>
      <c r="F46" s="9">
        <v>0.3569</v>
      </c>
      <c r="G46" s="9">
        <v>0.3538</v>
      </c>
      <c r="H46" s="9">
        <v>0.35830000000000001</v>
      </c>
      <c r="I46" s="9">
        <v>0.33019999999999999</v>
      </c>
      <c r="J46" s="9">
        <v>9.7766999999999999</v>
      </c>
    </row>
    <row r="47" spans="3:10" ht="16" thickBot="1" x14ac:dyDescent="0.4">
      <c r="C47" s="5">
        <v>40</v>
      </c>
      <c r="D47" s="9">
        <v>2.7400000000000001E-2</v>
      </c>
      <c r="E47" s="9">
        <v>2.7400000000000001E-2</v>
      </c>
      <c r="F47" s="9">
        <v>0.36599999999999999</v>
      </c>
      <c r="G47" s="9">
        <v>0.3629</v>
      </c>
      <c r="H47" s="9">
        <v>0.36749999999999999</v>
      </c>
      <c r="I47" s="9">
        <v>0.33860000000000001</v>
      </c>
      <c r="J47" s="9">
        <v>10.0274</v>
      </c>
    </row>
    <row r="48" spans="3:10" ht="16" thickBot="1" x14ac:dyDescent="0.4">
      <c r="C48" s="5">
        <v>41</v>
      </c>
      <c r="D48" s="9">
        <v>2.81E-2</v>
      </c>
      <c r="E48" s="9">
        <v>2.81E-2</v>
      </c>
      <c r="F48" s="9">
        <v>0.37519999999999998</v>
      </c>
      <c r="G48" s="9">
        <v>0.372</v>
      </c>
      <c r="H48" s="9">
        <v>0.37669999999999998</v>
      </c>
      <c r="I48" s="9">
        <v>0.34710000000000002</v>
      </c>
      <c r="J48" s="9">
        <v>10.2781</v>
      </c>
    </row>
    <row r="49" spans="3:10" ht="16" thickBot="1" x14ac:dyDescent="0.4">
      <c r="C49" s="5">
        <v>42</v>
      </c>
      <c r="D49" s="9">
        <v>2.87E-2</v>
      </c>
      <c r="E49" s="9">
        <v>2.87E-2</v>
      </c>
      <c r="F49" s="9">
        <v>0.38429999999999997</v>
      </c>
      <c r="G49" s="9">
        <v>0.38109999999999999</v>
      </c>
      <c r="H49" s="9">
        <v>0.38590000000000002</v>
      </c>
      <c r="I49" s="9">
        <v>0.35560000000000003</v>
      </c>
      <c r="J49" s="9">
        <v>10.528700000000001</v>
      </c>
    </row>
    <row r="50" spans="3:10" ht="16" thickBot="1" x14ac:dyDescent="0.4">
      <c r="C50" s="5">
        <v>43</v>
      </c>
      <c r="D50" s="9">
        <v>2.9399999999999999E-2</v>
      </c>
      <c r="E50" s="9">
        <v>2.9399999999999999E-2</v>
      </c>
      <c r="F50" s="9">
        <v>0.39350000000000002</v>
      </c>
      <c r="G50" s="9">
        <v>0.3901</v>
      </c>
      <c r="H50" s="9">
        <v>0.39500000000000002</v>
      </c>
      <c r="I50" s="9">
        <v>0.36399999999999999</v>
      </c>
      <c r="J50" s="9">
        <v>10.779400000000001</v>
      </c>
    </row>
    <row r="51" spans="3:10" ht="16" thickBot="1" x14ac:dyDescent="0.4">
      <c r="C51" s="5">
        <v>44</v>
      </c>
      <c r="D51" s="9">
        <v>3.0099999999999998E-2</v>
      </c>
      <c r="E51" s="9">
        <v>3.0099999999999998E-2</v>
      </c>
      <c r="F51" s="9">
        <v>0.40260000000000001</v>
      </c>
      <c r="G51" s="9">
        <v>0.3992</v>
      </c>
      <c r="H51" s="9">
        <v>0.4042</v>
      </c>
      <c r="I51" s="9">
        <v>0.3725</v>
      </c>
      <c r="J51" s="9">
        <v>11.030099999999999</v>
      </c>
    </row>
    <row r="52" spans="3:10" ht="16" thickBot="1" x14ac:dyDescent="0.4">
      <c r="C52" s="5">
        <v>45</v>
      </c>
      <c r="D52" s="9">
        <v>3.0800000000000001E-2</v>
      </c>
      <c r="E52" s="9">
        <v>3.0800000000000001E-2</v>
      </c>
      <c r="F52" s="9">
        <v>0.4118</v>
      </c>
      <c r="G52" s="9">
        <v>0.4083</v>
      </c>
      <c r="H52" s="9">
        <v>0.41339999999999999</v>
      </c>
      <c r="I52" s="9">
        <v>0.38100000000000001</v>
      </c>
      <c r="J52" s="9">
        <v>11.280799999999999</v>
      </c>
    </row>
    <row r="53" spans="3:10" ht="16" thickBot="1" x14ac:dyDescent="0.4">
      <c r="C53" s="5">
        <v>46</v>
      </c>
      <c r="D53" s="9">
        <v>3.15E-2</v>
      </c>
      <c r="E53" s="9">
        <v>3.15E-2</v>
      </c>
      <c r="F53" s="9">
        <v>0.4209</v>
      </c>
      <c r="G53" s="9">
        <v>0.41739999999999999</v>
      </c>
      <c r="H53" s="9">
        <v>0.42259999999999998</v>
      </c>
      <c r="I53" s="9">
        <v>0.38940000000000002</v>
      </c>
      <c r="J53" s="9">
        <v>11.531499999999999</v>
      </c>
    </row>
    <row r="54" spans="3:10" ht="16" thickBot="1" x14ac:dyDescent="0.4">
      <c r="C54" s="5">
        <v>47</v>
      </c>
      <c r="D54" s="9">
        <v>3.2199999999999999E-2</v>
      </c>
      <c r="E54" s="9">
        <v>3.2199999999999999E-2</v>
      </c>
      <c r="F54" s="9">
        <v>0.43009999999999998</v>
      </c>
      <c r="G54" s="9">
        <v>0.4264</v>
      </c>
      <c r="H54" s="9">
        <v>0.43180000000000002</v>
      </c>
      <c r="I54" s="9">
        <v>0.39789999999999998</v>
      </c>
      <c r="J54" s="9">
        <v>11.7822</v>
      </c>
    </row>
    <row r="55" spans="3:10" ht="16" thickBot="1" x14ac:dyDescent="0.4">
      <c r="C55" s="5">
        <v>48</v>
      </c>
      <c r="D55" s="9">
        <v>3.2899999999999999E-2</v>
      </c>
      <c r="E55" s="9">
        <v>3.2899999999999999E-2</v>
      </c>
      <c r="F55" s="9">
        <v>0.43919999999999998</v>
      </c>
      <c r="G55" s="9">
        <v>0.4355</v>
      </c>
      <c r="H55" s="9">
        <v>0.441</v>
      </c>
      <c r="I55" s="9">
        <v>0.40639999999999998</v>
      </c>
      <c r="J55" s="9">
        <v>12.0329</v>
      </c>
    </row>
    <row r="56" spans="3:10" ht="16" thickBot="1" x14ac:dyDescent="0.4">
      <c r="C56" s="5">
        <v>49</v>
      </c>
      <c r="D56" s="9">
        <v>3.3500000000000002E-2</v>
      </c>
      <c r="E56" s="9">
        <v>3.3500000000000002E-2</v>
      </c>
      <c r="F56" s="9">
        <v>0.44840000000000002</v>
      </c>
      <c r="G56" s="9">
        <v>0.4446</v>
      </c>
      <c r="H56" s="9">
        <v>0.45019999999999999</v>
      </c>
      <c r="I56" s="9">
        <v>0.4148</v>
      </c>
      <c r="J56" s="9">
        <v>12.2835</v>
      </c>
    </row>
    <row r="57" spans="3:10" ht="16" thickBot="1" x14ac:dyDescent="0.4">
      <c r="C57" s="5">
        <v>50</v>
      </c>
      <c r="D57" s="9">
        <v>3.4200000000000001E-2</v>
      </c>
      <c r="E57" s="9">
        <v>3.4200000000000001E-2</v>
      </c>
      <c r="F57" s="9">
        <v>0.45750000000000002</v>
      </c>
      <c r="G57" s="9">
        <v>0.4536</v>
      </c>
      <c r="H57" s="9">
        <v>0.45939999999999998</v>
      </c>
      <c r="I57" s="9">
        <v>0.42330000000000001</v>
      </c>
      <c r="J57" s="9">
        <v>12.5342</v>
      </c>
    </row>
    <row r="58" spans="3:10" ht="16" thickBot="1" x14ac:dyDescent="0.4">
      <c r="C58" s="5">
        <v>51</v>
      </c>
      <c r="D58" s="9">
        <v>3.49E-2</v>
      </c>
      <c r="E58" s="9">
        <v>3.49E-2</v>
      </c>
      <c r="F58" s="9">
        <v>0.4667</v>
      </c>
      <c r="G58" s="9">
        <v>0.4627</v>
      </c>
      <c r="H58" s="9">
        <v>0.46850000000000003</v>
      </c>
      <c r="I58" s="9">
        <v>0.43180000000000002</v>
      </c>
      <c r="J58" s="9">
        <v>12.7849</v>
      </c>
    </row>
    <row r="59" spans="3:10" ht="16" thickBot="1" x14ac:dyDescent="0.4">
      <c r="C59" s="5">
        <v>52</v>
      </c>
      <c r="D59" s="9">
        <v>3.56E-2</v>
      </c>
      <c r="E59" s="9">
        <v>3.56E-2</v>
      </c>
      <c r="F59" s="9">
        <v>0.4758</v>
      </c>
      <c r="G59" s="9">
        <v>0.4718</v>
      </c>
      <c r="H59" s="9">
        <v>0.47770000000000001</v>
      </c>
      <c r="I59" s="9">
        <v>0.44019999999999998</v>
      </c>
      <c r="J59" s="9">
        <v>13.035600000000001</v>
      </c>
    </row>
    <row r="60" spans="3:10" ht="16" thickBot="1" x14ac:dyDescent="0.4">
      <c r="C60" s="5">
        <v>53</v>
      </c>
      <c r="D60" s="9">
        <v>3.6299999999999999E-2</v>
      </c>
      <c r="E60" s="9">
        <v>3.6299999999999999E-2</v>
      </c>
      <c r="F60" s="9">
        <v>0.48499999999999999</v>
      </c>
      <c r="G60" s="9">
        <v>0.48089999999999999</v>
      </c>
      <c r="H60" s="9">
        <v>0.4869</v>
      </c>
      <c r="I60" s="9">
        <v>0.44869999999999999</v>
      </c>
      <c r="J60" s="9">
        <v>13.286300000000001</v>
      </c>
    </row>
    <row r="61" spans="3:10" ht="16" thickBot="1" x14ac:dyDescent="0.4">
      <c r="C61" s="5">
        <v>54</v>
      </c>
      <c r="D61" s="9">
        <v>3.6999999999999998E-2</v>
      </c>
      <c r="E61" s="9">
        <v>3.6999999999999998E-2</v>
      </c>
      <c r="F61" s="9">
        <v>0.49409999999999998</v>
      </c>
      <c r="G61" s="9">
        <v>0.4899</v>
      </c>
      <c r="H61" s="9">
        <v>0.49609999999999999</v>
      </c>
      <c r="I61" s="9">
        <v>0.4572</v>
      </c>
      <c r="J61" s="9">
        <v>13.537000000000001</v>
      </c>
    </row>
    <row r="62" spans="3:10" ht="16" thickBot="1" x14ac:dyDescent="0.4">
      <c r="C62" s="5">
        <v>55</v>
      </c>
      <c r="D62" s="9">
        <v>3.7600000000000001E-2</v>
      </c>
      <c r="E62" s="9">
        <v>3.7600000000000001E-2</v>
      </c>
      <c r="F62" s="9">
        <v>0.50329999999999997</v>
      </c>
      <c r="G62" s="9">
        <v>0.499</v>
      </c>
      <c r="H62" s="9">
        <v>0.50529999999999997</v>
      </c>
      <c r="I62" s="9">
        <v>0.46560000000000001</v>
      </c>
      <c r="J62" s="9">
        <v>13.787599999999999</v>
      </c>
    </row>
    <row r="63" spans="3:10" ht="16" thickBot="1" x14ac:dyDescent="0.4">
      <c r="C63" s="5">
        <v>56</v>
      </c>
      <c r="D63" s="9">
        <v>3.8300000000000001E-2</v>
      </c>
      <c r="E63" s="9">
        <v>3.8300000000000001E-2</v>
      </c>
      <c r="F63" s="9">
        <v>0.51239999999999997</v>
      </c>
      <c r="G63" s="9">
        <v>0.5081</v>
      </c>
      <c r="H63" s="9">
        <v>0.51449999999999996</v>
      </c>
      <c r="I63" s="9">
        <v>0.47410000000000002</v>
      </c>
      <c r="J63" s="9">
        <v>14.0383</v>
      </c>
    </row>
    <row r="64" spans="3:10" ht="16" thickBot="1" x14ac:dyDescent="0.4">
      <c r="C64" s="5">
        <v>57</v>
      </c>
      <c r="D64" s="9">
        <v>3.9E-2</v>
      </c>
      <c r="E64" s="9">
        <v>3.9E-2</v>
      </c>
      <c r="F64" s="9">
        <v>0.52159999999999995</v>
      </c>
      <c r="G64" s="9">
        <v>0.51719999999999999</v>
      </c>
      <c r="H64" s="9">
        <v>0.52370000000000005</v>
      </c>
      <c r="I64" s="9">
        <v>0.48259999999999997</v>
      </c>
      <c r="J64" s="9">
        <v>14.289</v>
      </c>
    </row>
    <row r="65" spans="3:10" ht="16" thickBot="1" x14ac:dyDescent="0.4">
      <c r="C65" s="5">
        <v>58</v>
      </c>
      <c r="D65" s="9">
        <v>3.9699999999999999E-2</v>
      </c>
      <c r="E65" s="9">
        <v>3.9699999999999999E-2</v>
      </c>
      <c r="F65" s="9">
        <v>0.53069999999999995</v>
      </c>
      <c r="G65" s="9">
        <v>0.5262</v>
      </c>
      <c r="H65" s="9">
        <v>0.53280000000000005</v>
      </c>
      <c r="I65" s="9">
        <v>0.49099999999999999</v>
      </c>
      <c r="J65" s="9">
        <v>14.5397</v>
      </c>
    </row>
    <row r="66" spans="3:10" ht="16" thickBot="1" x14ac:dyDescent="0.4">
      <c r="C66" s="5">
        <v>59</v>
      </c>
      <c r="D66" s="9">
        <v>4.0399999999999998E-2</v>
      </c>
      <c r="E66" s="9">
        <v>4.0399999999999998E-2</v>
      </c>
      <c r="F66" s="9">
        <v>0.53990000000000005</v>
      </c>
      <c r="G66" s="9">
        <v>0.5353</v>
      </c>
      <c r="H66" s="9">
        <v>0.54200000000000004</v>
      </c>
      <c r="I66" s="9">
        <v>0.4995</v>
      </c>
      <c r="J66" s="9">
        <v>14.7904</v>
      </c>
    </row>
    <row r="67" spans="3:10" ht="16" thickBot="1" x14ac:dyDescent="0.4">
      <c r="C67" s="5">
        <v>60</v>
      </c>
      <c r="D67" s="9">
        <v>4.1099999999999998E-2</v>
      </c>
      <c r="E67" s="9">
        <v>4.1099999999999998E-2</v>
      </c>
      <c r="F67" s="9">
        <v>0.54900000000000004</v>
      </c>
      <c r="G67" s="9">
        <v>0.5444</v>
      </c>
      <c r="H67" s="9">
        <v>0.55120000000000002</v>
      </c>
      <c r="I67" s="9">
        <v>0.50790000000000002</v>
      </c>
      <c r="J67" s="9">
        <v>15.0411</v>
      </c>
    </row>
  </sheetData>
  <mergeCells count="8">
    <mergeCell ref="I4:I5"/>
    <mergeCell ref="J4:J5"/>
    <mergeCell ref="C4:C6"/>
    <mergeCell ref="D4:D5"/>
    <mergeCell ref="E4:E5"/>
    <mergeCell ref="F4:F5"/>
    <mergeCell ref="G4:G5"/>
    <mergeCell ref="H4:H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E95B-243D-480B-A318-1755447641AA}">
  <dimension ref="C3:J67"/>
  <sheetViews>
    <sheetView workbookViewId="0">
      <selection activeCell="N8" sqref="N8"/>
    </sheetView>
  </sheetViews>
  <sheetFormatPr defaultRowHeight="14.5" x14ac:dyDescent="0.35"/>
  <cols>
    <col min="3" max="3" width="10.1796875" customWidth="1"/>
    <col min="4" max="4" width="11.1796875" customWidth="1"/>
    <col min="5" max="5" width="10.453125" customWidth="1"/>
    <col min="6" max="6" width="10.54296875" customWidth="1"/>
    <col min="7" max="7" width="10.81640625" customWidth="1"/>
    <col min="8" max="8" width="10.453125" customWidth="1"/>
    <col min="9" max="9" width="11.1796875" customWidth="1"/>
    <col min="10" max="10" width="10.54296875" customWidth="1"/>
  </cols>
  <sheetData>
    <row r="3" spans="3:10" ht="15" thickBot="1" x14ac:dyDescent="0.4"/>
    <row r="4" spans="3:10" x14ac:dyDescent="0.35">
      <c r="C4" s="87"/>
      <c r="D4" s="81" t="s">
        <v>97</v>
      </c>
      <c r="E4" s="81" t="s">
        <v>100</v>
      </c>
      <c r="F4" s="81" t="s">
        <v>99</v>
      </c>
      <c r="G4" s="81" t="s">
        <v>212</v>
      </c>
      <c r="H4" s="81" t="s">
        <v>8</v>
      </c>
      <c r="I4" s="81" t="s">
        <v>102</v>
      </c>
      <c r="J4" s="81" t="s">
        <v>104</v>
      </c>
    </row>
    <row r="5" spans="3:10" ht="15" thickBot="1" x14ac:dyDescent="0.4">
      <c r="C5" s="88"/>
      <c r="D5" s="82"/>
      <c r="E5" s="82"/>
      <c r="F5" s="82"/>
      <c r="G5" s="82"/>
      <c r="H5" s="82"/>
      <c r="I5" s="82"/>
      <c r="J5" s="82"/>
    </row>
    <row r="6" spans="3:10" ht="15.5" thickBot="1" x14ac:dyDescent="0.4">
      <c r="C6" s="89"/>
      <c r="D6" s="20" t="s">
        <v>223</v>
      </c>
      <c r="E6" s="20" t="s">
        <v>222</v>
      </c>
      <c r="F6" s="20" t="s">
        <v>221</v>
      </c>
      <c r="G6" s="20" t="s">
        <v>220</v>
      </c>
      <c r="H6" s="20" t="s">
        <v>219</v>
      </c>
      <c r="I6" s="20" t="s">
        <v>111</v>
      </c>
      <c r="J6" s="20" t="s">
        <v>113</v>
      </c>
    </row>
    <row r="7" spans="3:10" ht="16" thickBot="1" x14ac:dyDescent="0.4">
      <c r="C7" s="5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3:10" ht="16" thickBot="1" x14ac:dyDescent="0.4">
      <c r="C8" s="5">
        <v>1</v>
      </c>
      <c r="D8" s="9">
        <v>1E-4</v>
      </c>
      <c r="E8" s="9">
        <v>0</v>
      </c>
      <c r="F8" s="9">
        <v>2.0000000000000001E-4</v>
      </c>
      <c r="G8" s="9">
        <v>2.0000000000000001E-4</v>
      </c>
      <c r="H8" s="9">
        <v>2.0000000000000001E-4</v>
      </c>
      <c r="I8" s="9">
        <v>2.0000000000000001E-4</v>
      </c>
      <c r="J8" s="9">
        <v>4.1999999999999997E-3</v>
      </c>
    </row>
    <row r="9" spans="3:10" ht="16" thickBot="1" x14ac:dyDescent="0.4">
      <c r="C9" s="5">
        <v>2</v>
      </c>
      <c r="D9" s="9">
        <v>0</v>
      </c>
      <c r="E9" s="9">
        <v>0</v>
      </c>
      <c r="F9" s="9">
        <v>2.9999999999999997E-4</v>
      </c>
      <c r="G9" s="9">
        <v>2.9999999999999997E-4</v>
      </c>
      <c r="H9" s="9">
        <v>2.9999999999999997E-4</v>
      </c>
      <c r="I9" s="9">
        <v>2.9999999999999997E-4</v>
      </c>
      <c r="J9" s="9">
        <v>8.3999999999999995E-3</v>
      </c>
    </row>
    <row r="10" spans="3:10" ht="16" thickBot="1" x14ac:dyDescent="0.4">
      <c r="C10" s="5">
        <v>3</v>
      </c>
      <c r="D10" s="9">
        <v>0</v>
      </c>
      <c r="E10" s="9">
        <v>0</v>
      </c>
      <c r="F10" s="9">
        <v>5.0000000000000001E-4</v>
      </c>
      <c r="G10" s="9">
        <v>5.0000000000000001E-4</v>
      </c>
      <c r="H10" s="9">
        <v>5.9999999999999995E-4</v>
      </c>
      <c r="I10" s="9">
        <v>5.9999999999999995E-4</v>
      </c>
      <c r="J10" s="9">
        <v>1.2500000000000001E-2</v>
      </c>
    </row>
    <row r="11" spans="3:10" ht="16" thickBot="1" x14ac:dyDescent="0.4">
      <c r="C11" s="5">
        <v>4</v>
      </c>
      <c r="D11" s="9">
        <v>0</v>
      </c>
      <c r="E11" s="9">
        <v>0</v>
      </c>
      <c r="F11" s="9">
        <v>8.0000000000000004E-4</v>
      </c>
      <c r="G11" s="9">
        <v>8.0000000000000004E-4</v>
      </c>
      <c r="H11" s="9">
        <v>8.0000000000000004E-4</v>
      </c>
      <c r="I11" s="9">
        <v>6.9999999999999999E-4</v>
      </c>
      <c r="J11" s="9">
        <v>1.67E-2</v>
      </c>
    </row>
    <row r="12" spans="3:10" ht="16" thickBot="1" x14ac:dyDescent="0.4">
      <c r="C12" s="5">
        <v>5</v>
      </c>
      <c r="D12" s="9">
        <v>1E-4</v>
      </c>
      <c r="E12" s="9">
        <v>1E-4</v>
      </c>
      <c r="F12" s="9">
        <v>1E-3</v>
      </c>
      <c r="G12" s="9">
        <v>1E-3</v>
      </c>
      <c r="H12" s="9">
        <v>1E-3</v>
      </c>
      <c r="I12" s="9">
        <v>8.9999999999999998E-4</v>
      </c>
      <c r="J12" s="9">
        <v>2.0899999999999998E-2</v>
      </c>
    </row>
    <row r="13" spans="3:10" ht="16" thickBot="1" x14ac:dyDescent="0.4">
      <c r="C13" s="5">
        <v>6</v>
      </c>
      <c r="D13" s="9">
        <v>1E-4</v>
      </c>
      <c r="E13" s="9">
        <v>1E-4</v>
      </c>
      <c r="F13" s="9">
        <v>1.1000000000000001E-3</v>
      </c>
      <c r="G13" s="9">
        <v>1.1000000000000001E-3</v>
      </c>
      <c r="H13" s="9">
        <v>1.1000000000000001E-3</v>
      </c>
      <c r="I13" s="9">
        <v>1.1000000000000001E-3</v>
      </c>
      <c r="J13" s="9">
        <v>2.5100000000000001E-2</v>
      </c>
    </row>
    <row r="14" spans="3:10" ht="16" thickBot="1" x14ac:dyDescent="0.4">
      <c r="C14" s="5">
        <v>7</v>
      </c>
      <c r="D14" s="9">
        <v>1E-4</v>
      </c>
      <c r="E14" s="9">
        <v>1E-4</v>
      </c>
      <c r="F14" s="9">
        <v>1.1999999999999999E-3</v>
      </c>
      <c r="G14" s="9">
        <v>1.1999999999999999E-3</v>
      </c>
      <c r="H14" s="9">
        <v>1.1999999999999999E-3</v>
      </c>
      <c r="I14" s="9">
        <v>1.1999999999999999E-3</v>
      </c>
      <c r="J14" s="9">
        <v>2.92E-2</v>
      </c>
    </row>
    <row r="15" spans="3:10" ht="16" thickBot="1" x14ac:dyDescent="0.4">
      <c r="C15" s="5">
        <v>8</v>
      </c>
      <c r="D15" s="9">
        <v>1E-4</v>
      </c>
      <c r="E15" s="9">
        <v>1E-4</v>
      </c>
      <c r="F15" s="9">
        <v>1.4E-3</v>
      </c>
      <c r="G15" s="9">
        <v>1.4E-3</v>
      </c>
      <c r="H15" s="9">
        <v>1.4E-3</v>
      </c>
      <c r="I15" s="9">
        <v>1.2999999999999999E-3</v>
      </c>
      <c r="J15" s="9">
        <v>3.3399999999999999E-2</v>
      </c>
    </row>
    <row r="16" spans="3:10" ht="16" thickBot="1" x14ac:dyDescent="0.4">
      <c r="C16" s="5">
        <v>9</v>
      </c>
      <c r="D16" s="9">
        <v>1E-4</v>
      </c>
      <c r="E16" s="9">
        <v>1E-4</v>
      </c>
      <c r="F16" s="9">
        <v>1.5E-3</v>
      </c>
      <c r="G16" s="9">
        <v>1.5E-3</v>
      </c>
      <c r="H16" s="9">
        <v>1.5E-3</v>
      </c>
      <c r="I16" s="9">
        <v>1.6000000000000001E-3</v>
      </c>
      <c r="J16" s="9">
        <v>3.7600000000000001E-2</v>
      </c>
    </row>
    <row r="17" spans="3:10" ht="16" thickBot="1" x14ac:dyDescent="0.4">
      <c r="C17" s="5">
        <v>10</v>
      </c>
      <c r="D17" s="9">
        <v>1E-4</v>
      </c>
      <c r="E17" s="9">
        <v>1E-4</v>
      </c>
      <c r="F17" s="9">
        <v>1.5E-3</v>
      </c>
      <c r="G17" s="9">
        <v>1.5E-3</v>
      </c>
      <c r="H17" s="9">
        <v>1.5E-3</v>
      </c>
      <c r="I17" s="9">
        <v>1.6999999999999999E-3</v>
      </c>
      <c r="J17" s="9">
        <v>4.1799999999999997E-2</v>
      </c>
    </row>
    <row r="18" spans="3:10" ht="16" thickBot="1" x14ac:dyDescent="0.4">
      <c r="C18" s="5">
        <v>11</v>
      </c>
      <c r="D18" s="9">
        <v>1E-4</v>
      </c>
      <c r="E18" s="9">
        <v>1E-4</v>
      </c>
      <c r="F18" s="9">
        <v>1.6999999999999999E-3</v>
      </c>
      <c r="G18" s="9">
        <v>1.6999999999999999E-3</v>
      </c>
      <c r="H18" s="9">
        <v>1.6999999999999999E-3</v>
      </c>
      <c r="I18" s="9">
        <v>1.6999999999999999E-3</v>
      </c>
      <c r="J18" s="9">
        <v>4.5999999999999999E-2</v>
      </c>
    </row>
    <row r="19" spans="3:10" ht="16" thickBot="1" x14ac:dyDescent="0.4">
      <c r="C19" s="5">
        <v>12</v>
      </c>
      <c r="D19" s="9">
        <v>1E-4</v>
      </c>
      <c r="E19" s="9">
        <v>1E-4</v>
      </c>
      <c r="F19" s="9">
        <v>1.8E-3</v>
      </c>
      <c r="G19" s="9">
        <v>1.8E-3</v>
      </c>
      <c r="H19" s="9">
        <v>1.8E-3</v>
      </c>
      <c r="I19" s="9">
        <v>1.8E-3</v>
      </c>
      <c r="J19" s="9">
        <v>5.0099999999999999E-2</v>
      </c>
    </row>
    <row r="20" spans="3:10" ht="16" thickBot="1" x14ac:dyDescent="0.4">
      <c r="C20" s="5">
        <v>13</v>
      </c>
      <c r="D20" s="9">
        <v>1E-4</v>
      </c>
      <c r="E20" s="9">
        <v>1E-4</v>
      </c>
      <c r="F20" s="9">
        <v>2E-3</v>
      </c>
      <c r="G20" s="9">
        <v>2E-3</v>
      </c>
      <c r="H20" s="9">
        <v>2E-3</v>
      </c>
      <c r="I20" s="9">
        <v>2E-3</v>
      </c>
      <c r="J20" s="9">
        <v>5.4300000000000001E-2</v>
      </c>
    </row>
    <row r="21" spans="3:10" ht="16" thickBot="1" x14ac:dyDescent="0.4">
      <c r="C21" s="5">
        <v>14</v>
      </c>
      <c r="D21" s="9">
        <v>2.0000000000000001E-4</v>
      </c>
      <c r="E21" s="9">
        <v>2.0000000000000001E-4</v>
      </c>
      <c r="F21" s="9">
        <v>2.0999999999999999E-3</v>
      </c>
      <c r="G21" s="9">
        <v>2.0999999999999999E-3</v>
      </c>
      <c r="H21" s="9">
        <v>2.0999999999999999E-3</v>
      </c>
      <c r="I21" s="9">
        <v>2.0999999999999999E-3</v>
      </c>
      <c r="J21" s="9">
        <v>5.8500000000000003E-2</v>
      </c>
    </row>
    <row r="22" spans="3:10" ht="16" thickBot="1" x14ac:dyDescent="0.4">
      <c r="C22" s="5">
        <v>15</v>
      </c>
      <c r="D22" s="9">
        <v>2.0000000000000001E-4</v>
      </c>
      <c r="E22" s="9">
        <v>2.0000000000000001E-4</v>
      </c>
      <c r="F22" s="9">
        <v>2.3E-3</v>
      </c>
      <c r="G22" s="9">
        <v>2.3E-3</v>
      </c>
      <c r="H22" s="9">
        <v>2.3E-3</v>
      </c>
      <c r="I22" s="9">
        <v>2.3E-3</v>
      </c>
      <c r="J22" s="9">
        <v>6.2700000000000006E-2</v>
      </c>
    </row>
    <row r="23" spans="3:10" ht="16" thickBot="1" x14ac:dyDescent="0.4">
      <c r="C23" s="5">
        <v>16</v>
      </c>
      <c r="D23" s="9">
        <v>2.0000000000000001E-4</v>
      </c>
      <c r="E23" s="9">
        <v>2.0000000000000001E-4</v>
      </c>
      <c r="F23" s="9">
        <v>2.5999999999999999E-3</v>
      </c>
      <c r="G23" s="9">
        <v>2.5999999999999999E-3</v>
      </c>
      <c r="H23" s="9">
        <v>2.5999999999999999E-3</v>
      </c>
      <c r="I23" s="9">
        <v>2.3999999999999998E-3</v>
      </c>
      <c r="J23" s="9">
        <v>6.6900000000000001E-2</v>
      </c>
    </row>
    <row r="24" spans="3:10" ht="16" thickBot="1" x14ac:dyDescent="0.4">
      <c r="C24" s="5">
        <v>17</v>
      </c>
      <c r="D24" s="9">
        <v>2.0000000000000001E-4</v>
      </c>
      <c r="E24" s="9">
        <v>2.0000000000000001E-4</v>
      </c>
      <c r="F24" s="9">
        <v>2.7000000000000001E-3</v>
      </c>
      <c r="G24" s="9">
        <v>2.7000000000000001E-3</v>
      </c>
      <c r="H24" s="9">
        <v>2.8E-3</v>
      </c>
      <c r="I24" s="9">
        <v>2.5000000000000001E-3</v>
      </c>
      <c r="J24" s="9">
        <v>7.0999999999999994E-2</v>
      </c>
    </row>
    <row r="25" spans="3:10" ht="16" thickBot="1" x14ac:dyDescent="0.4">
      <c r="C25" s="5">
        <v>18</v>
      </c>
      <c r="D25" s="9">
        <v>2.0000000000000001E-4</v>
      </c>
      <c r="E25" s="9">
        <v>2.0000000000000001E-4</v>
      </c>
      <c r="F25" s="9">
        <v>2.8999999999999998E-3</v>
      </c>
      <c r="G25" s="9">
        <v>2.8999999999999998E-3</v>
      </c>
      <c r="H25" s="9">
        <v>2.8999999999999998E-3</v>
      </c>
      <c r="I25" s="9">
        <v>2.7000000000000001E-3</v>
      </c>
      <c r="J25" s="9">
        <v>7.5200000000000003E-2</v>
      </c>
    </row>
    <row r="26" spans="3:10" ht="16" thickBot="1" x14ac:dyDescent="0.4">
      <c r="C26" s="5">
        <v>19</v>
      </c>
      <c r="D26" s="9">
        <v>2.0000000000000001E-4</v>
      </c>
      <c r="E26" s="9">
        <v>2.0000000000000001E-4</v>
      </c>
      <c r="F26" s="9">
        <v>2.8999999999999998E-3</v>
      </c>
      <c r="G26" s="9">
        <v>2.8999999999999998E-3</v>
      </c>
      <c r="H26" s="9">
        <v>2.8999999999999998E-3</v>
      </c>
      <c r="I26" s="9">
        <v>2.8E-3</v>
      </c>
      <c r="J26" s="9">
        <v>7.9399999999999998E-2</v>
      </c>
    </row>
    <row r="27" spans="3:10" ht="16" thickBot="1" x14ac:dyDescent="0.4">
      <c r="C27" s="5">
        <v>20</v>
      </c>
      <c r="D27" s="9">
        <v>2.0000000000000001E-4</v>
      </c>
      <c r="E27" s="9">
        <v>2.0000000000000001E-4</v>
      </c>
      <c r="F27" s="9">
        <v>3.0999999999999999E-3</v>
      </c>
      <c r="G27" s="9">
        <v>3.0999999999999999E-3</v>
      </c>
      <c r="H27" s="9">
        <v>3.2000000000000002E-3</v>
      </c>
      <c r="I27" s="9">
        <v>2.8999999999999998E-3</v>
      </c>
      <c r="J27" s="9">
        <v>8.3599999999999994E-2</v>
      </c>
    </row>
    <row r="28" spans="3:10" ht="16" thickBot="1" x14ac:dyDescent="0.4">
      <c r="C28" s="5">
        <v>21</v>
      </c>
      <c r="D28" s="9">
        <v>2.0000000000000001E-4</v>
      </c>
      <c r="E28" s="9">
        <v>2.9999999999999997E-4</v>
      </c>
      <c r="F28" s="9">
        <v>3.2000000000000002E-3</v>
      </c>
      <c r="G28" s="9">
        <v>3.2000000000000002E-3</v>
      </c>
      <c r="H28" s="9">
        <v>3.2000000000000002E-3</v>
      </c>
      <c r="I28" s="9">
        <v>3.0999999999999999E-3</v>
      </c>
      <c r="J28" s="9">
        <v>8.77E-2</v>
      </c>
    </row>
    <row r="29" spans="3:10" ht="16" thickBot="1" x14ac:dyDescent="0.4">
      <c r="C29" s="5">
        <v>22</v>
      </c>
      <c r="D29" s="9">
        <v>2.9999999999999997E-4</v>
      </c>
      <c r="E29" s="9">
        <v>2.9999999999999997E-4</v>
      </c>
      <c r="F29" s="9">
        <v>3.3999999999999998E-3</v>
      </c>
      <c r="G29" s="9">
        <v>3.3999999999999998E-3</v>
      </c>
      <c r="H29" s="9">
        <v>3.3E-3</v>
      </c>
      <c r="I29" s="9">
        <v>3.0999999999999999E-3</v>
      </c>
      <c r="J29" s="9">
        <v>9.1899999999999996E-2</v>
      </c>
    </row>
    <row r="30" spans="3:10" ht="16" thickBot="1" x14ac:dyDescent="0.4">
      <c r="C30" s="5">
        <v>23</v>
      </c>
      <c r="D30" s="9">
        <v>2.9999999999999997E-4</v>
      </c>
      <c r="E30" s="9">
        <v>2.9999999999999997E-4</v>
      </c>
      <c r="F30" s="9">
        <v>3.5000000000000001E-3</v>
      </c>
      <c r="G30" s="9">
        <v>3.5000000000000001E-3</v>
      </c>
      <c r="H30" s="9">
        <v>3.3999999999999998E-3</v>
      </c>
      <c r="I30" s="9">
        <v>3.2000000000000002E-3</v>
      </c>
      <c r="J30" s="9">
        <v>9.6100000000000005E-2</v>
      </c>
    </row>
    <row r="31" spans="3:10" ht="16" thickBot="1" x14ac:dyDescent="0.4">
      <c r="C31" s="5">
        <v>24</v>
      </c>
      <c r="D31" s="9">
        <v>2.9999999999999997E-4</v>
      </c>
      <c r="E31" s="9">
        <v>2.9999999999999997E-4</v>
      </c>
      <c r="F31" s="9">
        <v>3.7000000000000002E-3</v>
      </c>
      <c r="G31" s="9">
        <v>3.7000000000000002E-3</v>
      </c>
      <c r="H31" s="9">
        <v>3.5999999999999999E-3</v>
      </c>
      <c r="I31" s="9">
        <v>3.3999999999999998E-3</v>
      </c>
      <c r="J31" s="9">
        <v>0.1003</v>
      </c>
    </row>
    <row r="32" spans="3:10" ht="16" thickBot="1" x14ac:dyDescent="0.4">
      <c r="C32" s="5">
        <v>25</v>
      </c>
      <c r="D32" s="9">
        <v>2.9999999999999997E-4</v>
      </c>
      <c r="E32" s="9">
        <v>2.9999999999999997E-4</v>
      </c>
      <c r="F32" s="9">
        <v>3.8E-3</v>
      </c>
      <c r="G32" s="9">
        <v>3.8E-3</v>
      </c>
      <c r="H32" s="9">
        <v>3.8E-3</v>
      </c>
      <c r="I32" s="9">
        <v>3.5000000000000001E-3</v>
      </c>
      <c r="J32" s="9">
        <v>0.1045</v>
      </c>
    </row>
    <row r="33" spans="3:10" ht="16" thickBot="1" x14ac:dyDescent="0.4">
      <c r="C33" s="5">
        <v>26</v>
      </c>
      <c r="D33" s="9">
        <v>2.9999999999999997E-4</v>
      </c>
      <c r="E33" s="9">
        <v>2.9999999999999997E-4</v>
      </c>
      <c r="F33" s="9">
        <v>4.0000000000000001E-3</v>
      </c>
      <c r="G33" s="9">
        <v>4.0000000000000001E-3</v>
      </c>
      <c r="H33" s="9">
        <v>3.8999999999999998E-3</v>
      </c>
      <c r="I33" s="9">
        <v>3.7000000000000002E-3</v>
      </c>
      <c r="J33" s="9">
        <v>0.1086</v>
      </c>
    </row>
    <row r="34" spans="3:10" ht="16" thickBot="1" x14ac:dyDescent="0.4">
      <c r="C34" s="5">
        <v>27</v>
      </c>
      <c r="D34" s="9">
        <v>2.9999999999999997E-4</v>
      </c>
      <c r="E34" s="9">
        <v>2.9999999999999997E-4</v>
      </c>
      <c r="F34" s="9">
        <v>4.1000000000000003E-3</v>
      </c>
      <c r="G34" s="9">
        <v>4.1000000000000003E-3</v>
      </c>
      <c r="H34" s="9">
        <v>4.1000000000000003E-3</v>
      </c>
      <c r="I34" s="9">
        <v>3.8E-3</v>
      </c>
      <c r="J34" s="9">
        <v>0.1128</v>
      </c>
    </row>
    <row r="35" spans="3:10" ht="16" thickBot="1" x14ac:dyDescent="0.4">
      <c r="C35" s="5">
        <v>28</v>
      </c>
      <c r="D35" s="9">
        <v>2.9999999999999997E-4</v>
      </c>
      <c r="E35" s="9">
        <v>2.9999999999999997E-4</v>
      </c>
      <c r="F35" s="9">
        <v>4.3E-3</v>
      </c>
      <c r="G35" s="9">
        <v>4.3E-3</v>
      </c>
      <c r="H35" s="9">
        <v>4.1999999999999997E-3</v>
      </c>
      <c r="I35" s="9">
        <v>4.0000000000000001E-3</v>
      </c>
      <c r="J35" s="9">
        <v>0.11700000000000001</v>
      </c>
    </row>
    <row r="36" spans="3:10" ht="16" thickBot="1" x14ac:dyDescent="0.4">
      <c r="C36" s="5">
        <v>29</v>
      </c>
      <c r="D36" s="9">
        <v>2.9999999999999997E-4</v>
      </c>
      <c r="E36" s="9">
        <v>2.9999999999999997E-4</v>
      </c>
      <c r="F36" s="9">
        <v>4.4000000000000003E-3</v>
      </c>
      <c r="G36" s="9">
        <v>4.4000000000000003E-3</v>
      </c>
      <c r="H36" s="9">
        <v>4.4000000000000003E-3</v>
      </c>
      <c r="I36" s="9">
        <v>4.1000000000000003E-3</v>
      </c>
      <c r="J36" s="9">
        <v>0.1212</v>
      </c>
    </row>
    <row r="37" spans="3:10" ht="16" thickBot="1" x14ac:dyDescent="0.4">
      <c r="C37" s="5">
        <v>30</v>
      </c>
      <c r="D37" s="9">
        <v>2.9999999999999997E-4</v>
      </c>
      <c r="E37" s="9">
        <v>2.9999999999999997E-4</v>
      </c>
      <c r="F37" s="9">
        <v>4.5999999999999999E-3</v>
      </c>
      <c r="G37" s="9">
        <v>4.4999999999999997E-3</v>
      </c>
      <c r="H37" s="9">
        <v>4.4999999999999997E-3</v>
      </c>
      <c r="I37" s="9">
        <v>4.1999999999999997E-3</v>
      </c>
      <c r="J37" s="9">
        <v>0.12529999999999999</v>
      </c>
    </row>
    <row r="38" spans="3:10" ht="16" thickBot="1" x14ac:dyDescent="0.4">
      <c r="C38" s="5">
        <v>31</v>
      </c>
      <c r="D38" s="5">
        <v>4.0000000000000002E-4</v>
      </c>
      <c r="E38" s="5">
        <v>4.0000000000000002E-4</v>
      </c>
      <c r="F38" s="5">
        <v>4.7000000000000002E-3</v>
      </c>
      <c r="G38" s="5">
        <v>4.7000000000000002E-3</v>
      </c>
      <c r="H38" s="5" t="s">
        <v>218</v>
      </c>
      <c r="I38" s="5" t="s">
        <v>217</v>
      </c>
      <c r="J38" s="5" t="s">
        <v>216</v>
      </c>
    </row>
    <row r="39" spans="3:10" ht="16" thickBot="1" x14ac:dyDescent="0.4">
      <c r="C39" s="5">
        <v>32</v>
      </c>
      <c r="D39" s="5">
        <v>4.0000000000000002E-4</v>
      </c>
      <c r="E39" s="5">
        <v>4.0000000000000002E-4</v>
      </c>
      <c r="F39" s="5">
        <v>4.8999999999999998E-3</v>
      </c>
      <c r="G39" s="5">
        <v>4.7999999999999996E-3</v>
      </c>
      <c r="H39" s="5">
        <v>4.8999999999999998E-3</v>
      </c>
      <c r="I39" s="5">
        <v>4.4999999999999997E-3</v>
      </c>
      <c r="J39" s="5">
        <v>0.13370000000000001</v>
      </c>
    </row>
    <row r="40" spans="3:10" ht="16" thickBot="1" x14ac:dyDescent="0.4">
      <c r="C40" s="5">
        <v>33</v>
      </c>
      <c r="D40" s="5">
        <v>4.0000000000000002E-4</v>
      </c>
      <c r="E40" s="5">
        <v>4.0000000000000002E-4</v>
      </c>
      <c r="F40" s="9">
        <v>5.0000000000000001E-3</v>
      </c>
      <c r="G40" s="5" t="s">
        <v>215</v>
      </c>
      <c r="H40" s="5">
        <v>5.1000000000000004E-3</v>
      </c>
      <c r="I40" s="5">
        <v>4.7000000000000002E-3</v>
      </c>
      <c r="J40" s="5">
        <v>0.13789999999999999</v>
      </c>
    </row>
    <row r="41" spans="3:10" ht="16" thickBot="1" x14ac:dyDescent="0.4">
      <c r="C41" s="5">
        <v>34</v>
      </c>
      <c r="D41" s="5">
        <v>4.0000000000000002E-4</v>
      </c>
      <c r="E41" s="5">
        <v>4.0000000000000002E-4</v>
      </c>
      <c r="F41" s="5">
        <v>5.1999999999999998E-3</v>
      </c>
      <c r="G41" s="5">
        <v>5.1000000000000004E-3</v>
      </c>
      <c r="H41" s="5">
        <v>5.1999999999999998E-3</v>
      </c>
      <c r="I41" s="5">
        <v>4.7999999999999996E-3</v>
      </c>
      <c r="J41" s="5">
        <v>0.1421</v>
      </c>
    </row>
    <row r="42" spans="3:10" ht="16" thickBot="1" x14ac:dyDescent="0.4">
      <c r="C42" s="5">
        <v>35</v>
      </c>
      <c r="D42" s="5">
        <v>4.0000000000000002E-4</v>
      </c>
      <c r="E42" s="5">
        <v>4.0000000000000002E-4</v>
      </c>
      <c r="F42" s="5">
        <v>5.3E-3</v>
      </c>
      <c r="G42" s="5">
        <v>5.3E-3</v>
      </c>
      <c r="H42" s="5">
        <v>5.4000000000000003E-3</v>
      </c>
      <c r="I42" s="5">
        <v>4.8999999999999998E-3</v>
      </c>
      <c r="J42" s="5">
        <v>0.1462</v>
      </c>
    </row>
    <row r="43" spans="3:10" ht="16" thickBot="1" x14ac:dyDescent="0.4">
      <c r="C43" s="5">
        <v>36</v>
      </c>
      <c r="D43" s="5">
        <v>4.0000000000000002E-4</v>
      </c>
      <c r="E43" s="5">
        <v>4.0000000000000002E-4</v>
      </c>
      <c r="F43" s="5">
        <v>5.4999999999999997E-3</v>
      </c>
      <c r="G43" s="5">
        <v>5.4000000000000003E-3</v>
      </c>
      <c r="H43" s="5">
        <v>5.4999999999999997E-3</v>
      </c>
      <c r="I43" s="5">
        <v>5.1000000000000004E-3</v>
      </c>
      <c r="J43" s="5">
        <v>0.15040000000000001</v>
      </c>
    </row>
    <row r="44" spans="3:10" ht="16" thickBot="1" x14ac:dyDescent="0.4">
      <c r="C44" s="5">
        <v>37</v>
      </c>
      <c r="D44" s="5">
        <v>4.0000000000000002E-4</v>
      </c>
      <c r="E44" s="5">
        <v>4.0000000000000002E-4</v>
      </c>
      <c r="F44" s="5" t="s">
        <v>214</v>
      </c>
      <c r="G44" s="5">
        <v>5.5999999999999999E-3</v>
      </c>
      <c r="H44" s="5">
        <v>5.7000000000000002E-3</v>
      </c>
      <c r="I44" s="5">
        <v>5.1999999999999998E-3</v>
      </c>
      <c r="J44" s="5">
        <v>0.15459999999999999</v>
      </c>
    </row>
    <row r="45" spans="3:10" ht="16" thickBot="1" x14ac:dyDescent="0.4">
      <c r="C45" s="5">
        <v>38</v>
      </c>
      <c r="D45" s="5">
        <v>4.0000000000000002E-4</v>
      </c>
      <c r="E45" s="5">
        <v>4.0000000000000002E-4</v>
      </c>
      <c r="F45" s="5" t="s">
        <v>213</v>
      </c>
      <c r="G45" s="5">
        <v>5.7000000000000002E-3</v>
      </c>
      <c r="H45" s="5">
        <v>5.7999999999999996E-3</v>
      </c>
      <c r="I45" s="5">
        <v>5.4000000000000003E-3</v>
      </c>
      <c r="J45" s="5">
        <v>0.1588</v>
      </c>
    </row>
    <row r="46" spans="3:10" ht="16" thickBot="1" x14ac:dyDescent="0.4">
      <c r="C46" s="5">
        <v>39</v>
      </c>
      <c r="D46" s="5">
        <v>4.0000000000000002E-4</v>
      </c>
      <c r="E46" s="5">
        <v>4.0000000000000002E-4</v>
      </c>
      <c r="F46" s="5">
        <v>5.8999999999999999E-3</v>
      </c>
      <c r="G46" s="22">
        <v>5.8999999999999999E-3</v>
      </c>
      <c r="H46" s="22">
        <v>6.0000000000000001E-3</v>
      </c>
      <c r="I46" s="22">
        <v>5.4999999999999997E-3</v>
      </c>
      <c r="J46" s="5">
        <v>0.16289999999999999</v>
      </c>
    </row>
    <row r="47" spans="3:10" ht="16" thickBot="1" x14ac:dyDescent="0.4">
      <c r="C47" s="5">
        <v>40</v>
      </c>
      <c r="D47" s="5">
        <v>5.0000000000000001E-4</v>
      </c>
      <c r="E47" s="5">
        <v>5.0000000000000001E-4</v>
      </c>
      <c r="F47" s="22">
        <v>6.1000000000000004E-3</v>
      </c>
      <c r="G47" s="22">
        <v>6.0000000000000001E-3</v>
      </c>
      <c r="H47" s="22">
        <v>6.1000000000000004E-3</v>
      </c>
      <c r="I47" s="22">
        <v>5.5999999999999999E-3</v>
      </c>
      <c r="J47" s="5">
        <v>0.1671</v>
      </c>
    </row>
    <row r="48" spans="3:10" ht="16" thickBot="1" x14ac:dyDescent="0.4">
      <c r="C48" s="5">
        <v>41</v>
      </c>
      <c r="D48" s="5">
        <v>5.0000000000000001E-4</v>
      </c>
      <c r="E48" s="5">
        <v>5.0000000000000001E-4</v>
      </c>
      <c r="F48" s="22">
        <v>6.3E-3</v>
      </c>
      <c r="G48" s="22">
        <v>6.1999999999999998E-3</v>
      </c>
      <c r="H48" s="22">
        <v>6.3E-3</v>
      </c>
      <c r="I48" s="22">
        <v>5.7999999999999996E-3</v>
      </c>
      <c r="J48" s="5">
        <v>0.17130000000000001</v>
      </c>
    </row>
    <row r="49" spans="3:10" ht="16" thickBot="1" x14ac:dyDescent="0.4">
      <c r="C49" s="5">
        <v>42</v>
      </c>
      <c r="D49" s="22">
        <v>5.0000000000000001E-4</v>
      </c>
      <c r="E49" s="22">
        <v>5.0000000000000001E-4</v>
      </c>
      <c r="F49" s="5">
        <v>6.4000000000000003E-3</v>
      </c>
      <c r="G49" s="5">
        <v>6.4000000000000003E-3</v>
      </c>
      <c r="H49" s="5">
        <v>6.4000000000000003E-3</v>
      </c>
      <c r="I49" s="5">
        <v>5.8999999999999999E-3</v>
      </c>
      <c r="J49" s="5">
        <v>0.17549999999999999</v>
      </c>
    </row>
    <row r="50" spans="3:10" ht="16" thickBot="1" x14ac:dyDescent="0.4">
      <c r="C50" s="5">
        <v>43</v>
      </c>
      <c r="D50" s="22">
        <v>5.0000000000000001E-4</v>
      </c>
      <c r="E50" s="22">
        <v>5.0000000000000001E-4</v>
      </c>
      <c r="F50" s="22">
        <v>6.6E-3</v>
      </c>
      <c r="G50" s="22">
        <v>6.4999999999999997E-3</v>
      </c>
      <c r="H50" s="22">
        <v>6.6E-3</v>
      </c>
      <c r="I50" s="22">
        <v>6.1000000000000004E-3</v>
      </c>
      <c r="J50" s="5">
        <v>0.1797</v>
      </c>
    </row>
    <row r="51" spans="3:10" ht="16" thickBot="1" x14ac:dyDescent="0.4">
      <c r="C51" s="5">
        <v>44</v>
      </c>
      <c r="D51" s="22">
        <v>5.0000000000000001E-4</v>
      </c>
      <c r="E51" s="22">
        <v>5.0000000000000001E-4</v>
      </c>
      <c r="F51" s="22">
        <v>6.7000000000000002E-3</v>
      </c>
      <c r="G51" s="22">
        <v>6.7000000000000002E-3</v>
      </c>
      <c r="H51" s="22">
        <v>6.7000000000000002E-3</v>
      </c>
      <c r="I51" s="22">
        <v>6.1999999999999998E-3</v>
      </c>
      <c r="J51" s="5">
        <v>0.18379999999999999</v>
      </c>
    </row>
    <row r="52" spans="3:10" ht="16" thickBot="1" x14ac:dyDescent="0.4">
      <c r="C52" s="5">
        <v>45</v>
      </c>
      <c r="D52" s="22">
        <v>5.0000000000000001E-4</v>
      </c>
      <c r="E52" s="22">
        <v>5.0000000000000001E-4</v>
      </c>
      <c r="F52" s="22">
        <v>6.8999999999999999E-3</v>
      </c>
      <c r="G52" s="22">
        <v>6.7999999999999996E-3</v>
      </c>
      <c r="H52" s="22">
        <v>6.8999999999999999E-3</v>
      </c>
      <c r="I52" s="22">
        <v>6.3E-3</v>
      </c>
      <c r="J52" s="9">
        <v>0.188</v>
      </c>
    </row>
    <row r="53" spans="3:10" ht="16" thickBot="1" x14ac:dyDescent="0.4">
      <c r="C53" s="5">
        <v>46</v>
      </c>
      <c r="D53" s="22">
        <v>5.0000000000000001E-4</v>
      </c>
      <c r="E53" s="22">
        <v>5.0000000000000001E-4</v>
      </c>
      <c r="F53" s="22">
        <v>7.0000000000000001E-3</v>
      </c>
      <c r="G53" s="22">
        <v>7.0000000000000001E-3</v>
      </c>
      <c r="H53" s="22">
        <v>7.0000000000000001E-3</v>
      </c>
      <c r="I53" s="22">
        <v>6.4999999999999997E-3</v>
      </c>
      <c r="J53" s="5">
        <v>0.19220000000000001</v>
      </c>
    </row>
    <row r="54" spans="3:10" ht="16" thickBot="1" x14ac:dyDescent="0.4">
      <c r="C54" s="5">
        <v>47</v>
      </c>
      <c r="D54" s="22">
        <v>5.0000000000000001E-4</v>
      </c>
      <c r="E54" s="22">
        <v>5.0000000000000001E-4</v>
      </c>
      <c r="F54" s="22">
        <v>7.1999999999999998E-3</v>
      </c>
      <c r="G54" s="22">
        <v>7.1000000000000004E-3</v>
      </c>
      <c r="H54" s="22">
        <v>7.1999999999999998E-3</v>
      </c>
      <c r="I54" s="22">
        <v>6.6E-3</v>
      </c>
      <c r="J54" s="5">
        <v>0.19639999999999999</v>
      </c>
    </row>
    <row r="55" spans="3:10" ht="16" thickBot="1" x14ac:dyDescent="0.4">
      <c r="C55" s="5">
        <v>48</v>
      </c>
      <c r="D55" s="22">
        <v>5.0000000000000001E-4</v>
      </c>
      <c r="E55" s="22">
        <v>5.0000000000000001E-4</v>
      </c>
      <c r="F55" s="22">
        <v>7.3000000000000001E-3</v>
      </c>
      <c r="G55" s="22">
        <v>7.3000000000000001E-3</v>
      </c>
      <c r="H55" s="22">
        <v>7.3000000000000001E-3</v>
      </c>
      <c r="I55" s="22">
        <v>6.7999999999999996E-3</v>
      </c>
      <c r="J55" s="5">
        <v>0.20050000000000001</v>
      </c>
    </row>
    <row r="56" spans="3:10" ht="16" thickBot="1" x14ac:dyDescent="0.4">
      <c r="C56" s="5">
        <v>49</v>
      </c>
      <c r="D56" s="5">
        <v>5.9999999999999995E-4</v>
      </c>
      <c r="E56" s="5">
        <v>5.9999999999999995E-4</v>
      </c>
      <c r="F56" s="22">
        <v>7.4999999999999997E-3</v>
      </c>
      <c r="G56" s="22">
        <v>7.4000000000000003E-3</v>
      </c>
      <c r="H56" s="22">
        <v>7.4999999999999997E-3</v>
      </c>
      <c r="I56" s="22">
        <v>6.8999999999999999E-3</v>
      </c>
      <c r="J56" s="5">
        <v>0.20469999999999999</v>
      </c>
    </row>
    <row r="57" spans="3:10" ht="16" thickBot="1" x14ac:dyDescent="0.4">
      <c r="C57" s="5">
        <v>50</v>
      </c>
      <c r="D57" s="5">
        <v>5.9999999999999995E-4</v>
      </c>
      <c r="E57" s="5">
        <v>5.9999999999999995E-4</v>
      </c>
      <c r="F57" s="22">
        <v>7.6E-3</v>
      </c>
      <c r="G57" s="5">
        <v>7.6E-3</v>
      </c>
      <c r="H57" s="5">
        <v>7.7000000000000002E-3</v>
      </c>
      <c r="I57" s="5">
        <v>7.1000000000000004E-3</v>
      </c>
      <c r="J57" s="5">
        <v>0.2089</v>
      </c>
    </row>
    <row r="58" spans="3:10" ht="16" thickBot="1" x14ac:dyDescent="0.4">
      <c r="C58" s="5">
        <v>51</v>
      </c>
      <c r="D58" s="5">
        <v>5.9999999999999995E-4</v>
      </c>
      <c r="E58" s="5">
        <v>5.9999999999999995E-4</v>
      </c>
      <c r="F58" s="5">
        <v>7.7999999999999996E-3</v>
      </c>
      <c r="G58" s="5">
        <v>7.7000000000000002E-3</v>
      </c>
      <c r="H58" s="5">
        <v>7.7999999999999996E-3</v>
      </c>
      <c r="I58" s="5">
        <v>7.1999999999999998E-3</v>
      </c>
      <c r="J58" s="5">
        <v>0.21310000000000001</v>
      </c>
    </row>
    <row r="59" spans="3:10" ht="16" thickBot="1" x14ac:dyDescent="0.4">
      <c r="C59" s="5">
        <v>52</v>
      </c>
      <c r="D59" s="5">
        <v>5.9999999999999995E-4</v>
      </c>
      <c r="E59" s="5">
        <v>5.9999999999999995E-4</v>
      </c>
      <c r="F59" s="5">
        <v>7.9000000000000008E-3</v>
      </c>
      <c r="G59" s="5">
        <v>7.9000000000000008E-3</v>
      </c>
      <c r="H59" s="9">
        <v>8.0000000000000002E-3</v>
      </c>
      <c r="I59" s="5">
        <v>7.3000000000000001E-3</v>
      </c>
      <c r="J59" s="5">
        <v>0.21729999999999999</v>
      </c>
    </row>
    <row r="60" spans="3:10" ht="16" thickBot="1" x14ac:dyDescent="0.4">
      <c r="C60" s="5">
        <v>53</v>
      </c>
      <c r="D60" s="5">
        <v>5.9999999999999995E-4</v>
      </c>
      <c r="E60" s="5">
        <v>5.9999999999999995E-4</v>
      </c>
      <c r="F60" s="5">
        <v>8.0999999999999996E-3</v>
      </c>
      <c r="G60" s="5">
        <v>8.0000000000000002E-3</v>
      </c>
      <c r="H60" s="5">
        <v>8.0999999999999996E-3</v>
      </c>
      <c r="I60" s="5">
        <v>7.4999999999999997E-3</v>
      </c>
      <c r="J60" s="5">
        <v>0.22140000000000001</v>
      </c>
    </row>
    <row r="61" spans="3:10" ht="16" thickBot="1" x14ac:dyDescent="0.4">
      <c r="C61" s="5">
        <v>54</v>
      </c>
      <c r="D61" s="5">
        <v>5.9999999999999995E-4</v>
      </c>
      <c r="E61" s="5">
        <v>5.9999999999999995E-4</v>
      </c>
      <c r="F61" s="5">
        <v>8.2000000000000007E-3</v>
      </c>
      <c r="G61" s="5">
        <v>8.2000000000000007E-3</v>
      </c>
      <c r="H61" s="5">
        <v>8.3000000000000001E-3</v>
      </c>
      <c r="I61" s="5">
        <v>7.6E-3</v>
      </c>
      <c r="J61" s="5">
        <v>0.22559999999999999</v>
      </c>
    </row>
    <row r="62" spans="3:10" ht="16" thickBot="1" x14ac:dyDescent="0.4">
      <c r="C62" s="5">
        <v>55</v>
      </c>
      <c r="D62" s="5">
        <v>5.9999999999999995E-4</v>
      </c>
      <c r="E62" s="5">
        <v>5.9999999999999995E-4</v>
      </c>
      <c r="F62" s="5">
        <v>8.3999999999999995E-3</v>
      </c>
      <c r="G62" s="5">
        <v>8.3000000000000001E-3</v>
      </c>
      <c r="H62" s="5">
        <v>8.3999999999999995E-3</v>
      </c>
      <c r="I62" s="5">
        <v>7.7999999999999996E-3</v>
      </c>
      <c r="J62" s="5">
        <v>0.2298</v>
      </c>
    </row>
    <row r="63" spans="3:10" ht="16" thickBot="1" x14ac:dyDescent="0.4">
      <c r="C63" s="5">
        <v>56</v>
      </c>
      <c r="D63" s="5">
        <v>5.9999999999999995E-4</v>
      </c>
      <c r="E63" s="5">
        <v>5.9999999999999995E-4</v>
      </c>
      <c r="F63" s="5">
        <v>8.5000000000000006E-3</v>
      </c>
      <c r="G63" s="5">
        <v>8.5000000000000006E-3</v>
      </c>
      <c r="H63" s="5">
        <v>8.6E-3</v>
      </c>
      <c r="I63" s="5">
        <v>7.9000000000000008E-3</v>
      </c>
      <c r="J63" s="9">
        <v>0.23400000000000001</v>
      </c>
    </row>
    <row r="64" spans="3:10" ht="16" thickBot="1" x14ac:dyDescent="0.4">
      <c r="C64" s="5">
        <v>57</v>
      </c>
      <c r="D64" s="5">
        <v>6.9999999999999999E-4</v>
      </c>
      <c r="E64" s="5">
        <v>6.9999999999999999E-4</v>
      </c>
      <c r="F64" s="5">
        <v>8.6999999999999994E-3</v>
      </c>
      <c r="G64" s="5">
        <v>8.6E-3</v>
      </c>
      <c r="H64" s="5">
        <v>8.6999999999999994E-3</v>
      </c>
      <c r="I64" s="9">
        <v>8.0000000000000002E-3</v>
      </c>
      <c r="J64" s="5">
        <v>0.2382</v>
      </c>
    </row>
    <row r="65" spans="3:10" ht="16" thickBot="1" x14ac:dyDescent="0.4">
      <c r="C65" s="5">
        <v>58</v>
      </c>
      <c r="D65" s="5">
        <v>6.9999999999999999E-4</v>
      </c>
      <c r="E65" s="5">
        <v>6.9999999999999999E-4</v>
      </c>
      <c r="F65" s="5">
        <v>8.8000000000000005E-3</v>
      </c>
      <c r="G65" s="5">
        <v>8.8000000000000005E-3</v>
      </c>
      <c r="H65" s="5">
        <v>8.8999999999999999E-3</v>
      </c>
      <c r="I65" s="5">
        <v>8.2000000000000007E-3</v>
      </c>
      <c r="J65" s="5">
        <v>0.24229999999999999</v>
      </c>
    </row>
    <row r="66" spans="3:10" ht="16" thickBot="1" x14ac:dyDescent="0.4">
      <c r="C66" s="5">
        <v>59</v>
      </c>
      <c r="D66" s="5">
        <v>6.9999999999999999E-4</v>
      </c>
      <c r="E66" s="5">
        <v>6.9999999999999999E-4</v>
      </c>
      <c r="F66" s="9">
        <v>8.9999999999999993E-3</v>
      </c>
      <c r="G66" s="5">
        <v>8.8999999999999999E-3</v>
      </c>
      <c r="H66" s="9">
        <v>8.9999999999999993E-3</v>
      </c>
      <c r="I66" s="5">
        <v>8.3000000000000001E-3</v>
      </c>
      <c r="J66" s="5">
        <v>0.2465</v>
      </c>
    </row>
    <row r="67" spans="3:10" ht="16" thickBot="1" x14ac:dyDescent="0.4">
      <c r="C67" s="5">
        <v>60</v>
      </c>
      <c r="D67" s="5">
        <v>6.9999999999999999E-4</v>
      </c>
      <c r="E67" s="5">
        <v>6.9999999999999999E-4</v>
      </c>
      <c r="F67" s="5">
        <v>9.1999999999999998E-3</v>
      </c>
      <c r="G67" s="5">
        <v>9.1000000000000004E-3</v>
      </c>
      <c r="H67" s="5">
        <v>9.1999999999999998E-3</v>
      </c>
      <c r="I67" s="5">
        <v>8.5000000000000006E-3</v>
      </c>
      <c r="J67" s="5">
        <v>0.25069999999999998</v>
      </c>
    </row>
  </sheetData>
  <mergeCells count="8">
    <mergeCell ref="I4:I5"/>
    <mergeCell ref="J4:J5"/>
    <mergeCell ref="C4:C6"/>
    <mergeCell ref="D4:D5"/>
    <mergeCell ref="E4:E5"/>
    <mergeCell ref="F4:F5"/>
    <mergeCell ref="G4:G5"/>
    <mergeCell ref="H4:H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A046-D70C-4909-BF4C-9F094B29B15F}">
  <dimension ref="C2:O35"/>
  <sheetViews>
    <sheetView tabSelected="1" workbookViewId="0">
      <selection activeCell="B3" sqref="B3:O35"/>
    </sheetView>
  </sheetViews>
  <sheetFormatPr defaultRowHeight="14.5" x14ac:dyDescent="0.35"/>
  <cols>
    <col min="4" max="4" width="9.453125" customWidth="1"/>
    <col min="5" max="5" width="9.7265625" customWidth="1"/>
    <col min="6" max="7" width="10.1796875" customWidth="1"/>
    <col min="8" max="9" width="9.7265625" customWidth="1"/>
    <col min="10" max="10" width="10.1796875" customWidth="1"/>
    <col min="11" max="11" width="10.08984375" customWidth="1"/>
    <col min="12" max="12" width="9.54296875" customWidth="1"/>
    <col min="13" max="13" width="10.36328125" customWidth="1"/>
    <col min="14" max="14" width="10.1796875" customWidth="1"/>
    <col min="15" max="15" width="10.453125" customWidth="1"/>
  </cols>
  <sheetData>
    <row r="2" spans="3:15" ht="15" thickBot="1" x14ac:dyDescent="0.4"/>
    <row r="3" spans="3:15" ht="16" thickBot="1" x14ac:dyDescent="0.4">
      <c r="C3" s="56" t="s">
        <v>224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3:15" ht="16" thickBot="1" x14ac:dyDescent="0.4">
      <c r="C4" s="2" t="s">
        <v>0</v>
      </c>
      <c r="D4" s="7">
        <v>0</v>
      </c>
      <c r="E4" s="7">
        <v>30</v>
      </c>
      <c r="F4" s="7">
        <v>60</v>
      </c>
      <c r="G4" s="7">
        <v>90</v>
      </c>
      <c r="H4" s="7">
        <v>120</v>
      </c>
      <c r="I4" s="7">
        <v>150</v>
      </c>
      <c r="J4" s="6">
        <v>180</v>
      </c>
      <c r="K4" s="6">
        <v>210</v>
      </c>
      <c r="L4" s="6">
        <v>240</v>
      </c>
      <c r="M4" s="6">
        <v>270</v>
      </c>
      <c r="N4" s="6">
        <v>300</v>
      </c>
      <c r="O4" s="6">
        <v>330</v>
      </c>
    </row>
    <row r="5" spans="3:15" ht="16" thickBot="1" x14ac:dyDescent="0.4">
      <c r="C5" s="2">
        <v>0</v>
      </c>
      <c r="D5" s="8">
        <v>0</v>
      </c>
      <c r="E5" s="8">
        <v>0.95730000000000004</v>
      </c>
      <c r="F5" s="8">
        <v>1.6580999999999999</v>
      </c>
      <c r="G5" s="8">
        <v>1.9146000000000001</v>
      </c>
      <c r="H5" s="8">
        <v>1.6580999999999999</v>
      </c>
      <c r="I5" s="8">
        <v>0.95730000000000004</v>
      </c>
      <c r="J5" s="9">
        <v>0</v>
      </c>
      <c r="K5" s="9">
        <v>-0.95730000000000004</v>
      </c>
      <c r="L5" s="9">
        <v>-1.6580999999999999</v>
      </c>
      <c r="M5" s="9">
        <v>-1.9146000000000001</v>
      </c>
      <c r="N5" s="9">
        <v>-1.6580999999999999</v>
      </c>
      <c r="O5" s="9">
        <v>-0.95730000000000004</v>
      </c>
    </row>
    <row r="6" spans="3:15" ht="16" thickBot="1" x14ac:dyDescent="0.4">
      <c r="C6" s="2">
        <v>1</v>
      </c>
      <c r="D6" s="8">
        <v>3.3399999999999999E-2</v>
      </c>
      <c r="E6" s="8">
        <v>0.98609999999999998</v>
      </c>
      <c r="F6" s="8">
        <v>1.6745000000000001</v>
      </c>
      <c r="G6" s="8">
        <v>1.9142999999999999</v>
      </c>
      <c r="H6" s="8">
        <v>1.6411</v>
      </c>
      <c r="I6" s="8">
        <v>0.92820000000000003</v>
      </c>
      <c r="J6" s="9">
        <v>-3.3399999999999999E-2</v>
      </c>
      <c r="K6" s="9">
        <v>-0.98609999999999998</v>
      </c>
      <c r="L6" s="9">
        <v>-1.6745000000000001</v>
      </c>
      <c r="M6" s="9">
        <v>-1.9142999999999999</v>
      </c>
      <c r="N6" s="9">
        <v>-1.6411</v>
      </c>
      <c r="O6" s="9">
        <v>-0.92820000000000003</v>
      </c>
    </row>
    <row r="7" spans="3:15" ht="16" thickBot="1" x14ac:dyDescent="0.4">
      <c r="C7" s="2">
        <v>2</v>
      </c>
      <c r="D7" s="8">
        <v>6.6799999999999998E-2</v>
      </c>
      <c r="E7" s="8">
        <v>1.0145999999999999</v>
      </c>
      <c r="F7" s="8">
        <v>1.6904999999999999</v>
      </c>
      <c r="G7" s="8">
        <v>1.9134</v>
      </c>
      <c r="H7" s="8">
        <v>1.6236999999999999</v>
      </c>
      <c r="I7" s="8">
        <v>0.89890000000000003</v>
      </c>
      <c r="J7" s="9">
        <v>-6.6799999999999998E-2</v>
      </c>
      <c r="K7" s="9">
        <v>-1.0145999999999999</v>
      </c>
      <c r="L7" s="9">
        <v>-1.6904999999999999</v>
      </c>
      <c r="M7" s="9">
        <v>-1.9134</v>
      </c>
      <c r="N7" s="9">
        <v>-1.6236999999999999</v>
      </c>
      <c r="O7" s="9">
        <v>-0.89890000000000003</v>
      </c>
    </row>
    <row r="8" spans="3:15" ht="16" thickBot="1" x14ac:dyDescent="0.4">
      <c r="C8" s="2">
        <v>3</v>
      </c>
      <c r="D8" s="8">
        <v>0.1002</v>
      </c>
      <c r="E8" s="8">
        <v>1.0427999999999999</v>
      </c>
      <c r="F8" s="8">
        <v>1.7059</v>
      </c>
      <c r="G8" s="8">
        <v>1.9119999999999999</v>
      </c>
      <c r="H8" s="8">
        <v>1.6056999999999999</v>
      </c>
      <c r="I8" s="8">
        <v>0.86919999999999997</v>
      </c>
      <c r="J8" s="9">
        <v>-0.1002</v>
      </c>
      <c r="K8" s="9">
        <v>-1.0427999999999999</v>
      </c>
      <c r="L8" s="9">
        <v>-1.7059</v>
      </c>
      <c r="M8" s="9">
        <v>-1.9119999999999999</v>
      </c>
      <c r="N8" s="9">
        <v>-1.6056999999999999</v>
      </c>
      <c r="O8" s="9">
        <v>-0.86919999999999997</v>
      </c>
    </row>
    <row r="9" spans="3:15" ht="16" thickBot="1" x14ac:dyDescent="0.4">
      <c r="C9" s="2">
        <v>4</v>
      </c>
      <c r="D9" s="8">
        <v>0.1336</v>
      </c>
      <c r="E9" s="8">
        <v>1.0706</v>
      </c>
      <c r="F9" s="8">
        <v>1.7208000000000001</v>
      </c>
      <c r="G9" s="8">
        <v>1.9098999999999999</v>
      </c>
      <c r="H9" s="8">
        <v>1.5872999999999999</v>
      </c>
      <c r="I9" s="8">
        <v>0.83930000000000005</v>
      </c>
      <c r="J9" s="9">
        <v>-0.1336</v>
      </c>
      <c r="K9" s="9">
        <v>-1.0706</v>
      </c>
      <c r="L9" s="9">
        <v>-1.7208000000000001</v>
      </c>
      <c r="M9" s="9">
        <v>-1.9098999999999999</v>
      </c>
      <c r="N9" s="9">
        <v>-1.5872999999999999</v>
      </c>
      <c r="O9" s="9">
        <v>-0.83930000000000005</v>
      </c>
    </row>
    <row r="10" spans="3:15" ht="16" thickBot="1" x14ac:dyDescent="0.4">
      <c r="C10" s="2">
        <v>5</v>
      </c>
      <c r="D10" s="8">
        <v>0.16689999999999999</v>
      </c>
      <c r="E10" s="8">
        <v>1.0982000000000001</v>
      </c>
      <c r="F10" s="8">
        <v>1.7352000000000001</v>
      </c>
      <c r="G10" s="8">
        <v>1.9073</v>
      </c>
      <c r="H10" s="8">
        <v>1.5683</v>
      </c>
      <c r="I10" s="8">
        <v>0.80910000000000004</v>
      </c>
      <c r="J10" s="9">
        <v>-0.16689999999999999</v>
      </c>
      <c r="K10" s="9">
        <v>-1.0982000000000001</v>
      </c>
      <c r="L10" s="9">
        <v>-1.7352000000000001</v>
      </c>
      <c r="M10" s="9">
        <v>-1.9073</v>
      </c>
      <c r="N10" s="9">
        <v>-1.5683</v>
      </c>
      <c r="O10" s="9">
        <v>-0.80910000000000004</v>
      </c>
    </row>
    <row r="11" spans="3:15" ht="16" thickBot="1" x14ac:dyDescent="0.4">
      <c r="C11" s="2">
        <v>6</v>
      </c>
      <c r="D11" s="8">
        <v>0.2001</v>
      </c>
      <c r="E11" s="8">
        <v>1.1254</v>
      </c>
      <c r="F11" s="8">
        <v>1.7491000000000001</v>
      </c>
      <c r="G11" s="8">
        <v>1.9040999999999999</v>
      </c>
      <c r="H11" s="8">
        <v>1.5488999999999999</v>
      </c>
      <c r="I11" s="8">
        <v>0.77869999999999995</v>
      </c>
      <c r="J11" s="9">
        <v>-0.2001</v>
      </c>
      <c r="K11" s="9">
        <v>-1.1254</v>
      </c>
      <c r="L11" s="9">
        <v>-1.7491000000000001</v>
      </c>
      <c r="M11" s="9">
        <v>-1.9040999999999999</v>
      </c>
      <c r="N11" s="9">
        <v>-1.5488999999999999</v>
      </c>
      <c r="O11" s="9">
        <v>-0.77869999999999995</v>
      </c>
    </row>
    <row r="12" spans="3:15" ht="16" thickBot="1" x14ac:dyDescent="0.4">
      <c r="C12" s="2">
        <v>7</v>
      </c>
      <c r="D12" s="8">
        <v>0.23330000000000001</v>
      </c>
      <c r="E12" s="8">
        <v>1.1521999999999999</v>
      </c>
      <c r="F12" s="8">
        <v>1.7624</v>
      </c>
      <c r="G12" s="8">
        <v>1.9003000000000001</v>
      </c>
      <c r="H12" s="8">
        <v>1.5290999999999999</v>
      </c>
      <c r="I12" s="8">
        <v>0.74809999999999999</v>
      </c>
      <c r="J12" s="9">
        <v>-0.23330000000000001</v>
      </c>
      <c r="K12" s="9">
        <v>-1.1521999999999999</v>
      </c>
      <c r="L12" s="9">
        <v>-1.7624</v>
      </c>
      <c r="M12" s="9">
        <v>-1.9003000000000001</v>
      </c>
      <c r="N12" s="9">
        <v>-1.5290999999999999</v>
      </c>
      <c r="O12" s="9">
        <v>-0.74809999999999999</v>
      </c>
    </row>
    <row r="13" spans="3:15" ht="16" thickBot="1" x14ac:dyDescent="0.4">
      <c r="C13" s="2">
        <v>8</v>
      </c>
      <c r="D13" s="8">
        <v>0.26650000000000001</v>
      </c>
      <c r="E13" s="8">
        <v>1.1787000000000001</v>
      </c>
      <c r="F13" s="8">
        <v>1.7751999999999999</v>
      </c>
      <c r="G13" s="8">
        <v>1.8959999999999999</v>
      </c>
      <c r="H13" s="8">
        <v>1.5086999999999999</v>
      </c>
      <c r="I13" s="8">
        <v>0.71719999999999995</v>
      </c>
      <c r="J13" s="9">
        <v>-0.26650000000000001</v>
      </c>
      <c r="K13" s="9">
        <v>-1.1787000000000001</v>
      </c>
      <c r="L13" s="9">
        <v>-1.7751999999999999</v>
      </c>
      <c r="M13" s="9">
        <v>-1.8959999999999999</v>
      </c>
      <c r="N13" s="9">
        <v>-1.5086999999999999</v>
      </c>
      <c r="O13" s="9">
        <v>-0.71719999999999995</v>
      </c>
    </row>
    <row r="14" spans="3:15" ht="16" thickBot="1" x14ac:dyDescent="0.4">
      <c r="C14" s="2">
        <v>9</v>
      </c>
      <c r="D14" s="8">
        <v>0.29949999999999999</v>
      </c>
      <c r="E14" s="8">
        <v>1.2049000000000001</v>
      </c>
      <c r="F14" s="8">
        <v>1.7874000000000001</v>
      </c>
      <c r="G14" s="8">
        <v>1.891</v>
      </c>
      <c r="H14" s="8">
        <v>1.4879</v>
      </c>
      <c r="I14" s="8">
        <v>0.68610000000000004</v>
      </c>
      <c r="J14" s="9">
        <v>-0.29949999999999999</v>
      </c>
      <c r="K14" s="9">
        <v>-1.2049000000000001</v>
      </c>
      <c r="L14" s="9">
        <v>-1.7874000000000001</v>
      </c>
      <c r="M14" s="9">
        <v>-1.891</v>
      </c>
      <c r="N14" s="9">
        <v>-1.4879</v>
      </c>
      <c r="O14" s="9">
        <v>-0.68610000000000004</v>
      </c>
    </row>
    <row r="15" spans="3:15" ht="16" thickBot="1" x14ac:dyDescent="0.4">
      <c r="C15" s="2">
        <v>10</v>
      </c>
      <c r="D15" s="8">
        <v>0.33250000000000002</v>
      </c>
      <c r="E15" s="8">
        <v>1.2306999999999999</v>
      </c>
      <c r="F15" s="8">
        <v>1.7990999999999999</v>
      </c>
      <c r="G15" s="8">
        <v>1.8855</v>
      </c>
      <c r="H15" s="8">
        <v>1.4666999999999999</v>
      </c>
      <c r="I15" s="8">
        <v>0.65480000000000005</v>
      </c>
      <c r="J15" s="9">
        <v>-0.33250000000000002</v>
      </c>
      <c r="K15" s="9">
        <v>-1.2306999999999999</v>
      </c>
      <c r="L15" s="9">
        <v>-1.7990999999999999</v>
      </c>
      <c r="M15" s="9">
        <v>-1.8855</v>
      </c>
      <c r="N15" s="9">
        <v>-1.4666999999999999</v>
      </c>
      <c r="O15" s="9">
        <v>-0.65480000000000005</v>
      </c>
    </row>
    <row r="16" spans="3:15" ht="16" thickBot="1" x14ac:dyDescent="0.4">
      <c r="C16" s="2">
        <v>11</v>
      </c>
      <c r="D16" s="8">
        <v>0.36530000000000001</v>
      </c>
      <c r="E16" s="8">
        <v>1.2561</v>
      </c>
      <c r="F16" s="8">
        <v>1.8103</v>
      </c>
      <c r="G16" s="8">
        <v>1.8794</v>
      </c>
      <c r="H16" s="8">
        <v>1.4450000000000001</v>
      </c>
      <c r="I16" s="8">
        <v>0.62329999999999997</v>
      </c>
      <c r="J16" s="9">
        <v>-0.36530000000000001</v>
      </c>
      <c r="K16" s="9">
        <v>-1.2561</v>
      </c>
      <c r="L16" s="9">
        <v>-1.8103</v>
      </c>
      <c r="M16" s="9">
        <v>-1.8794</v>
      </c>
      <c r="N16" s="9">
        <v>-1.4450000000000001</v>
      </c>
      <c r="O16" s="9">
        <v>-0.62329999999999997</v>
      </c>
    </row>
    <row r="17" spans="3:15" ht="16" thickBot="1" x14ac:dyDescent="0.4">
      <c r="C17" s="2">
        <v>12</v>
      </c>
      <c r="D17" s="8">
        <v>0.39810000000000001</v>
      </c>
      <c r="E17" s="8">
        <v>1.2810999999999999</v>
      </c>
      <c r="F17" s="8">
        <v>1.8209</v>
      </c>
      <c r="G17" s="8">
        <v>1.8728</v>
      </c>
      <c r="H17" s="8">
        <v>1.4228000000000001</v>
      </c>
      <c r="I17" s="8">
        <v>0.59160000000000001</v>
      </c>
      <c r="J17" s="9">
        <v>-0.39810000000000001</v>
      </c>
      <c r="K17" s="9">
        <v>-1.2810999999999999</v>
      </c>
      <c r="L17" s="9">
        <v>-1.8209</v>
      </c>
      <c r="M17" s="9">
        <v>-1.8728</v>
      </c>
      <c r="N17" s="9">
        <v>-1.4228000000000001</v>
      </c>
      <c r="O17" s="9">
        <v>-0.59160000000000001</v>
      </c>
    </row>
    <row r="18" spans="3:15" ht="16" thickBot="1" x14ac:dyDescent="0.4">
      <c r="C18" s="2">
        <v>13</v>
      </c>
      <c r="D18" s="8">
        <v>0.43070000000000003</v>
      </c>
      <c r="E18" s="8">
        <v>1.3058000000000001</v>
      </c>
      <c r="F18" s="8">
        <v>1.8309</v>
      </c>
      <c r="G18" s="8">
        <v>1.8654999999999999</v>
      </c>
      <c r="H18" s="8">
        <v>1.4001999999999999</v>
      </c>
      <c r="I18" s="8">
        <v>0.55979999999999996</v>
      </c>
      <c r="J18" s="9">
        <v>-0.43070000000000003</v>
      </c>
      <c r="K18" s="9">
        <v>-1.3058000000000001</v>
      </c>
      <c r="L18" s="9">
        <v>-1.8309</v>
      </c>
      <c r="M18" s="9">
        <v>-1.8654999999999999</v>
      </c>
      <c r="N18" s="9">
        <v>-1.4001999999999999</v>
      </c>
      <c r="O18" s="9">
        <v>-0.55979999999999996</v>
      </c>
    </row>
    <row r="19" spans="3:15" ht="16" thickBot="1" x14ac:dyDescent="0.4">
      <c r="C19" s="2">
        <v>14</v>
      </c>
      <c r="D19" s="8">
        <v>0.4632</v>
      </c>
      <c r="E19" s="8">
        <v>1.33</v>
      </c>
      <c r="F19" s="8">
        <v>1.8404</v>
      </c>
      <c r="G19" s="8">
        <v>1.8576999999999999</v>
      </c>
      <c r="H19" s="8">
        <v>1.3772</v>
      </c>
      <c r="I19" s="8">
        <v>0.52769999999999995</v>
      </c>
      <c r="J19" s="9">
        <v>-0.4632</v>
      </c>
      <c r="K19" s="9">
        <v>-1.33</v>
      </c>
      <c r="L19" s="9">
        <v>-1.8404</v>
      </c>
      <c r="M19" s="9">
        <v>-1.8576999999999999</v>
      </c>
      <c r="N19" s="9">
        <v>-1.3772</v>
      </c>
      <c r="O19" s="9">
        <v>-0.52769999999999995</v>
      </c>
    </row>
    <row r="20" spans="3:15" ht="16" thickBot="1" x14ac:dyDescent="0.4">
      <c r="C20" s="2">
        <v>15</v>
      </c>
      <c r="D20" s="8">
        <v>0.4955</v>
      </c>
      <c r="E20" s="8">
        <v>1.3537999999999999</v>
      </c>
      <c r="F20" s="8">
        <v>1.8493999999999999</v>
      </c>
      <c r="G20" s="8">
        <v>1.8493999999999999</v>
      </c>
      <c r="H20" s="8">
        <v>1.3537999999999999</v>
      </c>
      <c r="I20" s="8">
        <v>0.4955</v>
      </c>
      <c r="J20" s="9">
        <v>-0.4955</v>
      </c>
      <c r="K20" s="9">
        <v>-1.3537999999999999</v>
      </c>
      <c r="L20" s="9">
        <v>-1.8493999999999999</v>
      </c>
      <c r="M20" s="9">
        <v>-1.8493999999999999</v>
      </c>
      <c r="N20" s="9">
        <v>-1.3537999999999999</v>
      </c>
      <c r="O20" s="9">
        <v>-0.4955</v>
      </c>
    </row>
    <row r="21" spans="3:15" ht="16" thickBot="1" x14ac:dyDescent="0.4">
      <c r="C21" s="2">
        <v>16</v>
      </c>
      <c r="D21" s="8">
        <v>0.52769999999999995</v>
      </c>
      <c r="E21" s="8">
        <v>1.3772</v>
      </c>
      <c r="F21" s="8">
        <v>1.8576999999999999</v>
      </c>
      <c r="G21" s="8">
        <v>1.8404</v>
      </c>
      <c r="H21" s="8">
        <v>1.33</v>
      </c>
      <c r="I21" s="8">
        <v>0.4632</v>
      </c>
      <c r="J21" s="9">
        <v>-0.52769999999999995</v>
      </c>
      <c r="K21" s="9">
        <v>-1.3772</v>
      </c>
      <c r="L21" s="9">
        <v>-1.8576999999999999</v>
      </c>
      <c r="M21" s="9">
        <v>-1.8404</v>
      </c>
      <c r="N21" s="9">
        <v>-1.33</v>
      </c>
      <c r="O21" s="9">
        <v>-0.4632</v>
      </c>
    </row>
    <row r="22" spans="3:15" ht="16" thickBot="1" x14ac:dyDescent="0.4">
      <c r="C22" s="2">
        <v>17</v>
      </c>
      <c r="D22" s="8">
        <v>0.55979999999999996</v>
      </c>
      <c r="E22" s="8">
        <v>1.4001999999999999</v>
      </c>
      <c r="F22" s="8">
        <v>1.8654999999999999</v>
      </c>
      <c r="G22" s="8">
        <v>1.8309</v>
      </c>
      <c r="H22" s="8">
        <v>1.3058000000000001</v>
      </c>
      <c r="I22" s="8">
        <v>0.43070000000000003</v>
      </c>
      <c r="J22" s="9">
        <v>-0.55979999999999996</v>
      </c>
      <c r="K22" s="9">
        <v>-1.4001999999999999</v>
      </c>
      <c r="L22" s="9">
        <v>-1.8654999999999999</v>
      </c>
      <c r="M22" s="9">
        <v>-1.8309</v>
      </c>
      <c r="N22" s="9">
        <v>-1.3058000000000001</v>
      </c>
      <c r="O22" s="9">
        <v>-0.43070000000000003</v>
      </c>
    </row>
    <row r="23" spans="3:15" ht="16" thickBot="1" x14ac:dyDescent="0.4">
      <c r="C23" s="2">
        <v>18</v>
      </c>
      <c r="D23" s="8">
        <v>0.59160000000000001</v>
      </c>
      <c r="E23" s="8">
        <v>1.4228000000000001</v>
      </c>
      <c r="F23" s="8">
        <v>1.8728</v>
      </c>
      <c r="G23" s="8">
        <v>1.8209</v>
      </c>
      <c r="H23" s="8">
        <v>1.2810999999999999</v>
      </c>
      <c r="I23" s="8">
        <v>0.39810000000000001</v>
      </c>
      <c r="J23" s="9">
        <v>-0.59160000000000001</v>
      </c>
      <c r="K23" s="9">
        <v>-1.4228000000000001</v>
      </c>
      <c r="L23" s="9">
        <v>-1.8728</v>
      </c>
      <c r="M23" s="9">
        <v>-1.8209</v>
      </c>
      <c r="N23" s="9">
        <v>-1.2810999999999999</v>
      </c>
      <c r="O23" s="9">
        <v>-0.39810000000000001</v>
      </c>
    </row>
    <row r="24" spans="3:15" ht="16" thickBot="1" x14ac:dyDescent="0.4">
      <c r="C24" s="2">
        <v>19</v>
      </c>
      <c r="D24" s="8">
        <v>0.62329999999999997</v>
      </c>
      <c r="E24" s="8">
        <v>1.4450000000000001</v>
      </c>
      <c r="F24" s="8">
        <v>1.8794</v>
      </c>
      <c r="G24" s="8">
        <v>1.8103</v>
      </c>
      <c r="H24" s="8">
        <v>1.2561</v>
      </c>
      <c r="I24" s="8">
        <v>0.36530000000000001</v>
      </c>
      <c r="J24" s="9">
        <v>-0.62329999999999997</v>
      </c>
      <c r="K24" s="9">
        <v>-1.4450000000000001</v>
      </c>
      <c r="L24" s="9">
        <v>-1.8794</v>
      </c>
      <c r="M24" s="9">
        <v>-1.8103</v>
      </c>
      <c r="N24" s="9">
        <v>-1.2561</v>
      </c>
      <c r="O24" s="9">
        <v>-0.36530000000000001</v>
      </c>
    </row>
    <row r="25" spans="3:15" ht="16" thickBot="1" x14ac:dyDescent="0.4">
      <c r="C25" s="2">
        <v>20</v>
      </c>
      <c r="D25" s="8">
        <v>0.65480000000000005</v>
      </c>
      <c r="E25" s="8">
        <v>1.4666999999999999</v>
      </c>
      <c r="F25" s="8">
        <v>1.8855</v>
      </c>
      <c r="G25" s="8">
        <v>1.7990999999999999</v>
      </c>
      <c r="H25" s="8">
        <v>1.2306999999999999</v>
      </c>
      <c r="I25" s="8">
        <v>0.33250000000000002</v>
      </c>
      <c r="J25" s="9">
        <v>-0.65480000000000005</v>
      </c>
      <c r="K25" s="8">
        <v>-1.4666999999999999</v>
      </c>
      <c r="L25" s="9">
        <v>-1.8855</v>
      </c>
      <c r="M25" s="9">
        <v>-1.7990999999999999</v>
      </c>
      <c r="N25" s="9">
        <v>-1.2306999999999999</v>
      </c>
      <c r="O25" s="9">
        <v>-0.33250000000000002</v>
      </c>
    </row>
    <row r="26" spans="3:15" ht="16" thickBot="1" x14ac:dyDescent="0.4">
      <c r="C26" s="2">
        <v>21</v>
      </c>
      <c r="D26" s="8">
        <v>0.68610000000000004</v>
      </c>
      <c r="E26" s="8">
        <v>1.4879</v>
      </c>
      <c r="F26" s="8">
        <v>1.891</v>
      </c>
      <c r="G26" s="8">
        <v>1.7874000000000001</v>
      </c>
      <c r="H26" s="8">
        <v>1.2049000000000001</v>
      </c>
      <c r="I26" s="8">
        <v>0.29949999999999999</v>
      </c>
      <c r="J26" s="9">
        <v>-0.68610000000000004</v>
      </c>
      <c r="K26" s="9">
        <v>-1.4879</v>
      </c>
      <c r="L26" s="9">
        <v>-1.891</v>
      </c>
      <c r="M26" s="9">
        <v>-1.7874000000000001</v>
      </c>
      <c r="N26" s="9">
        <v>-1.2049000000000001</v>
      </c>
      <c r="O26" s="9">
        <v>-0.29949999999999999</v>
      </c>
    </row>
    <row r="27" spans="3:15" ht="16" thickBot="1" x14ac:dyDescent="0.4">
      <c r="C27" s="2">
        <v>22</v>
      </c>
      <c r="D27" s="8">
        <v>0.71719999999999995</v>
      </c>
      <c r="E27" s="8">
        <v>1.5086999999999999</v>
      </c>
      <c r="F27" s="8">
        <v>1.8959999999999999</v>
      </c>
      <c r="G27" s="8">
        <v>1.7751999999999999</v>
      </c>
      <c r="H27" s="8">
        <v>1.1787000000000001</v>
      </c>
      <c r="I27" s="8">
        <v>0.26650000000000001</v>
      </c>
      <c r="J27" s="9">
        <v>-0.71719999999999995</v>
      </c>
      <c r="K27" s="9">
        <v>-1.5086999999999999</v>
      </c>
      <c r="L27" s="9">
        <v>-1.8959999999999999</v>
      </c>
      <c r="M27" s="9">
        <v>-1.7751999999999999</v>
      </c>
      <c r="N27" s="9">
        <v>-1.1787000000000001</v>
      </c>
      <c r="O27" s="9">
        <v>-0.26650000000000001</v>
      </c>
    </row>
    <row r="28" spans="3:15" ht="16" thickBot="1" x14ac:dyDescent="0.4">
      <c r="C28" s="2">
        <v>23</v>
      </c>
      <c r="D28" s="8">
        <v>0.74809999999999999</v>
      </c>
      <c r="E28" s="8">
        <v>1.5290999999999999</v>
      </c>
      <c r="F28" s="8">
        <v>1.9003000000000001</v>
      </c>
      <c r="G28" s="8">
        <v>1.7624</v>
      </c>
      <c r="H28" s="8">
        <v>1.1521999999999999</v>
      </c>
      <c r="I28" s="8">
        <v>0.23330000000000001</v>
      </c>
      <c r="J28" s="9">
        <v>-0.74809999999999999</v>
      </c>
      <c r="K28" s="9">
        <v>-1.5290999999999999</v>
      </c>
      <c r="L28" s="9">
        <v>-1.9003000000000001</v>
      </c>
      <c r="M28" s="9">
        <v>-1.7624</v>
      </c>
      <c r="N28" s="9">
        <v>-1.1521999999999999</v>
      </c>
      <c r="O28" s="9">
        <v>-0.23330000000000001</v>
      </c>
    </row>
    <row r="29" spans="3:15" ht="16" thickBot="1" x14ac:dyDescent="0.4">
      <c r="C29" s="2">
        <v>24</v>
      </c>
      <c r="D29" s="8">
        <v>0.77869999999999995</v>
      </c>
      <c r="E29" s="8">
        <v>1.5488999999999999</v>
      </c>
      <c r="F29" s="8">
        <v>1.9040999999999999</v>
      </c>
      <c r="G29" s="8">
        <v>1.7491000000000001</v>
      </c>
      <c r="H29" s="8">
        <v>1.1254</v>
      </c>
      <c r="I29" s="8">
        <v>0.2001</v>
      </c>
      <c r="J29" s="9">
        <v>-0.77869999999999995</v>
      </c>
      <c r="K29" s="9">
        <v>-1.5488999999999999</v>
      </c>
      <c r="L29" s="9">
        <v>-1.9040999999999999</v>
      </c>
      <c r="M29" s="9">
        <v>-1.7491000000000001</v>
      </c>
      <c r="N29" s="9">
        <v>-1.1254</v>
      </c>
      <c r="O29" s="9">
        <v>-0.2001</v>
      </c>
    </row>
    <row r="30" spans="3:15" ht="16" thickBot="1" x14ac:dyDescent="0.4">
      <c r="C30" s="2">
        <v>25</v>
      </c>
      <c r="D30" s="8">
        <v>0.80910000000000004</v>
      </c>
      <c r="E30" s="8">
        <v>1.5683</v>
      </c>
      <c r="F30" s="8">
        <v>1.9073</v>
      </c>
      <c r="G30" s="8">
        <v>1.7352000000000001</v>
      </c>
      <c r="H30" s="8">
        <v>1.0982000000000001</v>
      </c>
      <c r="I30" s="8">
        <v>0.16689999999999999</v>
      </c>
      <c r="J30" s="9">
        <v>-0.80910000000000004</v>
      </c>
      <c r="K30" s="9">
        <v>-1.5683</v>
      </c>
      <c r="L30" s="9">
        <v>-1.9073</v>
      </c>
      <c r="M30" s="9">
        <v>-1.7352000000000001</v>
      </c>
      <c r="N30" s="9">
        <v>-1.0982000000000001</v>
      </c>
      <c r="O30" s="9">
        <v>-0.16689999999999999</v>
      </c>
    </row>
    <row r="31" spans="3:15" ht="16" thickBot="1" x14ac:dyDescent="0.4">
      <c r="C31" s="2">
        <v>26</v>
      </c>
      <c r="D31" s="8">
        <v>0.83930000000000005</v>
      </c>
      <c r="E31" s="8">
        <v>1.5872999999999999</v>
      </c>
      <c r="F31" s="8">
        <v>1.9098999999999999</v>
      </c>
      <c r="G31" s="8">
        <v>1.7208000000000001</v>
      </c>
      <c r="H31" s="8">
        <v>1.0706</v>
      </c>
      <c r="I31" s="8">
        <v>0.1336</v>
      </c>
      <c r="J31" s="9">
        <v>-0.83930000000000005</v>
      </c>
      <c r="K31" s="9">
        <v>-1.5872999999999999</v>
      </c>
      <c r="L31" s="9">
        <v>-1.9098999999999999</v>
      </c>
      <c r="M31" s="9">
        <v>-1.7208000000000001</v>
      </c>
      <c r="N31" s="9">
        <v>-1.0706</v>
      </c>
      <c r="O31" s="9">
        <v>-0.1336</v>
      </c>
    </row>
    <row r="32" spans="3:15" ht="16" thickBot="1" x14ac:dyDescent="0.4">
      <c r="C32" s="2">
        <v>27</v>
      </c>
      <c r="D32" s="8">
        <v>0.86919999999999997</v>
      </c>
      <c r="E32" s="8">
        <v>1.6056999999999999</v>
      </c>
      <c r="F32" s="8">
        <v>1.9119999999999999</v>
      </c>
      <c r="G32" s="8">
        <v>1.7059</v>
      </c>
      <c r="H32" s="8">
        <v>1.0427999999999999</v>
      </c>
      <c r="I32" s="8">
        <v>0.1002</v>
      </c>
      <c r="J32" s="9">
        <v>-0.86919999999999997</v>
      </c>
      <c r="K32" s="9">
        <v>-1.6056999999999999</v>
      </c>
      <c r="L32" s="9">
        <v>-1.9119999999999999</v>
      </c>
      <c r="M32" s="9">
        <v>-1.7059</v>
      </c>
      <c r="N32" s="9">
        <v>-1.0427999999999999</v>
      </c>
      <c r="O32" s="9">
        <v>-0.1002</v>
      </c>
    </row>
    <row r="33" spans="3:15" ht="16" thickBot="1" x14ac:dyDescent="0.4">
      <c r="C33" s="2">
        <v>28</v>
      </c>
      <c r="D33" s="8">
        <v>0.89890000000000003</v>
      </c>
      <c r="E33" s="8">
        <v>1.6236999999999999</v>
      </c>
      <c r="F33" s="8">
        <v>1.9134</v>
      </c>
      <c r="G33" s="8">
        <v>1.6904999999999999</v>
      </c>
      <c r="H33" s="8">
        <v>1.0145999999999999</v>
      </c>
      <c r="I33" s="8">
        <v>6.6799999999999998E-2</v>
      </c>
      <c r="J33" s="9">
        <v>-0.89890000000000003</v>
      </c>
      <c r="K33" s="9">
        <v>-1.6236999999999999</v>
      </c>
      <c r="L33" s="9">
        <v>-1.9134</v>
      </c>
      <c r="M33" s="9">
        <v>-1.6904999999999999</v>
      </c>
      <c r="N33" s="9">
        <v>-1.0145999999999999</v>
      </c>
      <c r="O33" s="9">
        <v>-6.6799999999999998E-2</v>
      </c>
    </row>
    <row r="34" spans="3:15" ht="16" thickBot="1" x14ac:dyDescent="0.4">
      <c r="C34" s="2">
        <v>29</v>
      </c>
      <c r="D34" s="8">
        <v>0.92820000000000003</v>
      </c>
      <c r="E34" s="8">
        <v>1.6411</v>
      </c>
      <c r="F34" s="8">
        <v>1.9142999999999999</v>
      </c>
      <c r="G34" s="8">
        <v>1.6745000000000001</v>
      </c>
      <c r="H34" s="8">
        <v>0.98609999999999998</v>
      </c>
      <c r="I34" s="8">
        <v>3.3399999999999999E-2</v>
      </c>
      <c r="J34" s="9">
        <v>-0.92820000000000003</v>
      </c>
      <c r="K34" s="9">
        <v>-1.6411</v>
      </c>
      <c r="L34" s="9">
        <v>-1.9142999999999999</v>
      </c>
      <c r="M34" s="9">
        <v>-1.6745000000000001</v>
      </c>
      <c r="N34" s="9">
        <v>-0.98609999999999998</v>
      </c>
      <c r="O34" s="9">
        <v>-3.3399999999999999E-2</v>
      </c>
    </row>
    <row r="35" spans="3:15" ht="16" thickBot="1" x14ac:dyDescent="0.4">
      <c r="C35" s="2">
        <v>30</v>
      </c>
      <c r="D35" s="8">
        <v>0.95730000000000004</v>
      </c>
      <c r="E35" s="8">
        <v>1.6580999999999999</v>
      </c>
      <c r="F35" s="8">
        <v>1.9146000000000001</v>
      </c>
      <c r="G35" s="8">
        <v>1.6580999999999999</v>
      </c>
      <c r="H35" s="8">
        <v>0.95730000000000004</v>
      </c>
      <c r="I35" s="8">
        <v>0</v>
      </c>
      <c r="J35" s="9">
        <v>-0.95730000000000004</v>
      </c>
      <c r="K35" s="9">
        <v>-1.6580999999999999</v>
      </c>
      <c r="L35" s="9">
        <v>-1.9146000000000001</v>
      </c>
      <c r="M35" s="9">
        <v>-1.6580999999999999</v>
      </c>
      <c r="N35" s="9">
        <v>-0.95730000000000004</v>
      </c>
      <c r="O35" s="9">
        <v>0</v>
      </c>
    </row>
  </sheetData>
  <mergeCells count="1">
    <mergeCell ref="C3:O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1143-DFEB-4C6E-844C-B8DBD4EBD45B}">
  <dimension ref="C2:O35"/>
  <sheetViews>
    <sheetView workbookViewId="0">
      <selection activeCell="N1" sqref="M1:N1"/>
    </sheetView>
  </sheetViews>
  <sheetFormatPr defaultRowHeight="14.5" x14ac:dyDescent="0.35"/>
  <cols>
    <col min="4" max="4" width="9.453125" customWidth="1"/>
    <col min="5" max="5" width="10.1796875" customWidth="1"/>
    <col min="6" max="6" width="9.81640625" customWidth="1"/>
    <col min="7" max="7" width="9.90625" customWidth="1"/>
    <col min="8" max="8" width="10.08984375" customWidth="1"/>
    <col min="9" max="9" width="10" customWidth="1"/>
    <col min="10" max="10" width="10.36328125" customWidth="1"/>
    <col min="11" max="11" width="10.1796875" customWidth="1"/>
    <col min="12" max="12" width="9.6328125" customWidth="1"/>
    <col min="13" max="13" width="10.26953125" customWidth="1"/>
    <col min="14" max="14" width="11.1796875" customWidth="1"/>
    <col min="15" max="15" width="10.6328125" customWidth="1"/>
  </cols>
  <sheetData>
    <row r="2" spans="3:15" ht="15" thickBot="1" x14ac:dyDescent="0.4"/>
    <row r="3" spans="3:15" ht="16" thickBot="1" x14ac:dyDescent="0.4">
      <c r="C3" s="56" t="s">
        <v>225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3:15" ht="16" thickBot="1" x14ac:dyDescent="0.4">
      <c r="C4" s="2" t="s">
        <v>0</v>
      </c>
      <c r="D4" s="7">
        <v>0</v>
      </c>
      <c r="E4" s="7">
        <v>30</v>
      </c>
      <c r="F4" s="7">
        <v>60</v>
      </c>
      <c r="G4" s="7">
        <v>90</v>
      </c>
      <c r="H4" s="7">
        <v>120</v>
      </c>
      <c r="I4" s="7">
        <v>150</v>
      </c>
      <c r="J4" s="6">
        <v>180</v>
      </c>
      <c r="K4" s="6">
        <v>210</v>
      </c>
      <c r="L4" s="6">
        <v>240</v>
      </c>
      <c r="M4" s="6">
        <v>270</v>
      </c>
      <c r="N4" s="6">
        <v>300</v>
      </c>
      <c r="O4" s="6">
        <v>330</v>
      </c>
    </row>
    <row r="5" spans="3:15" ht="16" thickBot="1" x14ac:dyDescent="0.4">
      <c r="C5" s="2">
        <v>0</v>
      </c>
      <c r="D5" s="8">
        <v>0</v>
      </c>
      <c r="E5" s="8">
        <v>0.01</v>
      </c>
      <c r="F5" s="8">
        <v>1.7299999999999999E-2</v>
      </c>
      <c r="G5" s="8">
        <v>0.02</v>
      </c>
      <c r="H5" s="8">
        <v>1.7299999999999999E-2</v>
      </c>
      <c r="I5" s="8">
        <v>0.01</v>
      </c>
      <c r="J5" s="9">
        <v>0</v>
      </c>
      <c r="K5" s="9">
        <v>-0.01</v>
      </c>
      <c r="L5" s="9">
        <v>-1.7299999999999999E-2</v>
      </c>
      <c r="M5" s="9">
        <v>-0.02</v>
      </c>
      <c r="N5" s="9">
        <v>-1.7299999999999999E-2</v>
      </c>
      <c r="O5" s="9">
        <v>-0.01</v>
      </c>
    </row>
    <row r="6" spans="3:15" ht="16" thickBot="1" x14ac:dyDescent="0.4">
      <c r="C6" s="2">
        <v>1</v>
      </c>
      <c r="D6" s="8">
        <v>2.9999999999999997E-4</v>
      </c>
      <c r="E6" s="8">
        <v>1.03E-2</v>
      </c>
      <c r="F6" s="8">
        <v>1.7500000000000002E-2</v>
      </c>
      <c r="G6" s="8">
        <v>0.02</v>
      </c>
      <c r="H6" s="8">
        <v>1.7100000000000001E-2</v>
      </c>
      <c r="I6" s="8">
        <v>9.7000000000000003E-3</v>
      </c>
      <c r="J6" s="9">
        <v>-2.9999999999999997E-4</v>
      </c>
      <c r="K6" s="9">
        <v>-1.03E-2</v>
      </c>
      <c r="L6" s="9">
        <v>-1.7500000000000002E-2</v>
      </c>
      <c r="M6" s="9">
        <v>-0.02</v>
      </c>
      <c r="N6" s="9">
        <v>-1.7100000000000001E-2</v>
      </c>
      <c r="O6" s="9">
        <v>-9.7000000000000003E-3</v>
      </c>
    </row>
    <row r="7" spans="3:15" ht="16" thickBot="1" x14ac:dyDescent="0.4">
      <c r="C7" s="2">
        <v>2</v>
      </c>
      <c r="D7" s="8">
        <v>6.9999999999999999E-4</v>
      </c>
      <c r="E7" s="8">
        <v>1.06E-2</v>
      </c>
      <c r="F7" s="8">
        <v>1.77E-2</v>
      </c>
      <c r="G7" s="8">
        <v>0.02</v>
      </c>
      <c r="H7" s="8">
        <v>1.7000000000000001E-2</v>
      </c>
      <c r="I7" s="8">
        <v>9.4000000000000004E-3</v>
      </c>
      <c r="J7" s="9">
        <v>-6.9999999999999999E-4</v>
      </c>
      <c r="K7" s="9">
        <v>-1.06E-2</v>
      </c>
      <c r="L7" s="9">
        <v>-1.77E-2</v>
      </c>
      <c r="M7" s="9">
        <v>-0.02</v>
      </c>
      <c r="N7" s="9">
        <v>-1.7000000000000001E-2</v>
      </c>
      <c r="O7" s="9">
        <v>-9.4000000000000004E-3</v>
      </c>
    </row>
    <row r="8" spans="3:15" ht="16" thickBot="1" x14ac:dyDescent="0.4">
      <c r="C8" s="2">
        <v>3</v>
      </c>
      <c r="D8" s="8">
        <v>1E-3</v>
      </c>
      <c r="E8" s="8">
        <v>1.09E-2</v>
      </c>
      <c r="F8" s="8">
        <v>1.78E-2</v>
      </c>
      <c r="G8" s="8">
        <v>0.02</v>
      </c>
      <c r="H8" s="8">
        <v>1.6799999999999999E-2</v>
      </c>
      <c r="I8" s="8">
        <v>9.1000000000000004E-3</v>
      </c>
      <c r="J8" s="9">
        <v>-1E-3</v>
      </c>
      <c r="K8" s="9">
        <v>-1.09E-2</v>
      </c>
      <c r="L8" s="9">
        <v>-1.78E-2</v>
      </c>
      <c r="M8" s="9">
        <v>-0.02</v>
      </c>
      <c r="N8" s="9">
        <v>-1.6799999999999999E-2</v>
      </c>
      <c r="O8" s="9">
        <v>-9.1000000000000004E-3</v>
      </c>
    </row>
    <row r="9" spans="3:15" ht="16" thickBot="1" x14ac:dyDescent="0.4">
      <c r="C9" s="2">
        <v>4</v>
      </c>
      <c r="D9" s="8">
        <v>1.4E-3</v>
      </c>
      <c r="E9" s="8">
        <v>1.12E-2</v>
      </c>
      <c r="F9" s="8">
        <v>1.7999999999999999E-2</v>
      </c>
      <c r="G9" s="8">
        <v>1.9900000000000001E-2</v>
      </c>
      <c r="H9" s="8">
        <v>1.66E-2</v>
      </c>
      <c r="I9" s="8">
        <v>8.8000000000000005E-3</v>
      </c>
      <c r="J9" s="9">
        <v>-1.4E-3</v>
      </c>
      <c r="K9" s="9">
        <v>-1.12E-2</v>
      </c>
      <c r="L9" s="9">
        <v>-1.7999999999999999E-2</v>
      </c>
      <c r="M9" s="9">
        <v>-1.9900000000000001E-2</v>
      </c>
      <c r="N9" s="9">
        <v>-1.66E-2</v>
      </c>
      <c r="O9" s="9">
        <v>-8.8000000000000005E-3</v>
      </c>
    </row>
    <row r="10" spans="3:15" ht="16" thickBot="1" x14ac:dyDescent="0.4">
      <c r="C10" s="2">
        <v>5</v>
      </c>
      <c r="D10" s="8">
        <v>1.6999999999999999E-3</v>
      </c>
      <c r="E10" s="8">
        <v>1.15E-2</v>
      </c>
      <c r="F10" s="8">
        <v>1.8100000000000002E-2</v>
      </c>
      <c r="G10" s="8">
        <v>1.9900000000000001E-2</v>
      </c>
      <c r="H10" s="8">
        <v>1.6400000000000001E-2</v>
      </c>
      <c r="I10" s="8">
        <v>8.3999999999999995E-3</v>
      </c>
      <c r="J10" s="9">
        <v>-1.6999999999999999E-3</v>
      </c>
      <c r="K10" s="9">
        <v>-1.15E-2</v>
      </c>
      <c r="L10" s="9">
        <v>-1.8100000000000002E-2</v>
      </c>
      <c r="M10" s="9">
        <v>-1.9900000000000001E-2</v>
      </c>
      <c r="N10" s="9">
        <v>-1.6400000000000001E-2</v>
      </c>
      <c r="O10" s="9">
        <v>-8.3999999999999995E-3</v>
      </c>
    </row>
    <row r="11" spans="3:15" ht="16" thickBot="1" x14ac:dyDescent="0.4">
      <c r="C11" s="2">
        <v>6</v>
      </c>
      <c r="D11" s="8">
        <v>2.0999999999999999E-3</v>
      </c>
      <c r="E11" s="8">
        <v>1.18E-2</v>
      </c>
      <c r="F11" s="8">
        <v>1.83E-2</v>
      </c>
      <c r="G11" s="8">
        <v>1.9900000000000001E-2</v>
      </c>
      <c r="H11" s="8">
        <v>1.6199999999999999E-2</v>
      </c>
      <c r="I11" s="8">
        <v>8.0999999999999996E-3</v>
      </c>
      <c r="J11" s="9">
        <v>-2.0999999999999999E-3</v>
      </c>
      <c r="K11" s="9">
        <v>-1.18E-2</v>
      </c>
      <c r="L11" s="9">
        <v>-1.83E-2</v>
      </c>
      <c r="M11" s="9">
        <v>-1.9900000000000001E-2</v>
      </c>
      <c r="N11" s="9">
        <v>-1.6199999999999999E-2</v>
      </c>
      <c r="O11" s="9">
        <v>-8.0999999999999996E-3</v>
      </c>
    </row>
    <row r="12" spans="3:15" ht="16" thickBot="1" x14ac:dyDescent="0.4">
      <c r="C12" s="2">
        <v>7</v>
      </c>
      <c r="D12" s="8">
        <v>2.3999999999999998E-3</v>
      </c>
      <c r="E12" s="8">
        <v>1.2E-2</v>
      </c>
      <c r="F12" s="8">
        <v>1.84E-2</v>
      </c>
      <c r="G12" s="8">
        <v>1.9800000000000002E-2</v>
      </c>
      <c r="H12" s="8">
        <v>1.6E-2</v>
      </c>
      <c r="I12" s="8">
        <v>7.7999999999999996E-3</v>
      </c>
      <c r="J12" s="9">
        <v>-2.3999999999999998E-3</v>
      </c>
      <c r="K12" s="9">
        <v>-1.2E-2</v>
      </c>
      <c r="L12" s="9">
        <v>-1.84E-2</v>
      </c>
      <c r="M12" s="9">
        <v>-1.9800000000000002E-2</v>
      </c>
      <c r="N12" s="9">
        <v>-1.6E-2</v>
      </c>
      <c r="O12" s="9">
        <v>-7.7999999999999996E-3</v>
      </c>
    </row>
    <row r="13" spans="3:15" ht="16" thickBot="1" x14ac:dyDescent="0.4">
      <c r="C13" s="2">
        <v>8</v>
      </c>
      <c r="D13" s="8">
        <v>2.8E-3</v>
      </c>
      <c r="E13" s="8">
        <v>1.23E-2</v>
      </c>
      <c r="F13" s="8">
        <v>1.8499999999999999E-2</v>
      </c>
      <c r="G13" s="8">
        <v>1.9800000000000002E-2</v>
      </c>
      <c r="H13" s="8">
        <v>1.5800000000000002E-2</v>
      </c>
      <c r="I13" s="8">
        <v>7.4999999999999997E-3</v>
      </c>
      <c r="J13" s="9">
        <v>-2.8E-3</v>
      </c>
      <c r="K13" s="9">
        <v>-1.23E-2</v>
      </c>
      <c r="L13" s="9">
        <v>-1.8499999999999999E-2</v>
      </c>
      <c r="M13" s="9">
        <v>-1.9800000000000002E-2</v>
      </c>
      <c r="N13" s="9">
        <v>-1.5800000000000002E-2</v>
      </c>
      <c r="O13" s="9">
        <v>-7.4999999999999997E-3</v>
      </c>
    </row>
    <row r="14" spans="3:15" ht="16" thickBot="1" x14ac:dyDescent="0.4">
      <c r="C14" s="2">
        <v>9</v>
      </c>
      <c r="D14" s="8">
        <v>3.0999999999999999E-3</v>
      </c>
      <c r="E14" s="8">
        <v>1.26E-2</v>
      </c>
      <c r="F14" s="8">
        <v>1.8700000000000001E-2</v>
      </c>
      <c r="G14" s="8">
        <v>1.9699999999999999E-2</v>
      </c>
      <c r="H14" s="8">
        <v>1.55E-2</v>
      </c>
      <c r="I14" s="8">
        <v>7.1999999999999998E-3</v>
      </c>
      <c r="J14" s="9">
        <v>-3.0999999999999999E-3</v>
      </c>
      <c r="K14" s="9">
        <v>-1.26E-2</v>
      </c>
      <c r="L14" s="9">
        <v>-1.8700000000000001E-2</v>
      </c>
      <c r="M14" s="9">
        <v>-1.9699999999999999E-2</v>
      </c>
      <c r="N14" s="9">
        <v>-1.55E-2</v>
      </c>
      <c r="O14" s="9">
        <v>-7.1999999999999998E-3</v>
      </c>
    </row>
    <row r="15" spans="3:15" ht="16" thickBot="1" x14ac:dyDescent="0.4">
      <c r="C15" s="2">
        <v>10</v>
      </c>
      <c r="D15" s="8">
        <v>3.5000000000000001E-3</v>
      </c>
      <c r="E15" s="8">
        <v>1.29E-2</v>
      </c>
      <c r="F15" s="8">
        <v>1.8800000000000001E-2</v>
      </c>
      <c r="G15" s="8">
        <v>1.9699999999999999E-2</v>
      </c>
      <c r="H15" s="8">
        <v>1.5299999999999999E-2</v>
      </c>
      <c r="I15" s="8">
        <v>6.7999999999999996E-3</v>
      </c>
      <c r="J15" s="9">
        <v>-3.5000000000000001E-3</v>
      </c>
      <c r="K15" s="9">
        <v>-1.29E-2</v>
      </c>
      <c r="L15" s="9">
        <v>-1.8800000000000001E-2</v>
      </c>
      <c r="M15" s="9">
        <v>-1.9699999999999999E-2</v>
      </c>
      <c r="N15" s="9">
        <v>-1.5299999999999999E-2</v>
      </c>
      <c r="O15" s="9">
        <v>-6.7999999999999996E-3</v>
      </c>
    </row>
    <row r="16" spans="3:15" ht="16" thickBot="1" x14ac:dyDescent="0.4">
      <c r="C16" s="2">
        <v>11</v>
      </c>
      <c r="D16" s="8">
        <v>3.8E-3</v>
      </c>
      <c r="E16" s="8">
        <v>1.3100000000000001E-2</v>
      </c>
      <c r="F16" s="8">
        <v>1.89E-2</v>
      </c>
      <c r="G16" s="8">
        <v>1.9599999999999999E-2</v>
      </c>
      <c r="H16" s="8">
        <v>1.5100000000000001E-2</v>
      </c>
      <c r="I16" s="8">
        <v>6.4999999999999997E-3</v>
      </c>
      <c r="J16" s="9">
        <v>-3.8E-3</v>
      </c>
      <c r="K16" s="9">
        <v>-1.3100000000000001E-2</v>
      </c>
      <c r="L16" s="9">
        <v>-1.89E-2</v>
      </c>
      <c r="M16" s="9">
        <v>-1.9599999999999999E-2</v>
      </c>
      <c r="N16" s="9">
        <v>-1.5100000000000001E-2</v>
      </c>
      <c r="O16" s="9">
        <v>-6.4999999999999997E-3</v>
      </c>
    </row>
    <row r="17" spans="3:15" ht="16" thickBot="1" x14ac:dyDescent="0.4">
      <c r="C17" s="2">
        <v>12</v>
      </c>
      <c r="D17" s="8">
        <v>4.1999999999999997E-3</v>
      </c>
      <c r="E17" s="8">
        <v>1.34E-2</v>
      </c>
      <c r="F17" s="8">
        <v>1.9E-2</v>
      </c>
      <c r="G17" s="8">
        <v>1.9599999999999999E-2</v>
      </c>
      <c r="H17" s="8">
        <v>1.49E-2</v>
      </c>
      <c r="I17" s="8">
        <v>6.1999999999999998E-3</v>
      </c>
      <c r="J17" s="9">
        <v>-4.1999999999999997E-3</v>
      </c>
      <c r="K17" s="9">
        <v>-1.34E-2</v>
      </c>
      <c r="L17" s="9">
        <v>-1.9E-2</v>
      </c>
      <c r="M17" s="9">
        <v>-1.9599999999999999E-2</v>
      </c>
      <c r="N17" s="9">
        <v>-1.49E-2</v>
      </c>
      <c r="O17" s="9">
        <v>-6.1999999999999998E-3</v>
      </c>
    </row>
    <row r="18" spans="3:15" ht="16" thickBot="1" x14ac:dyDescent="0.4">
      <c r="C18" s="2">
        <v>13</v>
      </c>
      <c r="D18" s="8">
        <v>4.4999999999999997E-3</v>
      </c>
      <c r="E18" s="8">
        <v>1.3599999999999999E-2</v>
      </c>
      <c r="F18" s="8">
        <v>1.9099999999999999E-2</v>
      </c>
      <c r="G18" s="8">
        <v>1.95E-2</v>
      </c>
      <c r="H18" s="8">
        <v>1.46E-2</v>
      </c>
      <c r="I18" s="8">
        <v>5.7999999999999996E-3</v>
      </c>
      <c r="J18" s="9">
        <v>-4.4999999999999997E-3</v>
      </c>
      <c r="K18" s="9">
        <v>-1.3599999999999999E-2</v>
      </c>
      <c r="L18" s="9">
        <v>-1.9099999999999999E-2</v>
      </c>
      <c r="M18" s="9">
        <v>-1.95E-2</v>
      </c>
      <c r="N18" s="9">
        <v>-1.46E-2</v>
      </c>
      <c r="O18" s="9">
        <v>-5.7999999999999996E-3</v>
      </c>
    </row>
    <row r="19" spans="3:15" ht="16" thickBot="1" x14ac:dyDescent="0.4">
      <c r="C19" s="2">
        <v>14</v>
      </c>
      <c r="D19" s="8">
        <v>4.7999999999999996E-3</v>
      </c>
      <c r="E19" s="8">
        <v>1.3899999999999999E-2</v>
      </c>
      <c r="F19" s="8">
        <v>1.9199999999999998E-2</v>
      </c>
      <c r="G19" s="8">
        <v>1.9400000000000001E-2</v>
      </c>
      <c r="H19" s="8">
        <v>1.44E-2</v>
      </c>
      <c r="I19" s="8">
        <v>5.4999999999999997E-3</v>
      </c>
      <c r="J19" s="9">
        <v>-4.7999999999999996E-3</v>
      </c>
      <c r="K19" s="9">
        <v>-1.3899999999999999E-2</v>
      </c>
      <c r="L19" s="9">
        <v>-1.9199999999999998E-2</v>
      </c>
      <c r="M19" s="9">
        <v>-1.9400000000000001E-2</v>
      </c>
      <c r="N19" s="9">
        <v>-1.44E-2</v>
      </c>
      <c r="O19" s="9">
        <v>-5.4999999999999997E-3</v>
      </c>
    </row>
    <row r="20" spans="3:15" ht="16" thickBot="1" x14ac:dyDescent="0.4">
      <c r="C20" s="2">
        <v>15</v>
      </c>
      <c r="D20" s="8">
        <v>5.1999999999999998E-3</v>
      </c>
      <c r="E20" s="8">
        <v>1.41E-2</v>
      </c>
      <c r="F20" s="8">
        <v>1.9300000000000001E-2</v>
      </c>
      <c r="G20" s="8">
        <v>1.9300000000000001E-2</v>
      </c>
      <c r="H20" s="8">
        <v>1.41E-2</v>
      </c>
      <c r="I20" s="8">
        <v>5.1999999999999998E-3</v>
      </c>
      <c r="J20" s="9">
        <v>-5.1999999999999998E-3</v>
      </c>
      <c r="K20" s="9">
        <v>-1.41E-2</v>
      </c>
      <c r="L20" s="9">
        <v>-1.9300000000000001E-2</v>
      </c>
      <c r="M20" s="9">
        <v>-1.9300000000000001E-2</v>
      </c>
      <c r="N20" s="9">
        <v>-1.41E-2</v>
      </c>
      <c r="O20" s="9">
        <v>-5.1999999999999998E-3</v>
      </c>
    </row>
    <row r="21" spans="3:15" ht="16" thickBot="1" x14ac:dyDescent="0.4">
      <c r="C21" s="2">
        <v>16</v>
      </c>
      <c r="D21" s="8">
        <v>5.4999999999999997E-3</v>
      </c>
      <c r="E21" s="8">
        <v>1.44E-2</v>
      </c>
      <c r="F21" s="8">
        <v>1.9400000000000001E-2</v>
      </c>
      <c r="G21" s="8">
        <v>1.9199999999999998E-2</v>
      </c>
      <c r="H21" s="8">
        <v>1.3899999999999999E-2</v>
      </c>
      <c r="I21" s="8">
        <v>4.7999999999999996E-3</v>
      </c>
      <c r="J21" s="9">
        <v>-5.4999999999999997E-3</v>
      </c>
      <c r="K21" s="9">
        <v>-1.44E-2</v>
      </c>
      <c r="L21" s="9">
        <v>-1.9400000000000001E-2</v>
      </c>
      <c r="M21" s="9">
        <v>-1.9199999999999998E-2</v>
      </c>
      <c r="N21" s="9">
        <v>-1.3899999999999999E-2</v>
      </c>
      <c r="O21" s="9">
        <v>-4.7999999999999996E-3</v>
      </c>
    </row>
    <row r="22" spans="3:15" ht="16" thickBot="1" x14ac:dyDescent="0.4">
      <c r="C22" s="2">
        <v>17</v>
      </c>
      <c r="D22" s="8">
        <v>5.7999999999999996E-3</v>
      </c>
      <c r="E22" s="8">
        <v>1.46E-2</v>
      </c>
      <c r="F22" s="8">
        <v>1.95E-2</v>
      </c>
      <c r="G22" s="8">
        <v>1.9099999999999999E-2</v>
      </c>
      <c r="H22" s="8">
        <v>1.3599999999999999E-2</v>
      </c>
      <c r="I22" s="8">
        <v>4.4999999999999997E-3</v>
      </c>
      <c r="J22" s="9">
        <v>-5.7999999999999996E-3</v>
      </c>
      <c r="K22" s="9">
        <v>-1.46E-2</v>
      </c>
      <c r="L22" s="9">
        <v>-1.95E-2</v>
      </c>
      <c r="M22" s="9">
        <v>-1.9099999999999999E-2</v>
      </c>
      <c r="N22" s="9">
        <v>-1.3599999999999999E-2</v>
      </c>
      <c r="O22" s="9">
        <v>-4.4999999999999997E-3</v>
      </c>
    </row>
    <row r="23" spans="3:15" ht="16" thickBot="1" x14ac:dyDescent="0.4">
      <c r="C23" s="2">
        <v>18</v>
      </c>
      <c r="D23" s="8">
        <v>6.1999999999999998E-3</v>
      </c>
      <c r="E23" s="8">
        <v>1.49E-2</v>
      </c>
      <c r="F23" s="8">
        <v>1.9599999999999999E-2</v>
      </c>
      <c r="G23" s="8">
        <v>1.9E-2</v>
      </c>
      <c r="H23" s="8">
        <v>1.34E-2</v>
      </c>
      <c r="I23" s="8">
        <v>4.1999999999999997E-3</v>
      </c>
      <c r="J23" s="9">
        <v>-6.1999999999999998E-3</v>
      </c>
      <c r="K23" s="9">
        <v>-1.49E-2</v>
      </c>
      <c r="L23" s="9">
        <v>-1.9599999999999999E-2</v>
      </c>
      <c r="M23" s="9">
        <v>-1.9E-2</v>
      </c>
      <c r="N23" s="9">
        <v>-1.34E-2</v>
      </c>
      <c r="O23" s="9">
        <v>-4.1999999999999997E-3</v>
      </c>
    </row>
    <row r="24" spans="3:15" ht="16" thickBot="1" x14ac:dyDescent="0.4">
      <c r="C24" s="2">
        <v>19</v>
      </c>
      <c r="D24" s="8">
        <v>6.4999999999999997E-3</v>
      </c>
      <c r="E24" s="8">
        <v>1.5100000000000001E-2</v>
      </c>
      <c r="F24" s="8">
        <v>1.9599999999999999E-2</v>
      </c>
      <c r="G24" s="8">
        <v>1.89E-2</v>
      </c>
      <c r="H24" s="8">
        <v>1.3100000000000001E-2</v>
      </c>
      <c r="I24" s="8">
        <v>3.8E-3</v>
      </c>
      <c r="J24" s="9">
        <v>-6.4999999999999997E-3</v>
      </c>
      <c r="K24" s="9">
        <v>-1.5100000000000001E-2</v>
      </c>
      <c r="L24" s="9">
        <v>-1.9599999999999999E-2</v>
      </c>
      <c r="M24" s="9">
        <v>-1.89E-2</v>
      </c>
      <c r="N24" s="9">
        <v>-1.3100000000000001E-2</v>
      </c>
      <c r="O24" s="9">
        <v>-3.8E-3</v>
      </c>
    </row>
    <row r="25" spans="3:15" ht="16" thickBot="1" x14ac:dyDescent="0.4">
      <c r="C25" s="2">
        <v>20</v>
      </c>
      <c r="D25" s="8">
        <v>6.7999999999999996E-3</v>
      </c>
      <c r="E25" s="8">
        <v>1.5299999999999999E-2</v>
      </c>
      <c r="F25" s="8">
        <v>1.9699999999999999E-2</v>
      </c>
      <c r="G25" s="8">
        <v>1.8800000000000001E-2</v>
      </c>
      <c r="H25" s="8">
        <v>1.29E-2</v>
      </c>
      <c r="I25" s="8">
        <v>3.5000000000000001E-3</v>
      </c>
      <c r="J25" s="9">
        <v>-6.7999999999999996E-3</v>
      </c>
      <c r="K25" s="8">
        <v>-1.5299999999999999E-2</v>
      </c>
      <c r="L25" s="9">
        <v>-1.9699999999999999E-2</v>
      </c>
      <c r="M25" s="9">
        <v>-1.8800000000000001E-2</v>
      </c>
      <c r="N25" s="9">
        <v>-1.29E-2</v>
      </c>
      <c r="O25" s="9">
        <v>-3.5000000000000001E-3</v>
      </c>
    </row>
    <row r="26" spans="3:15" ht="16" thickBot="1" x14ac:dyDescent="0.4">
      <c r="C26" s="2">
        <v>21</v>
      </c>
      <c r="D26" s="8">
        <v>7.1999999999999998E-3</v>
      </c>
      <c r="E26" s="8">
        <v>1.55E-2</v>
      </c>
      <c r="F26" s="8">
        <v>1.9699999999999999E-2</v>
      </c>
      <c r="G26" s="8">
        <v>1.8700000000000001E-2</v>
      </c>
      <c r="H26" s="8">
        <v>1.26E-2</v>
      </c>
      <c r="I26" s="8">
        <v>3.0999999999999999E-3</v>
      </c>
      <c r="J26" s="9">
        <v>-7.1999999999999998E-3</v>
      </c>
      <c r="K26" s="9">
        <v>-1.55E-2</v>
      </c>
      <c r="L26" s="9">
        <v>-1.9699999999999999E-2</v>
      </c>
      <c r="M26" s="9">
        <v>-1.8700000000000001E-2</v>
      </c>
      <c r="N26" s="9">
        <v>-1.26E-2</v>
      </c>
      <c r="O26" s="9">
        <v>-3.0999999999999999E-3</v>
      </c>
    </row>
    <row r="27" spans="3:15" ht="16" thickBot="1" x14ac:dyDescent="0.4">
      <c r="C27" s="2">
        <v>22</v>
      </c>
      <c r="D27" s="8">
        <v>7.4999999999999997E-3</v>
      </c>
      <c r="E27" s="8">
        <v>1.5800000000000002E-2</v>
      </c>
      <c r="F27" s="8">
        <v>1.9800000000000002E-2</v>
      </c>
      <c r="G27" s="8">
        <v>1.8499999999999999E-2</v>
      </c>
      <c r="H27" s="8">
        <v>1.23E-2</v>
      </c>
      <c r="I27" s="8">
        <v>2.8E-3</v>
      </c>
      <c r="J27" s="9">
        <v>-7.4999999999999997E-3</v>
      </c>
      <c r="K27" s="9">
        <v>-1.5800000000000002E-2</v>
      </c>
      <c r="L27" s="9">
        <v>-1.9800000000000002E-2</v>
      </c>
      <c r="M27" s="9">
        <v>-1.8499999999999999E-2</v>
      </c>
      <c r="N27" s="9">
        <v>-1.23E-2</v>
      </c>
      <c r="O27" s="9">
        <v>-2.8E-3</v>
      </c>
    </row>
    <row r="28" spans="3:15" ht="16" thickBot="1" x14ac:dyDescent="0.4">
      <c r="C28" s="2">
        <v>23</v>
      </c>
      <c r="D28" s="8">
        <v>7.7999999999999996E-3</v>
      </c>
      <c r="E28" s="8">
        <v>1.6E-2</v>
      </c>
      <c r="F28" s="8">
        <v>1.9800000000000002E-2</v>
      </c>
      <c r="G28" s="8">
        <v>1.84E-2</v>
      </c>
      <c r="H28" s="8">
        <v>1.2E-2</v>
      </c>
      <c r="I28" s="8">
        <v>2.3999999999999998E-3</v>
      </c>
      <c r="J28" s="9">
        <v>-7.7999999999999996E-3</v>
      </c>
      <c r="K28" s="9">
        <v>-1.6E-2</v>
      </c>
      <c r="L28" s="9">
        <v>-1.9800000000000002E-2</v>
      </c>
      <c r="M28" s="9">
        <v>-1.84E-2</v>
      </c>
      <c r="N28" s="9">
        <v>-1.2E-2</v>
      </c>
      <c r="O28" s="9">
        <v>-2.3999999999999998E-3</v>
      </c>
    </row>
    <row r="29" spans="3:15" ht="16" thickBot="1" x14ac:dyDescent="0.4">
      <c r="C29" s="2">
        <v>24</v>
      </c>
      <c r="D29" s="8">
        <v>8.0999999999999996E-3</v>
      </c>
      <c r="E29" s="8">
        <v>1.6199999999999999E-2</v>
      </c>
      <c r="F29" s="8">
        <v>1.9900000000000001E-2</v>
      </c>
      <c r="G29" s="8">
        <v>1.83E-2</v>
      </c>
      <c r="H29" s="8">
        <v>1.18E-2</v>
      </c>
      <c r="I29" s="8">
        <v>2.0999999999999999E-3</v>
      </c>
      <c r="J29" s="9">
        <v>-8.0999999999999996E-3</v>
      </c>
      <c r="K29" s="9">
        <v>-1.6199999999999999E-2</v>
      </c>
      <c r="L29" s="9">
        <v>-1.9900000000000001E-2</v>
      </c>
      <c r="M29" s="9">
        <v>-1.83E-2</v>
      </c>
      <c r="N29" s="9">
        <v>-1.18E-2</v>
      </c>
      <c r="O29" s="9">
        <v>-2.0999999999999999E-3</v>
      </c>
    </row>
    <row r="30" spans="3:15" ht="16" thickBot="1" x14ac:dyDescent="0.4">
      <c r="C30" s="2">
        <v>25</v>
      </c>
      <c r="D30" s="8">
        <v>8.3999999999999995E-3</v>
      </c>
      <c r="E30" s="8">
        <v>1.6400000000000001E-2</v>
      </c>
      <c r="F30" s="8">
        <v>1.9900000000000001E-2</v>
      </c>
      <c r="G30" s="8">
        <v>1.8100000000000002E-2</v>
      </c>
      <c r="H30" s="8">
        <v>1.15E-2</v>
      </c>
      <c r="I30" s="8">
        <v>1.6999999999999999E-3</v>
      </c>
      <c r="J30" s="9">
        <v>-8.3999999999999995E-3</v>
      </c>
      <c r="K30" s="9">
        <v>-1.6400000000000001E-2</v>
      </c>
      <c r="L30" s="9">
        <v>-1.9900000000000001E-2</v>
      </c>
      <c r="M30" s="9">
        <v>-1.8100000000000002E-2</v>
      </c>
      <c r="N30" s="9">
        <v>-1.15E-2</v>
      </c>
      <c r="O30" s="9">
        <v>-1.6999999999999999E-3</v>
      </c>
    </row>
    <row r="31" spans="3:15" ht="16" thickBot="1" x14ac:dyDescent="0.4">
      <c r="C31" s="2">
        <v>26</v>
      </c>
      <c r="D31" s="8">
        <v>8.8000000000000005E-3</v>
      </c>
      <c r="E31" s="8">
        <v>1.66E-2</v>
      </c>
      <c r="F31" s="8">
        <v>1.9900000000000001E-2</v>
      </c>
      <c r="G31" s="8">
        <v>1.7999999999999999E-2</v>
      </c>
      <c r="H31" s="8">
        <v>1.12E-2</v>
      </c>
      <c r="I31" s="8">
        <v>1.4E-3</v>
      </c>
      <c r="J31" s="9">
        <v>-8.8000000000000005E-3</v>
      </c>
      <c r="K31" s="9">
        <v>-1.66E-2</v>
      </c>
      <c r="L31" s="9">
        <v>-1.9900000000000001E-2</v>
      </c>
      <c r="M31" s="9">
        <v>-1.7999999999999999E-2</v>
      </c>
      <c r="N31" s="9">
        <v>-1.12E-2</v>
      </c>
      <c r="O31" s="9">
        <v>-1.4E-3</v>
      </c>
    </row>
    <row r="32" spans="3:15" ht="16" thickBot="1" x14ac:dyDescent="0.4">
      <c r="C32" s="2">
        <v>27</v>
      </c>
      <c r="D32" s="8">
        <v>9.1000000000000004E-3</v>
      </c>
      <c r="E32" s="8">
        <v>1.6799999999999999E-2</v>
      </c>
      <c r="F32" s="8">
        <v>0.02</v>
      </c>
      <c r="G32" s="8">
        <v>1.78E-2</v>
      </c>
      <c r="H32" s="8">
        <v>1.09E-2</v>
      </c>
      <c r="I32" s="8">
        <v>1E-3</v>
      </c>
      <c r="J32" s="9">
        <v>-9.1000000000000004E-3</v>
      </c>
      <c r="K32" s="9">
        <v>-1.6799999999999999E-2</v>
      </c>
      <c r="L32" s="9">
        <v>-0.02</v>
      </c>
      <c r="M32" s="9">
        <v>-1.78E-2</v>
      </c>
      <c r="N32" s="9">
        <v>-1.09E-2</v>
      </c>
      <c r="O32" s="9">
        <v>-1E-3</v>
      </c>
    </row>
    <row r="33" spans="3:15" ht="16" thickBot="1" x14ac:dyDescent="0.4">
      <c r="C33" s="2">
        <v>28</v>
      </c>
      <c r="D33" s="8">
        <v>9.4000000000000004E-3</v>
      </c>
      <c r="E33" s="8">
        <v>1.7000000000000001E-2</v>
      </c>
      <c r="F33" s="8">
        <v>0.02</v>
      </c>
      <c r="G33" s="8">
        <v>1.77E-2</v>
      </c>
      <c r="H33" s="8">
        <v>1.06E-2</v>
      </c>
      <c r="I33" s="8">
        <v>6.9999999999999999E-4</v>
      </c>
      <c r="J33" s="9">
        <v>-9.4000000000000004E-3</v>
      </c>
      <c r="K33" s="9">
        <v>-1.7000000000000001E-2</v>
      </c>
      <c r="L33" s="9">
        <v>-0.02</v>
      </c>
      <c r="M33" s="9">
        <v>-1.77E-2</v>
      </c>
      <c r="N33" s="9">
        <v>-1.06E-2</v>
      </c>
      <c r="O33" s="9">
        <v>-6.9999999999999999E-4</v>
      </c>
    </row>
    <row r="34" spans="3:15" ht="16" thickBot="1" x14ac:dyDescent="0.4">
      <c r="C34" s="2">
        <v>29</v>
      </c>
      <c r="D34" s="8">
        <v>9.7000000000000003E-3</v>
      </c>
      <c r="E34" s="8">
        <v>1.7100000000000001E-2</v>
      </c>
      <c r="F34" s="8">
        <v>0.02</v>
      </c>
      <c r="G34" s="8">
        <v>1.7500000000000002E-2</v>
      </c>
      <c r="H34" s="8">
        <v>1.03E-2</v>
      </c>
      <c r="I34" s="8">
        <v>2.9999999999999997E-4</v>
      </c>
      <c r="J34" s="9">
        <v>-9.7000000000000003E-3</v>
      </c>
      <c r="K34" s="9">
        <v>-1.7100000000000001E-2</v>
      </c>
      <c r="L34" s="9">
        <v>-0.02</v>
      </c>
      <c r="M34" s="9">
        <v>-1.7500000000000002E-2</v>
      </c>
      <c r="N34" s="9">
        <v>-1.03E-2</v>
      </c>
      <c r="O34" s="9">
        <v>-2.9999999999999997E-4</v>
      </c>
    </row>
    <row r="35" spans="3:15" ht="16" thickBot="1" x14ac:dyDescent="0.4">
      <c r="C35" s="2">
        <v>30</v>
      </c>
      <c r="D35" s="8">
        <v>0.01</v>
      </c>
      <c r="E35" s="8">
        <v>1.7299999999999999E-2</v>
      </c>
      <c r="F35" s="8">
        <v>0.02</v>
      </c>
      <c r="G35" s="8">
        <v>1.7299999999999999E-2</v>
      </c>
      <c r="H35" s="8">
        <v>0.01</v>
      </c>
      <c r="I35" s="8">
        <v>0</v>
      </c>
      <c r="J35" s="9">
        <v>-0.01</v>
      </c>
      <c r="K35" s="9">
        <v>-1.7299999999999999E-2</v>
      </c>
      <c r="L35" s="9">
        <v>-0.02</v>
      </c>
      <c r="M35" s="9">
        <v>-1.7299999999999999E-2</v>
      </c>
      <c r="N35" s="9">
        <v>-0.01</v>
      </c>
      <c r="O35" s="9">
        <v>0</v>
      </c>
    </row>
  </sheetData>
  <mergeCells count="1">
    <mergeCell ref="C3:O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3463-4C97-4CB5-9680-CA9B104FD9EB}">
  <dimension ref="C2:O35"/>
  <sheetViews>
    <sheetView workbookViewId="0">
      <selection activeCell="B3" sqref="B3:O35"/>
    </sheetView>
  </sheetViews>
  <sheetFormatPr defaultRowHeight="14.5" x14ac:dyDescent="0.35"/>
  <cols>
    <col min="4" max="4" width="9.81640625" customWidth="1"/>
    <col min="5" max="5" width="10.90625" customWidth="1"/>
    <col min="6" max="6" width="9.6328125" customWidth="1"/>
    <col min="7" max="7" width="10.1796875" customWidth="1"/>
    <col min="8" max="8" width="9.6328125" customWidth="1"/>
    <col min="9" max="9" width="10.90625" customWidth="1"/>
    <col min="10" max="10" width="9.6328125" customWidth="1"/>
    <col min="11" max="11" width="10.453125" customWidth="1"/>
    <col min="12" max="12" width="10.26953125" customWidth="1"/>
    <col min="13" max="13" width="10.6328125" customWidth="1"/>
    <col min="14" max="14" width="11.54296875" customWidth="1"/>
    <col min="15" max="15" width="13.36328125" customWidth="1"/>
  </cols>
  <sheetData>
    <row r="2" spans="3:15" ht="15" thickBot="1" x14ac:dyDescent="0.4"/>
    <row r="3" spans="3:15" ht="16" thickBot="1" x14ac:dyDescent="0.4">
      <c r="C3" s="56" t="s">
        <v>226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3:15" ht="16" thickBot="1" x14ac:dyDescent="0.4">
      <c r="C4" s="2" t="s">
        <v>0</v>
      </c>
      <c r="D4" s="7">
        <v>0</v>
      </c>
      <c r="E4" s="7">
        <v>30</v>
      </c>
      <c r="F4" s="7">
        <v>60</v>
      </c>
      <c r="G4" s="7">
        <v>90</v>
      </c>
      <c r="H4" s="7">
        <v>120</v>
      </c>
      <c r="I4" s="7">
        <v>150</v>
      </c>
      <c r="J4" s="6">
        <v>180</v>
      </c>
      <c r="K4" s="6">
        <v>210</v>
      </c>
      <c r="L4" s="6">
        <v>240</v>
      </c>
      <c r="M4" s="6">
        <v>270</v>
      </c>
      <c r="N4" s="6">
        <v>300</v>
      </c>
      <c r="O4" s="6">
        <v>330</v>
      </c>
    </row>
    <row r="5" spans="3:15" ht="16" thickBot="1" x14ac:dyDescent="0.4">
      <c r="C5" s="2">
        <v>0</v>
      </c>
      <c r="D5" s="23">
        <v>-1.67E-2</v>
      </c>
      <c r="E5" s="23">
        <v>-1.4460000000000001E-2</v>
      </c>
      <c r="F5" s="23">
        <v>-8.3499999999999998E-3</v>
      </c>
      <c r="G5" s="23">
        <v>0</v>
      </c>
      <c r="H5" s="23">
        <v>8.3499999999999998E-3</v>
      </c>
      <c r="I5" s="23">
        <v>1.4460000000000001E-2</v>
      </c>
      <c r="J5" s="24">
        <v>1.67E-2</v>
      </c>
      <c r="K5" s="24">
        <v>1.4460000000000001E-2</v>
      </c>
      <c r="L5" s="24">
        <v>8.3499999999999998E-3</v>
      </c>
      <c r="M5" s="23">
        <v>0</v>
      </c>
      <c r="N5" s="23">
        <v>-8.3499999999999998E-3</v>
      </c>
      <c r="O5" s="23">
        <v>-1.4460000000000001E-2</v>
      </c>
    </row>
    <row r="6" spans="3:15" ht="16" thickBot="1" x14ac:dyDescent="0.4">
      <c r="C6" s="2">
        <v>1</v>
      </c>
      <c r="D6" s="23">
        <v>-1.67E-2</v>
      </c>
      <c r="E6" s="23">
        <v>-1.431E-2</v>
      </c>
      <c r="F6" s="23">
        <v>-8.0999999999999996E-3</v>
      </c>
      <c r="G6" s="23">
        <v>2.9E-4</v>
      </c>
      <c r="H6" s="23">
        <v>8.6E-3</v>
      </c>
      <c r="I6" s="23">
        <v>1.461E-2</v>
      </c>
      <c r="J6" s="24">
        <v>1.67E-2</v>
      </c>
      <c r="K6" s="24">
        <v>1.431E-2</v>
      </c>
      <c r="L6" s="24">
        <v>8.0999999999999996E-3</v>
      </c>
      <c r="M6" s="23">
        <v>-2.9E-4</v>
      </c>
      <c r="N6" s="23">
        <v>-8.6E-3</v>
      </c>
      <c r="O6" s="23">
        <v>-1.461E-2</v>
      </c>
    </row>
    <row r="7" spans="3:15" ht="16" thickBot="1" x14ac:dyDescent="0.4">
      <c r="C7" s="2">
        <v>2</v>
      </c>
      <c r="D7" s="23">
        <v>-1.669E-2</v>
      </c>
      <c r="E7" s="23">
        <v>-1.4160000000000001E-2</v>
      </c>
      <c r="F7" s="23">
        <v>-7.8399999999999997E-3</v>
      </c>
      <c r="G7" s="23">
        <v>5.8E-4</v>
      </c>
      <c r="H7" s="23">
        <v>8.8500000000000002E-3</v>
      </c>
      <c r="I7" s="23">
        <v>1.4749999999999999E-2</v>
      </c>
      <c r="J7" s="24">
        <v>1.669E-2</v>
      </c>
      <c r="K7" s="24">
        <v>1.4160000000000001E-2</v>
      </c>
      <c r="L7" s="24">
        <v>7.8399999999999997E-3</v>
      </c>
      <c r="M7" s="23">
        <v>-5.8E-4</v>
      </c>
      <c r="N7" s="23">
        <v>-8.8500000000000002E-3</v>
      </c>
      <c r="O7" s="23">
        <v>-1.4749999999999999E-2</v>
      </c>
    </row>
    <row r="8" spans="3:15" ht="16" thickBot="1" x14ac:dyDescent="0.4">
      <c r="C8" s="2">
        <v>3</v>
      </c>
      <c r="D8" s="23">
        <v>-1.668E-2</v>
      </c>
      <c r="E8" s="23">
        <v>-1.401E-2</v>
      </c>
      <c r="F8" s="23">
        <v>-7.5799999999999999E-3</v>
      </c>
      <c r="G8" s="23">
        <v>8.7000000000000001E-4</v>
      </c>
      <c r="H8" s="23">
        <v>9.1000000000000004E-3</v>
      </c>
      <c r="I8" s="23">
        <v>1.4880000000000001E-2</v>
      </c>
      <c r="J8" s="24">
        <v>1.668E-2</v>
      </c>
      <c r="K8" s="24">
        <v>1.401E-2</v>
      </c>
      <c r="L8" s="24">
        <v>7.5799999999999999E-3</v>
      </c>
      <c r="M8" s="23">
        <v>-8.7000000000000001E-4</v>
      </c>
      <c r="N8" s="23">
        <v>-9.1000000000000004E-3</v>
      </c>
      <c r="O8" s="23">
        <v>-1.4880000000000001E-2</v>
      </c>
    </row>
    <row r="9" spans="3:15" ht="16" thickBot="1" x14ac:dyDescent="0.4">
      <c r="C9" s="2">
        <v>4</v>
      </c>
      <c r="D9" s="23">
        <v>-1.6660000000000001E-2</v>
      </c>
      <c r="E9" s="23">
        <v>-1.384E-2</v>
      </c>
      <c r="F9" s="23">
        <v>-7.3200000000000001E-3</v>
      </c>
      <c r="G9" s="23">
        <v>1.16E-3</v>
      </c>
      <c r="H9" s="23">
        <v>9.3399999999999993E-3</v>
      </c>
      <c r="I9" s="23">
        <v>1.5010000000000001E-2</v>
      </c>
      <c r="J9" s="24">
        <v>1.6660000000000001E-2</v>
      </c>
      <c r="K9" s="24">
        <v>1.384E-2</v>
      </c>
      <c r="L9" s="24">
        <v>7.3200000000000001E-3</v>
      </c>
      <c r="M9" s="23">
        <v>-1.16E-3</v>
      </c>
      <c r="N9" s="23">
        <v>-9.3399999999999993E-3</v>
      </c>
      <c r="O9" s="23">
        <v>-1.5010000000000001E-2</v>
      </c>
    </row>
    <row r="10" spans="3:15" ht="16" thickBot="1" x14ac:dyDescent="0.4">
      <c r="C10" s="2">
        <v>5</v>
      </c>
      <c r="D10" s="23">
        <v>-1.6639999999999999E-2</v>
      </c>
      <c r="E10" s="23">
        <v>-1.3679999999999999E-2</v>
      </c>
      <c r="F10" s="23">
        <v>-7.0600000000000003E-3</v>
      </c>
      <c r="G10" s="23">
        <v>1.4599999999999999E-3</v>
      </c>
      <c r="H10" s="23">
        <v>9.58E-3</v>
      </c>
      <c r="I10" s="23">
        <v>1.5140000000000001E-2</v>
      </c>
      <c r="J10" s="24">
        <v>1.6639999999999999E-2</v>
      </c>
      <c r="K10" s="24">
        <v>1.3679999999999999E-2</v>
      </c>
      <c r="L10" s="24">
        <v>7.0600000000000003E-3</v>
      </c>
      <c r="M10" s="23">
        <v>-1.4599999999999999E-3</v>
      </c>
      <c r="N10" s="23">
        <v>-9.58E-3</v>
      </c>
      <c r="O10" s="23">
        <v>-1.5140000000000001E-2</v>
      </c>
    </row>
    <row r="11" spans="3:15" ht="16" thickBot="1" x14ac:dyDescent="0.4">
      <c r="C11" s="2">
        <v>6</v>
      </c>
      <c r="D11" s="23">
        <v>-1.661E-2</v>
      </c>
      <c r="E11" s="23">
        <v>-1.3509999999999999E-2</v>
      </c>
      <c r="F11" s="23">
        <v>-6.79E-3</v>
      </c>
      <c r="G11" s="23">
        <v>1.75E-3</v>
      </c>
      <c r="H11" s="23">
        <v>9.8200000000000006E-3</v>
      </c>
      <c r="I11" s="23">
        <v>1.5259999999999999E-2</v>
      </c>
      <c r="J11" s="24">
        <v>1.661E-2</v>
      </c>
      <c r="K11" s="24">
        <v>1.3509999999999999E-2</v>
      </c>
      <c r="L11" s="24">
        <v>6.79E-3</v>
      </c>
      <c r="M11" s="23">
        <v>-1.75E-3</v>
      </c>
      <c r="N11" s="23">
        <v>-9.8200000000000006E-3</v>
      </c>
      <c r="O11" s="23">
        <v>-1.5259999999999999E-2</v>
      </c>
    </row>
    <row r="12" spans="3:15" ht="16" thickBot="1" x14ac:dyDescent="0.4">
      <c r="C12" s="2">
        <v>7</v>
      </c>
      <c r="D12" s="23">
        <v>-1.6580000000000001E-2</v>
      </c>
      <c r="E12" s="23">
        <v>-1.3339999999999999E-2</v>
      </c>
      <c r="F12" s="23">
        <v>-6.5300000000000002E-3</v>
      </c>
      <c r="G12" s="23">
        <v>2.0400000000000001E-3</v>
      </c>
      <c r="H12" s="23">
        <v>1.005E-2</v>
      </c>
      <c r="I12" s="23">
        <v>1.537E-2</v>
      </c>
      <c r="J12" s="24">
        <v>1.6580000000000001E-2</v>
      </c>
      <c r="K12" s="24">
        <v>1.3339999999999999E-2</v>
      </c>
      <c r="L12" s="24">
        <v>6.5300000000000002E-3</v>
      </c>
      <c r="M12" s="23">
        <v>-2.0400000000000001E-3</v>
      </c>
      <c r="N12" s="23">
        <v>-1.005E-2</v>
      </c>
      <c r="O12" s="23">
        <v>-1.537E-2</v>
      </c>
    </row>
    <row r="13" spans="3:15" ht="16" thickBot="1" x14ac:dyDescent="0.4">
      <c r="C13" s="2">
        <v>8</v>
      </c>
      <c r="D13" s="23">
        <v>-1.6539999999999999E-2</v>
      </c>
      <c r="E13" s="23">
        <v>-1.316E-2</v>
      </c>
      <c r="F13" s="23">
        <v>-6.2599999999999999E-3</v>
      </c>
      <c r="G13" s="23">
        <v>2.32E-3</v>
      </c>
      <c r="H13" s="23">
        <v>1.0279999999999999E-2</v>
      </c>
      <c r="I13" s="23">
        <v>1.5480000000000001E-2</v>
      </c>
      <c r="J13" s="24">
        <v>1.6539999999999999E-2</v>
      </c>
      <c r="K13" s="24">
        <v>1.316E-2</v>
      </c>
      <c r="L13" s="24">
        <v>6.2599999999999999E-3</v>
      </c>
      <c r="M13" s="23">
        <v>-2.32E-3</v>
      </c>
      <c r="N13" s="23">
        <v>-1.0279999999999999E-2</v>
      </c>
      <c r="O13" s="23">
        <v>-1.5480000000000001E-2</v>
      </c>
    </row>
    <row r="14" spans="3:15" ht="16" thickBot="1" x14ac:dyDescent="0.4">
      <c r="C14" s="2">
        <v>9</v>
      </c>
      <c r="D14" s="23">
        <v>-1.6490000000000001E-2</v>
      </c>
      <c r="E14" s="23">
        <v>-1.298E-2</v>
      </c>
      <c r="F14" s="23">
        <v>-5.9800000000000001E-3</v>
      </c>
      <c r="G14" s="23">
        <v>2.6099999999999999E-3</v>
      </c>
      <c r="H14" s="23">
        <v>1.051E-2</v>
      </c>
      <c r="I14" s="23">
        <v>1.559E-2</v>
      </c>
      <c r="J14" s="24">
        <v>1.6490000000000001E-2</v>
      </c>
      <c r="K14" s="24">
        <v>1.298E-2</v>
      </c>
      <c r="L14" s="24">
        <v>5.9800000000000001E-3</v>
      </c>
      <c r="M14" s="23">
        <v>-2.6099999999999999E-3</v>
      </c>
      <c r="N14" s="23">
        <v>-1.051E-2</v>
      </c>
      <c r="O14" s="23">
        <v>-1.559E-2</v>
      </c>
    </row>
    <row r="15" spans="3:15" ht="16" thickBot="1" x14ac:dyDescent="0.4">
      <c r="C15" s="2">
        <v>10</v>
      </c>
      <c r="D15" s="23">
        <v>-1.6449999999999999E-2</v>
      </c>
      <c r="E15" s="23">
        <v>-1.2789999999999999E-2</v>
      </c>
      <c r="F15" s="23">
        <v>-5.7099999999999998E-3</v>
      </c>
      <c r="G15" s="23">
        <v>2.8999999999999998E-3</v>
      </c>
      <c r="H15" s="23">
        <v>1.073E-2</v>
      </c>
      <c r="I15" s="23">
        <v>1.5689999999999999E-2</v>
      </c>
      <c r="J15" s="24">
        <v>1.6449999999999999E-2</v>
      </c>
      <c r="K15" s="24">
        <v>1.2789999999999999E-2</v>
      </c>
      <c r="L15" s="24">
        <v>5.7099999999999998E-3</v>
      </c>
      <c r="M15" s="23">
        <v>-2.8999999999999998E-3</v>
      </c>
      <c r="N15" s="23">
        <v>-1.073E-2</v>
      </c>
      <c r="O15" s="23">
        <v>-1.5689999999999999E-2</v>
      </c>
    </row>
    <row r="16" spans="3:15" ht="16" thickBot="1" x14ac:dyDescent="0.4">
      <c r="C16" s="2">
        <v>11</v>
      </c>
      <c r="D16" s="23">
        <v>-1.6389999999999998E-2</v>
      </c>
      <c r="E16" s="23">
        <v>-1.26E-2</v>
      </c>
      <c r="F16" s="23">
        <v>-5.4400000000000004E-3</v>
      </c>
      <c r="G16" s="23">
        <v>3.1900000000000001E-3</v>
      </c>
      <c r="H16" s="23">
        <v>1.0959999999999999E-2</v>
      </c>
      <c r="I16" s="23">
        <v>1.5789999999999998E-2</v>
      </c>
      <c r="J16" s="24">
        <v>1.6389999999999998E-2</v>
      </c>
      <c r="K16" s="24">
        <v>1.26E-2</v>
      </c>
      <c r="L16" s="24">
        <v>5.4400000000000004E-3</v>
      </c>
      <c r="M16" s="23">
        <v>-3.1900000000000001E-3</v>
      </c>
      <c r="N16" s="23">
        <v>-1.0959999999999999E-2</v>
      </c>
      <c r="O16" s="23">
        <v>-1.5789999999999998E-2</v>
      </c>
    </row>
    <row r="17" spans="3:15" ht="16" thickBot="1" x14ac:dyDescent="0.4">
      <c r="C17" s="2">
        <v>12</v>
      </c>
      <c r="D17" s="23">
        <v>-1.634E-2</v>
      </c>
      <c r="E17" s="23">
        <v>-1.2409999999999999E-2</v>
      </c>
      <c r="F17" s="23">
        <v>-5.1599999999999997E-3</v>
      </c>
      <c r="G17" s="23">
        <v>3.47E-3</v>
      </c>
      <c r="H17" s="23">
        <v>1.1169999999999999E-2</v>
      </c>
      <c r="I17" s="23">
        <v>1.5879999999999998E-2</v>
      </c>
      <c r="J17" s="24">
        <v>1.634E-2</v>
      </c>
      <c r="K17" s="24">
        <v>1.2409999999999999E-2</v>
      </c>
      <c r="L17" s="24">
        <v>5.1599999999999997E-3</v>
      </c>
      <c r="M17" s="23">
        <v>-3.47E-3</v>
      </c>
      <c r="N17" s="23">
        <v>-1.1169999999999999E-2</v>
      </c>
      <c r="O17" s="23">
        <v>-1.5879999999999998E-2</v>
      </c>
    </row>
    <row r="18" spans="3:15" ht="16" thickBot="1" x14ac:dyDescent="0.4">
      <c r="C18" s="2">
        <v>13</v>
      </c>
      <c r="D18" s="23">
        <v>-1.627E-2</v>
      </c>
      <c r="E18" s="23">
        <v>-1.221E-2</v>
      </c>
      <c r="F18" s="23">
        <v>-4.8799999999999998E-3</v>
      </c>
      <c r="G18" s="23">
        <v>3.7599999999999999E-3</v>
      </c>
      <c r="H18" s="23">
        <v>1.1390000000000001E-2</v>
      </c>
      <c r="I18" s="23">
        <v>1.5970000000000002E-2</v>
      </c>
      <c r="J18" s="24">
        <v>1.627E-2</v>
      </c>
      <c r="K18" s="24">
        <v>1.221E-2</v>
      </c>
      <c r="L18" s="24">
        <v>4.8799999999999998E-3</v>
      </c>
      <c r="M18" s="23">
        <v>-3.7599999999999999E-3</v>
      </c>
      <c r="N18" s="23">
        <v>-1.1390000000000001E-2</v>
      </c>
      <c r="O18" s="23">
        <v>-1.5970000000000002E-2</v>
      </c>
    </row>
    <row r="19" spans="3:15" ht="16" thickBot="1" x14ac:dyDescent="0.4">
      <c r="C19" s="2">
        <v>14</v>
      </c>
      <c r="D19" s="23">
        <v>-1.6199999999999999E-2</v>
      </c>
      <c r="E19" s="23">
        <v>-1.201E-2</v>
      </c>
      <c r="F19" s="23">
        <v>-4.5999999999999999E-3</v>
      </c>
      <c r="G19" s="23">
        <v>4.0400000000000002E-3</v>
      </c>
      <c r="H19" s="23">
        <v>1.1599999999999999E-2</v>
      </c>
      <c r="I19" s="23">
        <v>1.6049999999999998E-2</v>
      </c>
      <c r="J19" s="24">
        <v>1.6199999999999999E-2</v>
      </c>
      <c r="K19" s="24">
        <v>1.201E-2</v>
      </c>
      <c r="L19" s="24">
        <v>4.5999999999999999E-3</v>
      </c>
      <c r="M19" s="23">
        <v>-4.0400000000000002E-3</v>
      </c>
      <c r="N19" s="23">
        <v>-1.1599999999999999E-2</v>
      </c>
      <c r="O19" s="23">
        <v>-1.6049999999999998E-2</v>
      </c>
    </row>
    <row r="20" spans="3:15" ht="16" thickBot="1" x14ac:dyDescent="0.4">
      <c r="C20" s="2">
        <v>15</v>
      </c>
      <c r="D20" s="23">
        <v>-1.6129999999999999E-2</v>
      </c>
      <c r="E20" s="23">
        <v>-1.1809999999999999E-2</v>
      </c>
      <c r="F20" s="23">
        <v>-4.3200000000000001E-3</v>
      </c>
      <c r="G20" s="23">
        <v>4.3200000000000001E-3</v>
      </c>
      <c r="H20" s="23">
        <v>1.1809999999999999E-2</v>
      </c>
      <c r="I20" s="23">
        <v>1.6129999999999999E-2</v>
      </c>
      <c r="J20" s="24">
        <v>1.6129999999999999E-2</v>
      </c>
      <c r="K20" s="24">
        <v>1.1809999999999999E-2</v>
      </c>
      <c r="L20" s="24">
        <v>4.3200000000000001E-3</v>
      </c>
      <c r="M20" s="23">
        <v>-4.3200000000000001E-3</v>
      </c>
      <c r="N20" s="23">
        <v>-1.1809999999999999E-2</v>
      </c>
      <c r="O20" s="23">
        <v>-1.6129999999999999E-2</v>
      </c>
    </row>
    <row r="21" spans="3:15" ht="16" thickBot="1" x14ac:dyDescent="0.4">
      <c r="C21" s="2">
        <v>16</v>
      </c>
      <c r="D21" s="23">
        <v>-1.6049999999999998E-2</v>
      </c>
      <c r="E21" s="23">
        <v>-1.1599999999999999E-2</v>
      </c>
      <c r="F21" s="23">
        <v>-4.0400000000000002E-3</v>
      </c>
      <c r="G21" s="23">
        <v>4.5999999999999999E-3</v>
      </c>
      <c r="H21" s="23">
        <v>1.201E-2</v>
      </c>
      <c r="I21" s="23">
        <v>1.6199999999999999E-2</v>
      </c>
      <c r="J21" s="24">
        <v>1.6049999999999998E-2</v>
      </c>
      <c r="K21" s="24">
        <v>1.1599999999999999E-2</v>
      </c>
      <c r="L21" s="24">
        <v>4.0400000000000002E-3</v>
      </c>
      <c r="M21" s="23">
        <v>-4.5999999999999999E-3</v>
      </c>
      <c r="N21" s="23">
        <v>-1.201E-2</v>
      </c>
      <c r="O21" s="23">
        <v>-1.6199999999999999E-2</v>
      </c>
    </row>
    <row r="22" spans="3:15" ht="16" thickBot="1" x14ac:dyDescent="0.4">
      <c r="C22" s="2">
        <v>17</v>
      </c>
      <c r="D22" s="23">
        <v>-1.5970000000000002E-2</v>
      </c>
      <c r="E22" s="23">
        <v>-1.1390000000000001E-2</v>
      </c>
      <c r="F22" s="23">
        <v>-3.7599999999999999E-3</v>
      </c>
      <c r="G22" s="23">
        <v>4.8799999999999998E-3</v>
      </c>
      <c r="H22" s="23">
        <v>1.221E-2</v>
      </c>
      <c r="I22" s="23">
        <v>1.627E-2</v>
      </c>
      <c r="J22" s="24">
        <v>1.5970000000000002E-2</v>
      </c>
      <c r="K22" s="24">
        <v>1.1390000000000001E-2</v>
      </c>
      <c r="L22" s="24">
        <v>3.7599999999999999E-3</v>
      </c>
      <c r="M22" s="23">
        <v>-4.8799999999999998E-3</v>
      </c>
      <c r="N22" s="23">
        <v>-1.221E-2</v>
      </c>
      <c r="O22" s="23">
        <v>-1.627E-2</v>
      </c>
    </row>
    <row r="23" spans="3:15" ht="16" thickBot="1" x14ac:dyDescent="0.4">
      <c r="C23" s="2">
        <v>18</v>
      </c>
      <c r="D23" s="23">
        <v>-1.5879999999999998E-2</v>
      </c>
      <c r="E23" s="23">
        <v>-1.1169999999999999E-2</v>
      </c>
      <c r="F23" s="23">
        <v>-3.47E-3</v>
      </c>
      <c r="G23" s="23">
        <v>5.1599999999999997E-3</v>
      </c>
      <c r="H23" s="23">
        <v>1.2409999999999999E-2</v>
      </c>
      <c r="I23" s="23">
        <v>1.634E-2</v>
      </c>
      <c r="J23" s="24">
        <v>1.5879999999999998E-2</v>
      </c>
      <c r="K23" s="24">
        <v>1.1169999999999999E-2</v>
      </c>
      <c r="L23" s="24">
        <v>3.47E-3</v>
      </c>
      <c r="M23" s="23">
        <v>-5.1599999999999997E-3</v>
      </c>
      <c r="N23" s="23">
        <v>-1.2409999999999999E-2</v>
      </c>
      <c r="O23" s="23">
        <v>-1.634E-2</v>
      </c>
    </row>
    <row r="24" spans="3:15" ht="16" thickBot="1" x14ac:dyDescent="0.4">
      <c r="C24" s="2">
        <v>19</v>
      </c>
      <c r="D24" s="23">
        <v>-1.5789999999999998E-2</v>
      </c>
      <c r="E24" s="23">
        <v>-1.0959999999999999E-2</v>
      </c>
      <c r="F24" s="23">
        <v>-3.1900000000000001E-3</v>
      </c>
      <c r="G24" s="23">
        <v>5.4400000000000004E-3</v>
      </c>
      <c r="H24" s="23">
        <v>1.26E-2</v>
      </c>
      <c r="I24" s="23">
        <v>1.6389999999999998E-2</v>
      </c>
      <c r="J24" s="24">
        <v>1.5789999999999998E-2</v>
      </c>
      <c r="K24" s="24">
        <v>1.0959999999999999E-2</v>
      </c>
      <c r="L24" s="24">
        <v>3.1900000000000001E-3</v>
      </c>
      <c r="M24" s="23">
        <v>-5.4400000000000004E-3</v>
      </c>
      <c r="N24" s="23">
        <v>-1.26E-2</v>
      </c>
      <c r="O24" s="23">
        <v>-1.6389999999999998E-2</v>
      </c>
    </row>
    <row r="25" spans="3:15" ht="16" thickBot="1" x14ac:dyDescent="0.4">
      <c r="C25" s="2">
        <v>20</v>
      </c>
      <c r="D25" s="23">
        <v>-1.5689999999999999E-2</v>
      </c>
      <c r="E25" s="23">
        <v>-1.073E-2</v>
      </c>
      <c r="F25" s="23">
        <v>-2.8999999999999998E-3</v>
      </c>
      <c r="G25" s="23">
        <v>5.7099999999999998E-3</v>
      </c>
      <c r="H25" s="23">
        <v>1.2789999999999999E-2</v>
      </c>
      <c r="I25" s="23">
        <v>1.6449999999999999E-2</v>
      </c>
      <c r="J25" s="24">
        <v>1.5689999999999999E-2</v>
      </c>
      <c r="K25" s="23">
        <v>1.073E-2</v>
      </c>
      <c r="L25" s="24">
        <v>2.8999999999999998E-3</v>
      </c>
      <c r="M25" s="23">
        <v>-5.7099999999999998E-3</v>
      </c>
      <c r="N25" s="23">
        <v>-1.2789999999999999E-2</v>
      </c>
      <c r="O25" s="23">
        <v>-1.6449999999999999E-2</v>
      </c>
    </row>
    <row r="26" spans="3:15" ht="16" thickBot="1" x14ac:dyDescent="0.4">
      <c r="C26" s="2">
        <v>21</v>
      </c>
      <c r="D26" s="23">
        <v>-1.559E-2</v>
      </c>
      <c r="E26" s="23">
        <v>-1.051E-2</v>
      </c>
      <c r="F26" s="23">
        <v>-2.6099999999999999E-3</v>
      </c>
      <c r="G26" s="23">
        <v>5.9800000000000001E-3</v>
      </c>
      <c r="H26" s="23">
        <v>1.298E-2</v>
      </c>
      <c r="I26" s="23">
        <v>1.6490000000000001E-2</v>
      </c>
      <c r="J26" s="24">
        <v>1.559E-2</v>
      </c>
      <c r="K26" s="24">
        <v>1.051E-2</v>
      </c>
      <c r="L26" s="24">
        <v>2.6099999999999999E-3</v>
      </c>
      <c r="M26" s="23">
        <v>-5.9800000000000001E-3</v>
      </c>
      <c r="N26" s="23">
        <v>-1.298E-2</v>
      </c>
      <c r="O26" s="23">
        <v>-1.6490000000000001E-2</v>
      </c>
    </row>
    <row r="27" spans="3:15" ht="16" thickBot="1" x14ac:dyDescent="0.4">
      <c r="C27" s="2">
        <v>22</v>
      </c>
      <c r="D27" s="23">
        <v>-1.5480000000000001E-2</v>
      </c>
      <c r="E27" s="23">
        <v>-1.0279999999999999E-2</v>
      </c>
      <c r="F27" s="23">
        <v>-2.32E-3</v>
      </c>
      <c r="G27" s="23">
        <v>6.2599999999999999E-3</v>
      </c>
      <c r="H27" s="23">
        <v>1.316E-2</v>
      </c>
      <c r="I27" s="23">
        <v>1.6539999999999999E-2</v>
      </c>
      <c r="J27" s="24">
        <v>1.5480000000000001E-2</v>
      </c>
      <c r="K27" s="24">
        <v>1.0279999999999999E-2</v>
      </c>
      <c r="L27" s="24">
        <v>2.32E-3</v>
      </c>
      <c r="M27" s="23">
        <v>-6.2599999999999999E-3</v>
      </c>
      <c r="N27" s="23">
        <v>-1.316E-2</v>
      </c>
      <c r="O27" s="23">
        <v>-1.6539999999999999E-2</v>
      </c>
    </row>
    <row r="28" spans="3:15" ht="16" thickBot="1" x14ac:dyDescent="0.4">
      <c r="C28" s="2">
        <v>23</v>
      </c>
      <c r="D28" s="23">
        <v>-1.537E-2</v>
      </c>
      <c r="E28" s="23">
        <v>-1.005E-2</v>
      </c>
      <c r="F28" s="23">
        <v>-2.0400000000000001E-3</v>
      </c>
      <c r="G28" s="23">
        <v>6.5300000000000002E-3</v>
      </c>
      <c r="H28" s="23">
        <v>1.3339999999999999E-2</v>
      </c>
      <c r="I28" s="23">
        <v>1.6580000000000001E-2</v>
      </c>
      <c r="J28" s="24">
        <v>1.537E-2</v>
      </c>
      <c r="K28" s="24">
        <v>1.005E-2</v>
      </c>
      <c r="L28" s="24">
        <v>2.0400000000000001E-3</v>
      </c>
      <c r="M28" s="23">
        <v>-6.5300000000000002E-3</v>
      </c>
      <c r="N28" s="23">
        <v>-1.3339999999999999E-2</v>
      </c>
      <c r="O28" s="23">
        <v>-1.6580000000000001E-2</v>
      </c>
    </row>
    <row r="29" spans="3:15" ht="16" thickBot="1" x14ac:dyDescent="0.4">
      <c r="C29" s="2">
        <v>24</v>
      </c>
      <c r="D29" s="23">
        <v>-1.5259999999999999E-2</v>
      </c>
      <c r="E29" s="23">
        <v>-9.8200000000000006E-3</v>
      </c>
      <c r="F29" s="23">
        <v>-1.75E-3</v>
      </c>
      <c r="G29" s="23">
        <v>6.79E-3</v>
      </c>
      <c r="H29" s="23">
        <v>1.3509999999999999E-2</v>
      </c>
      <c r="I29" s="23">
        <v>1.661E-2</v>
      </c>
      <c r="J29" s="24">
        <v>1.5259999999999999E-2</v>
      </c>
      <c r="K29" s="24">
        <v>9.8200000000000006E-3</v>
      </c>
      <c r="L29" s="24">
        <v>1.75E-3</v>
      </c>
      <c r="M29" s="23">
        <v>-6.79E-3</v>
      </c>
      <c r="N29" s="23">
        <v>-1.3509999999999999E-2</v>
      </c>
      <c r="O29" s="23">
        <v>-1.661E-2</v>
      </c>
    </row>
    <row r="30" spans="3:15" ht="16" thickBot="1" x14ac:dyDescent="0.4">
      <c r="C30" s="2">
        <v>25</v>
      </c>
      <c r="D30" s="23">
        <v>-1.5140000000000001E-2</v>
      </c>
      <c r="E30" s="23">
        <v>-9.58E-3</v>
      </c>
      <c r="F30" s="23">
        <v>-1.4599999999999999E-3</v>
      </c>
      <c r="G30" s="23">
        <v>7.0600000000000003E-3</v>
      </c>
      <c r="H30" s="23">
        <v>1.3679999999999999E-2</v>
      </c>
      <c r="I30" s="23">
        <v>1.6639999999999999E-2</v>
      </c>
      <c r="J30" s="24">
        <v>1.5140000000000001E-2</v>
      </c>
      <c r="K30" s="24">
        <v>9.58E-3</v>
      </c>
      <c r="L30" s="24">
        <v>1.4599999999999999E-3</v>
      </c>
      <c r="M30" s="23">
        <v>-7.0600000000000003E-3</v>
      </c>
      <c r="N30" s="23">
        <v>-1.3679999999999999E-2</v>
      </c>
      <c r="O30" s="23">
        <v>-1.6639999999999999E-2</v>
      </c>
    </row>
    <row r="31" spans="3:15" ht="16" thickBot="1" x14ac:dyDescent="0.4">
      <c r="C31" s="2">
        <v>26</v>
      </c>
      <c r="D31" s="23">
        <v>-1.5010000000000001E-2</v>
      </c>
      <c r="E31" s="23">
        <v>-9.3399999999999993E-3</v>
      </c>
      <c r="F31" s="23">
        <v>-1.16E-3</v>
      </c>
      <c r="G31" s="23">
        <v>7.3200000000000001E-3</v>
      </c>
      <c r="H31" s="23">
        <v>1.384E-2</v>
      </c>
      <c r="I31" s="23">
        <v>1.6660000000000001E-2</v>
      </c>
      <c r="J31" s="24">
        <v>1.5010000000000001E-2</v>
      </c>
      <c r="K31" s="24">
        <v>9.3399999999999993E-3</v>
      </c>
      <c r="L31" s="24">
        <v>1.16E-3</v>
      </c>
      <c r="M31" s="23">
        <v>-7.3200000000000001E-3</v>
      </c>
      <c r="N31" s="23">
        <v>-1.384E-2</v>
      </c>
      <c r="O31" s="23">
        <v>-1.6660000000000001E-2</v>
      </c>
    </row>
    <row r="32" spans="3:15" ht="16" thickBot="1" x14ac:dyDescent="0.4">
      <c r="C32" s="2">
        <v>27</v>
      </c>
      <c r="D32" s="23">
        <v>-1.4880000000000001E-2</v>
      </c>
      <c r="E32" s="23">
        <v>-9.1000000000000004E-3</v>
      </c>
      <c r="F32" s="23">
        <v>-8.7000000000000001E-4</v>
      </c>
      <c r="G32" s="23">
        <v>7.5799999999999999E-3</v>
      </c>
      <c r="H32" s="23">
        <v>1.401E-2</v>
      </c>
      <c r="I32" s="23">
        <v>1.668E-2</v>
      </c>
      <c r="J32" s="24">
        <v>1.4880000000000001E-2</v>
      </c>
      <c r="K32" s="24">
        <v>9.1000000000000004E-3</v>
      </c>
      <c r="L32" s="24">
        <v>8.7000000000000001E-4</v>
      </c>
      <c r="M32" s="23">
        <v>-7.5799999999999999E-3</v>
      </c>
      <c r="N32" s="23">
        <v>-1.401E-2</v>
      </c>
      <c r="O32" s="23">
        <v>-1.668E-2</v>
      </c>
    </row>
    <row r="33" spans="3:15" ht="16" thickBot="1" x14ac:dyDescent="0.4">
      <c r="C33" s="2">
        <v>28</v>
      </c>
      <c r="D33" s="23">
        <v>-1.4749999999999999E-2</v>
      </c>
      <c r="E33" s="23">
        <v>-8.8500000000000002E-3</v>
      </c>
      <c r="F33" s="23">
        <v>-5.8E-4</v>
      </c>
      <c r="G33" s="23">
        <v>7.8399999999999997E-3</v>
      </c>
      <c r="H33" s="23">
        <v>1.4160000000000001E-2</v>
      </c>
      <c r="I33" s="23">
        <v>1.669E-2</v>
      </c>
      <c r="J33" s="24">
        <v>1.4749999999999999E-2</v>
      </c>
      <c r="K33" s="24">
        <v>8.8500000000000002E-3</v>
      </c>
      <c r="L33" s="24">
        <v>5.8E-4</v>
      </c>
      <c r="M33" s="23">
        <v>-7.8399999999999997E-3</v>
      </c>
      <c r="N33" s="23">
        <v>-1.4160000000000001E-2</v>
      </c>
      <c r="O33" s="23">
        <v>-1.669E-2</v>
      </c>
    </row>
    <row r="34" spans="3:15" ht="16" thickBot="1" x14ac:dyDescent="0.4">
      <c r="C34" s="2">
        <v>29</v>
      </c>
      <c r="D34" s="23">
        <v>-1.461E-2</v>
      </c>
      <c r="E34" s="23">
        <v>-8.6E-3</v>
      </c>
      <c r="F34" s="23">
        <v>-2.9E-4</v>
      </c>
      <c r="G34" s="23">
        <v>8.0999999999999996E-3</v>
      </c>
      <c r="H34" s="23">
        <v>1.431E-2</v>
      </c>
      <c r="I34" s="23">
        <v>1.67E-2</v>
      </c>
      <c r="J34" s="24">
        <v>1.461E-2</v>
      </c>
      <c r="K34" s="24">
        <v>8.6E-3</v>
      </c>
      <c r="L34" s="24">
        <v>2.9E-4</v>
      </c>
      <c r="M34" s="23">
        <v>-8.0999999999999996E-3</v>
      </c>
      <c r="N34" s="23">
        <v>-1.431E-2</v>
      </c>
      <c r="O34" s="23">
        <v>-1.67E-2</v>
      </c>
    </row>
    <row r="35" spans="3:15" ht="16" thickBot="1" x14ac:dyDescent="0.4">
      <c r="C35" s="2">
        <v>30</v>
      </c>
      <c r="D35" s="23">
        <v>-1.4460000000000001E-2</v>
      </c>
      <c r="E35" s="23">
        <v>-8.3499999999999998E-3</v>
      </c>
      <c r="F35" s="23">
        <v>0</v>
      </c>
      <c r="G35" s="23">
        <v>8.3499999999999998E-3</v>
      </c>
      <c r="H35" s="23">
        <v>1.4460000000000001E-2</v>
      </c>
      <c r="I35" s="23">
        <v>1.67E-2</v>
      </c>
      <c r="J35" s="24">
        <v>1.4460000000000001E-2</v>
      </c>
      <c r="K35" s="24">
        <v>8.3499999999999998E-3</v>
      </c>
      <c r="L35" s="24">
        <v>0</v>
      </c>
      <c r="M35" s="23">
        <v>-8.3499999999999998E-3</v>
      </c>
      <c r="N35" s="23">
        <v>-1.4460000000000001E-2</v>
      </c>
      <c r="O35" s="23">
        <v>-1.67E-2</v>
      </c>
    </row>
  </sheetData>
  <mergeCells count="1">
    <mergeCell ref="C3:O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646B-734B-47EF-A895-29C4DDA5A2FB}">
  <dimension ref="C2:O35"/>
  <sheetViews>
    <sheetView workbookViewId="0">
      <selection activeCell="B3" sqref="B3:O35"/>
    </sheetView>
  </sheetViews>
  <sheetFormatPr defaultRowHeight="14.5" x14ac:dyDescent="0.35"/>
  <cols>
    <col min="4" max="4" width="9.36328125" customWidth="1"/>
    <col min="5" max="5" width="9.81640625" customWidth="1"/>
    <col min="6" max="6" width="10.7265625" customWidth="1"/>
    <col min="7" max="7" width="10" customWidth="1"/>
    <col min="8" max="8" width="10.7265625" customWidth="1"/>
    <col min="9" max="9" width="10.26953125" customWidth="1"/>
    <col min="10" max="10" width="10.453125" customWidth="1"/>
    <col min="11" max="12" width="9.54296875" customWidth="1"/>
    <col min="13" max="13" width="9.453125" customWidth="1"/>
    <col min="14" max="14" width="9.7265625" customWidth="1"/>
    <col min="15" max="15" width="10.1796875" customWidth="1"/>
  </cols>
  <sheetData>
    <row r="2" spans="3:15" ht="15" thickBot="1" x14ac:dyDescent="0.4"/>
    <row r="3" spans="3:15" ht="16" thickBot="1" x14ac:dyDescent="0.4">
      <c r="C3" s="56" t="s">
        <v>227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3:15" ht="16" thickBot="1" x14ac:dyDescent="0.4">
      <c r="C4" s="2" t="s">
        <v>0</v>
      </c>
      <c r="D4" s="7">
        <v>0</v>
      </c>
      <c r="E4" s="7">
        <v>30</v>
      </c>
      <c r="F4" s="7">
        <v>60</v>
      </c>
      <c r="G4" s="7">
        <v>90</v>
      </c>
      <c r="H4" s="7">
        <v>120</v>
      </c>
      <c r="I4" s="7">
        <v>150</v>
      </c>
      <c r="J4" s="6">
        <v>180</v>
      </c>
      <c r="K4" s="6">
        <v>210</v>
      </c>
      <c r="L4" s="6">
        <v>240</v>
      </c>
      <c r="M4" s="6">
        <v>270</v>
      </c>
      <c r="N4" s="6">
        <v>300</v>
      </c>
      <c r="O4" s="6">
        <v>330</v>
      </c>
    </row>
    <row r="5" spans="3:15" ht="16" thickBot="1" x14ac:dyDescent="0.4">
      <c r="C5" s="2">
        <v>0</v>
      </c>
      <c r="D5" s="23">
        <v>-1.3999999999999999E-4</v>
      </c>
      <c r="E5" s="23">
        <v>-1.2E-4</v>
      </c>
      <c r="F5" s="23">
        <v>-6.9999999999999994E-5</v>
      </c>
      <c r="G5" s="23">
        <v>0</v>
      </c>
      <c r="H5" s="23">
        <v>6.9999999999999994E-5</v>
      </c>
      <c r="I5" s="23">
        <v>1.2E-4</v>
      </c>
      <c r="J5" s="24">
        <v>1.3999999999999999E-4</v>
      </c>
      <c r="K5" s="24">
        <v>1.2E-4</v>
      </c>
      <c r="L5" s="24">
        <v>6.9999999999999994E-5</v>
      </c>
      <c r="M5" s="23">
        <v>0</v>
      </c>
      <c r="N5" s="23">
        <v>-6.9999999999999994E-5</v>
      </c>
      <c r="O5" s="23">
        <v>-1.2E-4</v>
      </c>
    </row>
    <row r="6" spans="3:15" ht="16" thickBot="1" x14ac:dyDescent="0.4">
      <c r="C6" s="2">
        <v>1</v>
      </c>
      <c r="D6" s="23">
        <v>-1.3999999999999999E-4</v>
      </c>
      <c r="E6" s="23">
        <v>-1.2E-4</v>
      </c>
      <c r="F6" s="23">
        <v>-6.9999999999999994E-5</v>
      </c>
      <c r="G6" s="23">
        <v>0</v>
      </c>
      <c r="H6" s="23">
        <v>6.9999999999999994E-5</v>
      </c>
      <c r="I6" s="23">
        <v>1.2E-4</v>
      </c>
      <c r="J6" s="24">
        <v>1.3999999999999999E-4</v>
      </c>
      <c r="K6" s="24">
        <v>1.2E-4</v>
      </c>
      <c r="L6" s="24">
        <v>6.9999999999999994E-5</v>
      </c>
      <c r="M6" s="23">
        <v>0</v>
      </c>
      <c r="N6" s="23">
        <v>-6.9999999999999994E-5</v>
      </c>
      <c r="O6" s="23">
        <v>-1.2E-4</v>
      </c>
    </row>
    <row r="7" spans="3:15" ht="16" thickBot="1" x14ac:dyDescent="0.4">
      <c r="C7" s="2">
        <v>2</v>
      </c>
      <c r="D7" s="23">
        <v>-1.3999999999999999E-4</v>
      </c>
      <c r="E7" s="23">
        <v>-1.2E-4</v>
      </c>
      <c r="F7" s="23">
        <v>-6.9999999999999994E-5</v>
      </c>
      <c r="G7" s="23">
        <v>0</v>
      </c>
      <c r="H7" s="23">
        <v>6.9999999999999994E-5</v>
      </c>
      <c r="I7" s="23">
        <v>1.2E-4</v>
      </c>
      <c r="J7" s="24">
        <v>1.3999999999999999E-4</v>
      </c>
      <c r="K7" s="24">
        <v>1.2E-4</v>
      </c>
      <c r="L7" s="24">
        <v>6.9999999999999994E-5</v>
      </c>
      <c r="M7" s="23">
        <v>0</v>
      </c>
      <c r="N7" s="23">
        <v>-6.9999999999999994E-5</v>
      </c>
      <c r="O7" s="23">
        <v>-1.2E-4</v>
      </c>
    </row>
    <row r="8" spans="3:15" ht="16" thickBot="1" x14ac:dyDescent="0.4">
      <c r="C8" s="2">
        <v>3</v>
      </c>
      <c r="D8" s="23">
        <v>-1.3999999999999999E-4</v>
      </c>
      <c r="E8" s="23">
        <v>-1.2E-4</v>
      </c>
      <c r="F8" s="23">
        <v>-6.0000000000000002E-5</v>
      </c>
      <c r="G8" s="23">
        <v>1.0000000000000001E-5</v>
      </c>
      <c r="H8" s="23">
        <v>8.0000000000000007E-5</v>
      </c>
      <c r="I8" s="23">
        <v>1.2E-4</v>
      </c>
      <c r="J8" s="24">
        <v>1.3999999999999999E-4</v>
      </c>
      <c r="K8" s="24">
        <v>1.2E-4</v>
      </c>
      <c r="L8" s="24">
        <v>6.0000000000000002E-5</v>
      </c>
      <c r="M8" s="23">
        <v>-1.0000000000000001E-5</v>
      </c>
      <c r="N8" s="23">
        <v>-8.0000000000000007E-5</v>
      </c>
      <c r="O8" s="23">
        <v>-1.2E-4</v>
      </c>
    </row>
    <row r="9" spans="3:15" ht="16" thickBot="1" x14ac:dyDescent="0.4">
      <c r="C9" s="2">
        <v>4</v>
      </c>
      <c r="D9" s="23">
        <v>-1.3999999999999999E-4</v>
      </c>
      <c r="E9" s="23">
        <v>-1.2E-4</v>
      </c>
      <c r="F9" s="23">
        <v>-6.0000000000000002E-5</v>
      </c>
      <c r="G9" s="23">
        <v>1.0000000000000001E-5</v>
      </c>
      <c r="H9" s="23">
        <v>8.0000000000000007E-5</v>
      </c>
      <c r="I9" s="23">
        <v>1.2999999999999999E-4</v>
      </c>
      <c r="J9" s="24">
        <v>1.3999999999999999E-4</v>
      </c>
      <c r="K9" s="24">
        <v>1.2E-4</v>
      </c>
      <c r="L9" s="24">
        <v>6.0000000000000002E-5</v>
      </c>
      <c r="M9" s="23">
        <v>-1.0000000000000001E-5</v>
      </c>
      <c r="N9" s="23">
        <v>-8.0000000000000007E-5</v>
      </c>
      <c r="O9" s="23">
        <v>-1.2999999999999999E-4</v>
      </c>
    </row>
    <row r="10" spans="3:15" ht="16" thickBot="1" x14ac:dyDescent="0.4">
      <c r="C10" s="2">
        <v>5</v>
      </c>
      <c r="D10" s="23">
        <v>-1.3999999999999999E-4</v>
      </c>
      <c r="E10" s="23">
        <v>-1.1E-4</v>
      </c>
      <c r="F10" s="23">
        <v>-6.0000000000000002E-5</v>
      </c>
      <c r="G10" s="23">
        <v>1.0000000000000001E-5</v>
      </c>
      <c r="H10" s="23">
        <v>8.0000000000000007E-5</v>
      </c>
      <c r="I10" s="23">
        <v>1.2999999999999999E-4</v>
      </c>
      <c r="J10" s="24">
        <v>1.3999999999999999E-4</v>
      </c>
      <c r="K10" s="24">
        <v>1.1E-4</v>
      </c>
      <c r="L10" s="24">
        <v>6.0000000000000002E-5</v>
      </c>
      <c r="M10" s="23">
        <v>-1.0000000000000001E-5</v>
      </c>
      <c r="N10" s="23">
        <v>-8.0000000000000007E-5</v>
      </c>
      <c r="O10" s="23">
        <v>-1.2999999999999999E-4</v>
      </c>
    </row>
    <row r="11" spans="3:15" ht="16" thickBot="1" x14ac:dyDescent="0.4">
      <c r="C11" s="2">
        <v>6</v>
      </c>
      <c r="D11" s="23">
        <v>-1.3999999999999999E-4</v>
      </c>
      <c r="E11" s="23">
        <v>-1.1E-4</v>
      </c>
      <c r="F11" s="23">
        <v>-6.0000000000000002E-5</v>
      </c>
      <c r="G11" s="23">
        <v>1.0000000000000001E-5</v>
      </c>
      <c r="H11" s="23">
        <v>8.0000000000000007E-5</v>
      </c>
      <c r="I11" s="23">
        <v>1.2999999999999999E-4</v>
      </c>
      <c r="J11" s="24">
        <v>1.3999999999999999E-4</v>
      </c>
      <c r="K11" s="24">
        <v>1.1E-4</v>
      </c>
      <c r="L11" s="24">
        <v>6.0000000000000002E-5</v>
      </c>
      <c r="M11" s="23">
        <v>-1.0000000000000001E-5</v>
      </c>
      <c r="N11" s="23">
        <v>-8.0000000000000007E-5</v>
      </c>
      <c r="O11" s="23">
        <v>-1.2999999999999999E-4</v>
      </c>
    </row>
    <row r="12" spans="3:15" ht="16" thickBot="1" x14ac:dyDescent="0.4">
      <c r="C12" s="2">
        <v>7</v>
      </c>
      <c r="D12" s="23">
        <v>-1.3999999999999999E-4</v>
      </c>
      <c r="E12" s="23">
        <v>-1.1E-4</v>
      </c>
      <c r="F12" s="23">
        <v>-5.0000000000000002E-5</v>
      </c>
      <c r="G12" s="23">
        <v>2.0000000000000002E-5</v>
      </c>
      <c r="H12" s="23">
        <v>8.0000000000000007E-5</v>
      </c>
      <c r="I12" s="23">
        <v>1.2999999999999999E-4</v>
      </c>
      <c r="J12" s="24">
        <v>1.3999999999999999E-4</v>
      </c>
      <c r="K12" s="24">
        <v>1.1E-4</v>
      </c>
      <c r="L12" s="24">
        <v>5.0000000000000002E-5</v>
      </c>
      <c r="M12" s="23">
        <v>-2.0000000000000002E-5</v>
      </c>
      <c r="N12" s="23">
        <v>-8.0000000000000007E-5</v>
      </c>
      <c r="O12" s="23">
        <v>-1.2999999999999999E-4</v>
      </c>
    </row>
    <row r="13" spans="3:15" ht="16" thickBot="1" x14ac:dyDescent="0.4">
      <c r="C13" s="2">
        <v>8</v>
      </c>
      <c r="D13" s="23">
        <v>-1.3999999999999999E-4</v>
      </c>
      <c r="E13" s="23">
        <v>-1.1E-4</v>
      </c>
      <c r="F13" s="23">
        <v>-5.0000000000000002E-5</v>
      </c>
      <c r="G13" s="23">
        <v>2.0000000000000002E-5</v>
      </c>
      <c r="H13" s="23">
        <v>9.0000000000000006E-5</v>
      </c>
      <c r="I13" s="23">
        <v>1.2999999999999999E-4</v>
      </c>
      <c r="J13" s="24">
        <v>1.3999999999999999E-4</v>
      </c>
      <c r="K13" s="24">
        <v>1.1E-4</v>
      </c>
      <c r="L13" s="24">
        <v>5.0000000000000002E-5</v>
      </c>
      <c r="M13" s="23">
        <v>-2.0000000000000002E-5</v>
      </c>
      <c r="N13" s="23">
        <v>-9.0000000000000006E-5</v>
      </c>
      <c r="O13" s="23">
        <v>-1.2999999999999999E-4</v>
      </c>
    </row>
    <row r="14" spans="3:15" ht="16" thickBot="1" x14ac:dyDescent="0.4">
      <c r="C14" s="2">
        <v>9</v>
      </c>
      <c r="D14" s="23">
        <v>-1.3999999999999999E-4</v>
      </c>
      <c r="E14" s="23">
        <v>-1.1E-4</v>
      </c>
      <c r="F14" s="23">
        <v>-5.0000000000000002E-5</v>
      </c>
      <c r="G14" s="23">
        <v>2.0000000000000002E-5</v>
      </c>
      <c r="H14" s="23">
        <v>9.0000000000000006E-5</v>
      </c>
      <c r="I14" s="23">
        <v>1.2999999999999999E-4</v>
      </c>
      <c r="J14" s="24">
        <v>1.3999999999999999E-4</v>
      </c>
      <c r="K14" s="24">
        <v>1.1E-4</v>
      </c>
      <c r="L14" s="24">
        <v>5.0000000000000002E-5</v>
      </c>
      <c r="M14" s="23">
        <v>-2.0000000000000002E-5</v>
      </c>
      <c r="N14" s="23">
        <v>-9.0000000000000006E-5</v>
      </c>
      <c r="O14" s="23">
        <v>-1.2999999999999999E-4</v>
      </c>
    </row>
    <row r="15" spans="3:15" ht="16" thickBot="1" x14ac:dyDescent="0.4">
      <c r="C15" s="2">
        <v>10</v>
      </c>
      <c r="D15" s="23">
        <v>-1.3999999999999999E-4</v>
      </c>
      <c r="E15" s="23">
        <v>-1.1E-4</v>
      </c>
      <c r="F15" s="23">
        <v>-5.0000000000000002E-5</v>
      </c>
      <c r="G15" s="23">
        <v>2.0000000000000002E-5</v>
      </c>
      <c r="H15" s="23">
        <v>9.0000000000000006E-5</v>
      </c>
      <c r="I15" s="23">
        <v>1.2999999999999999E-4</v>
      </c>
      <c r="J15" s="24">
        <v>1.3999999999999999E-4</v>
      </c>
      <c r="K15" s="24">
        <v>1.1E-4</v>
      </c>
      <c r="L15" s="24">
        <v>5.0000000000000002E-5</v>
      </c>
      <c r="M15" s="23">
        <v>-2.0000000000000002E-5</v>
      </c>
      <c r="N15" s="23">
        <v>-9.0000000000000006E-5</v>
      </c>
      <c r="O15" s="23">
        <v>-1.2999999999999999E-4</v>
      </c>
    </row>
    <row r="16" spans="3:15" ht="16" thickBot="1" x14ac:dyDescent="0.4">
      <c r="C16" s="2">
        <v>11</v>
      </c>
      <c r="D16" s="23">
        <v>-1.3999999999999999E-4</v>
      </c>
      <c r="E16" s="23">
        <v>-1.1E-4</v>
      </c>
      <c r="F16" s="23">
        <v>-5.0000000000000002E-5</v>
      </c>
      <c r="G16" s="23">
        <v>3.0000000000000001E-5</v>
      </c>
      <c r="H16" s="23">
        <v>9.0000000000000006E-5</v>
      </c>
      <c r="I16" s="23">
        <v>1.2999999999999999E-4</v>
      </c>
      <c r="J16" s="24">
        <v>1.3999999999999999E-4</v>
      </c>
      <c r="K16" s="24">
        <v>1.1E-4</v>
      </c>
      <c r="L16" s="24">
        <v>5.0000000000000002E-5</v>
      </c>
      <c r="M16" s="23">
        <v>-3.0000000000000001E-5</v>
      </c>
      <c r="N16" s="23">
        <v>-9.0000000000000006E-5</v>
      </c>
      <c r="O16" s="23">
        <v>-1.2999999999999999E-4</v>
      </c>
    </row>
    <row r="17" spans="3:15" ht="16" thickBot="1" x14ac:dyDescent="0.4">
      <c r="C17" s="2">
        <v>12</v>
      </c>
      <c r="D17" s="23">
        <v>-1.3999999999999999E-4</v>
      </c>
      <c r="E17" s="23">
        <v>-1E-4</v>
      </c>
      <c r="F17" s="23">
        <v>-4.0000000000000003E-5</v>
      </c>
      <c r="G17" s="23">
        <v>3.0000000000000001E-5</v>
      </c>
      <c r="H17" s="23">
        <v>9.0000000000000006E-5</v>
      </c>
      <c r="I17" s="23">
        <v>1.2999999999999999E-4</v>
      </c>
      <c r="J17" s="24">
        <v>1.3999999999999999E-4</v>
      </c>
      <c r="K17" s="24">
        <v>1E-4</v>
      </c>
      <c r="L17" s="24">
        <v>4.0000000000000003E-5</v>
      </c>
      <c r="M17" s="23">
        <v>-3.0000000000000001E-5</v>
      </c>
      <c r="N17" s="23">
        <v>-9.0000000000000006E-5</v>
      </c>
      <c r="O17" s="23">
        <v>-1.2999999999999999E-4</v>
      </c>
    </row>
    <row r="18" spans="3:15" ht="16" thickBot="1" x14ac:dyDescent="0.4">
      <c r="C18" s="2">
        <v>13</v>
      </c>
      <c r="D18" s="23">
        <v>-1.3999999999999999E-4</v>
      </c>
      <c r="E18" s="23">
        <v>-1E-4</v>
      </c>
      <c r="F18" s="23">
        <v>-4.0000000000000003E-5</v>
      </c>
      <c r="G18" s="23">
        <v>3.0000000000000001E-5</v>
      </c>
      <c r="H18" s="23">
        <v>1E-4</v>
      </c>
      <c r="I18" s="23">
        <v>1.2999999999999999E-4</v>
      </c>
      <c r="J18" s="24">
        <v>1.3999999999999999E-4</v>
      </c>
      <c r="K18" s="24">
        <v>1E-4</v>
      </c>
      <c r="L18" s="24">
        <v>4.0000000000000003E-5</v>
      </c>
      <c r="M18" s="23">
        <v>-3.0000000000000001E-5</v>
      </c>
      <c r="N18" s="23">
        <v>-1E-4</v>
      </c>
      <c r="O18" s="23">
        <v>-1.2999999999999999E-4</v>
      </c>
    </row>
    <row r="19" spans="3:15" ht="16" thickBot="1" x14ac:dyDescent="0.4">
      <c r="C19" s="2">
        <v>14</v>
      </c>
      <c r="D19" s="23">
        <v>-1.3999999999999999E-4</v>
      </c>
      <c r="E19" s="23">
        <v>-1E-4</v>
      </c>
      <c r="F19" s="23">
        <v>-4.0000000000000003E-5</v>
      </c>
      <c r="G19" s="23">
        <v>3.0000000000000001E-5</v>
      </c>
      <c r="H19" s="23">
        <v>1E-4</v>
      </c>
      <c r="I19" s="23">
        <v>1.2999999999999999E-4</v>
      </c>
      <c r="J19" s="24">
        <v>1.3999999999999999E-4</v>
      </c>
      <c r="K19" s="24">
        <v>1E-4</v>
      </c>
      <c r="L19" s="24">
        <v>4.0000000000000003E-5</v>
      </c>
      <c r="M19" s="23">
        <v>-3.0000000000000001E-5</v>
      </c>
      <c r="N19" s="23">
        <v>-1E-4</v>
      </c>
      <c r="O19" s="23">
        <v>-1.2999999999999999E-4</v>
      </c>
    </row>
    <row r="20" spans="3:15" ht="16" thickBot="1" x14ac:dyDescent="0.4">
      <c r="C20" s="2">
        <v>15</v>
      </c>
      <c r="D20" s="23">
        <v>-1.3999999999999999E-4</v>
      </c>
      <c r="E20" s="23">
        <v>-1E-4</v>
      </c>
      <c r="F20" s="23">
        <v>-4.0000000000000003E-5</v>
      </c>
      <c r="G20" s="23">
        <v>4.0000000000000003E-5</v>
      </c>
      <c r="H20" s="23">
        <v>1E-4</v>
      </c>
      <c r="I20" s="23">
        <v>1.3999999999999999E-4</v>
      </c>
      <c r="J20" s="24">
        <v>1.3999999999999999E-4</v>
      </c>
      <c r="K20" s="24">
        <v>1E-4</v>
      </c>
      <c r="L20" s="24">
        <v>4.0000000000000003E-5</v>
      </c>
      <c r="M20" s="23">
        <v>-4.0000000000000003E-5</v>
      </c>
      <c r="N20" s="23">
        <v>-1E-4</v>
      </c>
      <c r="O20" s="23">
        <v>-1.3999999999999999E-4</v>
      </c>
    </row>
    <row r="21" spans="3:15" ht="16" thickBot="1" x14ac:dyDescent="0.4">
      <c r="C21" s="2">
        <v>16</v>
      </c>
      <c r="D21" s="23">
        <v>-1.2999999999999999E-4</v>
      </c>
      <c r="E21" s="23">
        <v>-1E-4</v>
      </c>
      <c r="F21" s="23">
        <v>-3.0000000000000001E-5</v>
      </c>
      <c r="G21" s="23">
        <v>4.0000000000000003E-5</v>
      </c>
      <c r="H21" s="23">
        <v>1E-4</v>
      </c>
      <c r="I21" s="23">
        <v>1.3999999999999999E-4</v>
      </c>
      <c r="J21" s="24">
        <v>1.2999999999999999E-4</v>
      </c>
      <c r="K21" s="24">
        <v>1E-4</v>
      </c>
      <c r="L21" s="24">
        <v>3.0000000000000001E-5</v>
      </c>
      <c r="M21" s="23">
        <v>-4.0000000000000003E-5</v>
      </c>
      <c r="N21" s="23">
        <v>-1E-4</v>
      </c>
      <c r="O21" s="23">
        <v>-1.3999999999999999E-4</v>
      </c>
    </row>
    <row r="22" spans="3:15" ht="16" thickBot="1" x14ac:dyDescent="0.4">
      <c r="C22" s="2">
        <v>17</v>
      </c>
      <c r="D22" s="23">
        <v>-1.2999999999999999E-4</v>
      </c>
      <c r="E22" s="23">
        <v>-1E-4</v>
      </c>
      <c r="F22" s="23">
        <v>-3.0000000000000001E-5</v>
      </c>
      <c r="G22" s="23">
        <v>4.0000000000000003E-5</v>
      </c>
      <c r="H22" s="23">
        <v>1E-4</v>
      </c>
      <c r="I22" s="23">
        <v>1.3999999999999999E-4</v>
      </c>
      <c r="J22" s="24">
        <v>1.2999999999999999E-4</v>
      </c>
      <c r="K22" s="24">
        <v>1E-4</v>
      </c>
      <c r="L22" s="24">
        <v>3.0000000000000001E-5</v>
      </c>
      <c r="M22" s="23">
        <v>-4.0000000000000003E-5</v>
      </c>
      <c r="N22" s="23">
        <v>-1E-4</v>
      </c>
      <c r="O22" s="23">
        <v>-1.3999999999999999E-4</v>
      </c>
    </row>
    <row r="23" spans="3:15" ht="16" thickBot="1" x14ac:dyDescent="0.4">
      <c r="C23" s="2">
        <v>18</v>
      </c>
      <c r="D23" s="23">
        <v>-1.2999999999999999E-4</v>
      </c>
      <c r="E23" s="23">
        <v>-9.0000000000000006E-5</v>
      </c>
      <c r="F23" s="23">
        <v>-3.0000000000000001E-5</v>
      </c>
      <c r="G23" s="23">
        <v>4.0000000000000003E-5</v>
      </c>
      <c r="H23" s="23">
        <v>1E-4</v>
      </c>
      <c r="I23" s="23">
        <v>1.3999999999999999E-4</v>
      </c>
      <c r="J23" s="24">
        <v>1.2999999999999999E-4</v>
      </c>
      <c r="K23" s="24">
        <v>9.0000000000000006E-5</v>
      </c>
      <c r="L23" s="24">
        <v>3.0000000000000001E-5</v>
      </c>
      <c r="M23" s="23">
        <v>-4.0000000000000003E-5</v>
      </c>
      <c r="N23" s="23">
        <v>-1E-4</v>
      </c>
      <c r="O23" s="23">
        <v>-1.3999999999999999E-4</v>
      </c>
    </row>
    <row r="24" spans="3:15" ht="16" thickBot="1" x14ac:dyDescent="0.4">
      <c r="C24" s="2">
        <v>19</v>
      </c>
      <c r="D24" s="23">
        <v>-1.2999999999999999E-4</v>
      </c>
      <c r="E24" s="23">
        <v>-9.0000000000000006E-5</v>
      </c>
      <c r="F24" s="23">
        <v>-3.0000000000000001E-5</v>
      </c>
      <c r="G24" s="23">
        <v>5.0000000000000002E-5</v>
      </c>
      <c r="H24" s="23">
        <v>1.1E-4</v>
      </c>
      <c r="I24" s="23">
        <v>1.3999999999999999E-4</v>
      </c>
      <c r="J24" s="24">
        <v>1.2999999999999999E-4</v>
      </c>
      <c r="K24" s="24">
        <v>9.0000000000000006E-5</v>
      </c>
      <c r="L24" s="24">
        <v>3.0000000000000001E-5</v>
      </c>
      <c r="M24" s="23">
        <v>-5.0000000000000002E-5</v>
      </c>
      <c r="N24" s="23">
        <v>-1.1E-4</v>
      </c>
      <c r="O24" s="23">
        <v>-1.3999999999999999E-4</v>
      </c>
    </row>
    <row r="25" spans="3:15" ht="16" thickBot="1" x14ac:dyDescent="0.4">
      <c r="C25" s="2">
        <v>20</v>
      </c>
      <c r="D25" s="23">
        <v>-1.2999999999999999E-4</v>
      </c>
      <c r="E25" s="23">
        <v>-9.0000000000000006E-5</v>
      </c>
      <c r="F25" s="23">
        <v>-2.0000000000000002E-5</v>
      </c>
      <c r="G25" s="23">
        <v>5.0000000000000002E-5</v>
      </c>
      <c r="H25" s="23">
        <v>1.1E-4</v>
      </c>
      <c r="I25" s="23">
        <v>1.3999999999999999E-4</v>
      </c>
      <c r="J25" s="24">
        <v>1.2999999999999999E-4</v>
      </c>
      <c r="K25" s="23">
        <v>9.0000000000000006E-5</v>
      </c>
      <c r="L25" s="24">
        <v>2.0000000000000002E-5</v>
      </c>
      <c r="M25" s="23">
        <v>-5.0000000000000002E-5</v>
      </c>
      <c r="N25" s="23">
        <v>-1.1E-4</v>
      </c>
      <c r="O25" s="23">
        <v>-1.3999999999999999E-4</v>
      </c>
    </row>
    <row r="26" spans="3:15" ht="16" thickBot="1" x14ac:dyDescent="0.4">
      <c r="C26" s="2">
        <v>21</v>
      </c>
      <c r="D26" s="23">
        <v>-1.2999999999999999E-4</v>
      </c>
      <c r="E26" s="23">
        <v>-9.0000000000000006E-5</v>
      </c>
      <c r="F26" s="23">
        <v>-2.0000000000000002E-5</v>
      </c>
      <c r="G26" s="23">
        <v>5.0000000000000002E-5</v>
      </c>
      <c r="H26" s="23">
        <v>1.1E-4</v>
      </c>
      <c r="I26" s="23">
        <v>1.3999999999999999E-4</v>
      </c>
      <c r="J26" s="24">
        <v>1.2999999999999999E-4</v>
      </c>
      <c r="K26" s="24">
        <v>9.0000000000000006E-5</v>
      </c>
      <c r="L26" s="24">
        <v>2.0000000000000002E-5</v>
      </c>
      <c r="M26" s="23">
        <v>-5.0000000000000002E-5</v>
      </c>
      <c r="N26" s="23">
        <v>-1.1E-4</v>
      </c>
      <c r="O26" s="23">
        <v>-1.3999999999999999E-4</v>
      </c>
    </row>
    <row r="27" spans="3:15" ht="16" thickBot="1" x14ac:dyDescent="0.4">
      <c r="C27" s="2">
        <v>22</v>
      </c>
      <c r="D27" s="23">
        <v>-1.2999999999999999E-4</v>
      </c>
      <c r="E27" s="23">
        <v>-9.0000000000000006E-5</v>
      </c>
      <c r="F27" s="23">
        <v>-2.0000000000000002E-5</v>
      </c>
      <c r="G27" s="23">
        <v>5.0000000000000002E-5</v>
      </c>
      <c r="H27" s="23">
        <v>1.1E-4</v>
      </c>
      <c r="I27" s="23">
        <v>1.3999999999999999E-4</v>
      </c>
      <c r="J27" s="24">
        <v>1.2999999999999999E-4</v>
      </c>
      <c r="K27" s="24">
        <v>9.0000000000000006E-5</v>
      </c>
      <c r="L27" s="24">
        <v>2.0000000000000002E-5</v>
      </c>
      <c r="M27" s="23">
        <v>-5.0000000000000002E-5</v>
      </c>
      <c r="N27" s="23">
        <v>-1.1E-4</v>
      </c>
      <c r="O27" s="23">
        <v>-1.3999999999999999E-4</v>
      </c>
    </row>
    <row r="28" spans="3:15" ht="16" thickBot="1" x14ac:dyDescent="0.4">
      <c r="C28" s="2">
        <v>23</v>
      </c>
      <c r="D28" s="23">
        <v>-1.2999999999999999E-4</v>
      </c>
      <c r="E28" s="23">
        <v>-8.0000000000000007E-5</v>
      </c>
      <c r="F28" s="23">
        <v>-2.0000000000000002E-5</v>
      </c>
      <c r="G28" s="23">
        <v>5.0000000000000002E-5</v>
      </c>
      <c r="H28" s="23">
        <v>1.1E-4</v>
      </c>
      <c r="I28" s="23">
        <v>1.3999999999999999E-4</v>
      </c>
      <c r="J28" s="24">
        <v>1.2999999999999999E-4</v>
      </c>
      <c r="K28" s="24">
        <v>8.0000000000000007E-5</v>
      </c>
      <c r="L28" s="24">
        <v>2.0000000000000002E-5</v>
      </c>
      <c r="M28" s="23">
        <v>-5.0000000000000002E-5</v>
      </c>
      <c r="N28" s="23">
        <v>-1.1E-4</v>
      </c>
      <c r="O28" s="23">
        <v>-1.3999999999999999E-4</v>
      </c>
    </row>
    <row r="29" spans="3:15" ht="16" thickBot="1" x14ac:dyDescent="0.4">
      <c r="C29" s="2">
        <v>24</v>
      </c>
      <c r="D29" s="23">
        <v>-1.2999999999999999E-4</v>
      </c>
      <c r="E29" s="23">
        <v>-8.0000000000000007E-5</v>
      </c>
      <c r="F29" s="23">
        <v>-1.0000000000000001E-5</v>
      </c>
      <c r="G29" s="23">
        <v>6.0000000000000002E-5</v>
      </c>
      <c r="H29" s="23">
        <v>1.1E-4</v>
      </c>
      <c r="I29" s="23">
        <v>1.3999999999999999E-4</v>
      </c>
      <c r="J29" s="24">
        <v>1.2999999999999999E-4</v>
      </c>
      <c r="K29" s="24">
        <v>8.0000000000000007E-5</v>
      </c>
      <c r="L29" s="24">
        <v>1.0000000000000001E-5</v>
      </c>
      <c r="M29" s="23">
        <v>-6.0000000000000002E-5</v>
      </c>
      <c r="N29" s="23">
        <v>-1.1E-4</v>
      </c>
      <c r="O29" s="23">
        <v>-1.3999999999999999E-4</v>
      </c>
    </row>
    <row r="30" spans="3:15" ht="16" thickBot="1" x14ac:dyDescent="0.4">
      <c r="C30" s="2">
        <v>25</v>
      </c>
      <c r="D30" s="23">
        <v>-1.2999999999999999E-4</v>
      </c>
      <c r="E30" s="23">
        <v>-8.0000000000000007E-5</v>
      </c>
      <c r="F30" s="23">
        <v>-1.0000000000000001E-5</v>
      </c>
      <c r="G30" s="23">
        <v>6.0000000000000002E-5</v>
      </c>
      <c r="H30" s="23">
        <v>1.1E-4</v>
      </c>
      <c r="I30" s="23">
        <v>1.3999999999999999E-4</v>
      </c>
      <c r="J30" s="24">
        <v>1.2999999999999999E-4</v>
      </c>
      <c r="K30" s="24">
        <v>8.0000000000000007E-5</v>
      </c>
      <c r="L30" s="24">
        <v>1.0000000000000001E-5</v>
      </c>
      <c r="M30" s="23">
        <v>-6.0000000000000002E-5</v>
      </c>
      <c r="N30" s="23">
        <v>-1.1E-4</v>
      </c>
      <c r="O30" s="23">
        <v>-1.3999999999999999E-4</v>
      </c>
    </row>
    <row r="31" spans="3:15" ht="16" thickBot="1" x14ac:dyDescent="0.4">
      <c r="C31" s="2">
        <v>26</v>
      </c>
      <c r="D31" s="23">
        <v>-1.2999999999999999E-4</v>
      </c>
      <c r="E31" s="23">
        <v>-8.0000000000000007E-5</v>
      </c>
      <c r="F31" s="23">
        <v>-1.0000000000000001E-5</v>
      </c>
      <c r="G31" s="23">
        <v>6.0000000000000002E-5</v>
      </c>
      <c r="H31" s="23">
        <v>1.2E-4</v>
      </c>
      <c r="I31" s="23">
        <v>1.3999999999999999E-4</v>
      </c>
      <c r="J31" s="24">
        <v>1.2999999999999999E-4</v>
      </c>
      <c r="K31" s="24">
        <v>8.0000000000000007E-5</v>
      </c>
      <c r="L31" s="24">
        <v>1.0000000000000001E-5</v>
      </c>
      <c r="M31" s="23">
        <v>-6.0000000000000002E-5</v>
      </c>
      <c r="N31" s="23">
        <v>-1.2E-4</v>
      </c>
      <c r="O31" s="23">
        <v>-1.3999999999999999E-4</v>
      </c>
    </row>
    <row r="32" spans="3:15" ht="16" thickBot="1" x14ac:dyDescent="0.4">
      <c r="C32" s="2">
        <v>27</v>
      </c>
      <c r="D32" s="23">
        <v>-1.2E-4</v>
      </c>
      <c r="E32" s="23">
        <v>-8.0000000000000007E-5</v>
      </c>
      <c r="F32" s="23">
        <v>-1.0000000000000001E-5</v>
      </c>
      <c r="G32" s="23">
        <v>6.0000000000000002E-5</v>
      </c>
      <c r="H32" s="23">
        <v>1.2E-4</v>
      </c>
      <c r="I32" s="23">
        <v>1.3999999999999999E-4</v>
      </c>
      <c r="J32" s="24">
        <v>1.2E-4</v>
      </c>
      <c r="K32" s="24">
        <v>8.0000000000000007E-5</v>
      </c>
      <c r="L32" s="24">
        <v>1.0000000000000001E-5</v>
      </c>
      <c r="M32" s="23">
        <v>-6.0000000000000002E-5</v>
      </c>
      <c r="N32" s="23">
        <v>-1.2E-4</v>
      </c>
      <c r="O32" s="23">
        <v>-1.3999999999999999E-4</v>
      </c>
    </row>
    <row r="33" spans="3:15" ht="16" thickBot="1" x14ac:dyDescent="0.4">
      <c r="C33" s="2">
        <v>28</v>
      </c>
      <c r="D33" s="23">
        <v>-1.2E-4</v>
      </c>
      <c r="E33" s="23">
        <v>-6.9999999999999994E-5</v>
      </c>
      <c r="F33" s="23">
        <v>0</v>
      </c>
      <c r="G33" s="23">
        <v>6.9999999999999994E-5</v>
      </c>
      <c r="H33" s="23">
        <v>1.2E-4</v>
      </c>
      <c r="I33" s="23">
        <v>1.3999999999999999E-4</v>
      </c>
      <c r="J33" s="24">
        <v>1.2E-4</v>
      </c>
      <c r="K33" s="24">
        <v>6.9999999999999994E-5</v>
      </c>
      <c r="L33" s="24">
        <v>0</v>
      </c>
      <c r="M33" s="23">
        <v>-6.9999999999999994E-5</v>
      </c>
      <c r="N33" s="23">
        <v>-1.2E-4</v>
      </c>
      <c r="O33" s="23">
        <v>-1.3999999999999999E-4</v>
      </c>
    </row>
    <row r="34" spans="3:15" ht="16" thickBot="1" x14ac:dyDescent="0.4">
      <c r="C34" s="2">
        <v>29</v>
      </c>
      <c r="D34" s="23">
        <v>-1.2E-4</v>
      </c>
      <c r="E34" s="23">
        <v>-6.9999999999999994E-5</v>
      </c>
      <c r="F34" s="23">
        <v>0</v>
      </c>
      <c r="G34" s="23">
        <v>6.9999999999999994E-5</v>
      </c>
      <c r="H34" s="23">
        <v>1.2E-4</v>
      </c>
      <c r="I34" s="23">
        <v>1.3999999999999999E-4</v>
      </c>
      <c r="J34" s="24">
        <v>1.2E-4</v>
      </c>
      <c r="K34" s="24">
        <v>6.9999999999999994E-5</v>
      </c>
      <c r="L34" s="24">
        <v>0</v>
      </c>
      <c r="M34" s="23">
        <v>-6.9999999999999994E-5</v>
      </c>
      <c r="N34" s="23">
        <v>-1.2E-4</v>
      </c>
      <c r="O34" s="23">
        <v>-1.3999999999999999E-4</v>
      </c>
    </row>
    <row r="35" spans="3:15" ht="16" thickBot="1" x14ac:dyDescent="0.4">
      <c r="C35" s="2">
        <v>30</v>
      </c>
      <c r="D35" s="23">
        <v>-1.2E-4</v>
      </c>
      <c r="E35" s="23">
        <v>-6.9999999999999994E-5</v>
      </c>
      <c r="F35" s="23">
        <v>0</v>
      </c>
      <c r="G35" s="23">
        <v>6.9999999999999994E-5</v>
      </c>
      <c r="H35" s="23">
        <v>1.2E-4</v>
      </c>
      <c r="I35" s="23">
        <v>1.3999999999999999E-4</v>
      </c>
      <c r="J35" s="24">
        <v>1.2E-4</v>
      </c>
      <c r="K35" s="24">
        <v>6.9999999999999994E-5</v>
      </c>
      <c r="L35" s="24">
        <v>0</v>
      </c>
      <c r="M35" s="23">
        <v>-6.9999999999999994E-5</v>
      </c>
      <c r="N35" s="23">
        <v>-1.2E-4</v>
      </c>
      <c r="O35" s="23">
        <v>-1.3999999999999999E-4</v>
      </c>
    </row>
  </sheetData>
  <mergeCells count="1">
    <mergeCell ref="C3:O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09F1-59F1-487D-91D0-E39E88101E88}">
  <dimension ref="C2:O35"/>
  <sheetViews>
    <sheetView workbookViewId="0">
      <selection activeCell="B3" sqref="B3:O35"/>
    </sheetView>
  </sheetViews>
  <sheetFormatPr defaultRowHeight="14.5" x14ac:dyDescent="0.35"/>
  <cols>
    <col min="4" max="4" width="9.6328125" customWidth="1"/>
    <col min="5" max="5" width="10" customWidth="1"/>
    <col min="6" max="6" width="9" customWidth="1"/>
    <col min="7" max="7" width="10.7265625" customWidth="1"/>
    <col min="8" max="8" width="10" customWidth="1"/>
    <col min="9" max="9" width="10.1796875" customWidth="1"/>
    <col min="10" max="10" width="10.36328125" customWidth="1"/>
    <col min="11" max="11" width="10.1796875" customWidth="1"/>
    <col min="12" max="12" width="9.7265625" customWidth="1"/>
    <col min="13" max="13" width="9.81640625" customWidth="1"/>
    <col min="14" max="15" width="9.6328125" customWidth="1"/>
  </cols>
  <sheetData>
    <row r="2" spans="3:15" ht="15" thickBot="1" x14ac:dyDescent="0.4"/>
    <row r="3" spans="3:15" ht="16" thickBot="1" x14ac:dyDescent="0.4">
      <c r="C3" s="56" t="s">
        <v>228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9"/>
    </row>
    <row r="4" spans="3:15" ht="16" thickBot="1" x14ac:dyDescent="0.4">
      <c r="C4" s="2" t="s">
        <v>0</v>
      </c>
      <c r="D4" s="7">
        <v>0</v>
      </c>
      <c r="E4" s="7">
        <v>30</v>
      </c>
      <c r="F4" s="7">
        <v>60</v>
      </c>
      <c r="G4" s="7">
        <v>90</v>
      </c>
      <c r="H4" s="7">
        <v>120</v>
      </c>
      <c r="I4" s="7">
        <v>150</v>
      </c>
      <c r="J4" s="6">
        <v>180</v>
      </c>
      <c r="K4" s="6">
        <v>210</v>
      </c>
      <c r="L4" s="6">
        <v>240</v>
      </c>
      <c r="M4" s="6">
        <v>270</v>
      </c>
      <c r="N4" s="6">
        <v>300</v>
      </c>
      <c r="O4" s="6">
        <v>330</v>
      </c>
    </row>
    <row r="5" spans="3:15" ht="16" thickBot="1" x14ac:dyDescent="0.4">
      <c r="C5" s="2">
        <v>0</v>
      </c>
      <c r="D5" s="8">
        <v>0</v>
      </c>
      <c r="E5" s="8">
        <v>0.95730000000000004</v>
      </c>
      <c r="F5" s="8">
        <v>1.6580999999999999</v>
      </c>
      <c r="G5" s="8">
        <v>1.9146000000000001</v>
      </c>
      <c r="H5" s="8">
        <v>1.6580999999999999</v>
      </c>
      <c r="I5" s="8">
        <v>0.95730000000000004</v>
      </c>
      <c r="J5" s="9">
        <v>0</v>
      </c>
      <c r="K5" s="9">
        <v>-3.1444000000000001</v>
      </c>
      <c r="L5" s="9">
        <v>-5.4462000000000002</v>
      </c>
      <c r="M5" s="9">
        <v>-6.2888000000000002</v>
      </c>
      <c r="N5" s="9">
        <v>-5.4462000000000002</v>
      </c>
      <c r="O5" s="9">
        <v>-3.1444000000000001</v>
      </c>
    </row>
    <row r="6" spans="3:15" ht="16" thickBot="1" x14ac:dyDescent="0.4">
      <c r="C6" s="2">
        <v>1</v>
      </c>
      <c r="D6" s="8">
        <v>3.3399999999999999E-2</v>
      </c>
      <c r="E6" s="8">
        <v>0.98609999999999998</v>
      </c>
      <c r="F6" s="8">
        <v>1.6745000000000001</v>
      </c>
      <c r="G6" s="8">
        <v>1.9142999999999999</v>
      </c>
      <c r="H6" s="8">
        <v>1.6411</v>
      </c>
      <c r="I6" s="8">
        <v>0.92820000000000003</v>
      </c>
      <c r="J6" s="9">
        <v>-0.10979999999999999</v>
      </c>
      <c r="K6" s="9">
        <v>-3.2389999999999999</v>
      </c>
      <c r="L6" s="9">
        <v>-5.5003000000000002</v>
      </c>
      <c r="M6" s="9">
        <v>-6.2877999999999998</v>
      </c>
      <c r="N6" s="9">
        <v>-5.3905000000000003</v>
      </c>
      <c r="O6" s="9">
        <v>-3.0489000000000002</v>
      </c>
    </row>
    <row r="7" spans="3:15" ht="16" thickBot="1" x14ac:dyDescent="0.4">
      <c r="C7" s="2">
        <v>2</v>
      </c>
      <c r="D7" s="8">
        <v>6.6799999999999998E-2</v>
      </c>
      <c r="E7" s="8">
        <v>1.0145999999999999</v>
      </c>
      <c r="F7" s="8">
        <v>1.6904999999999999</v>
      </c>
      <c r="G7" s="8">
        <v>1.9134</v>
      </c>
      <c r="H7" s="8">
        <v>1.6236999999999999</v>
      </c>
      <c r="I7" s="8">
        <v>0.89890000000000003</v>
      </c>
      <c r="J7" s="9">
        <v>-0.2195</v>
      </c>
      <c r="K7" s="9">
        <v>-3.3325</v>
      </c>
      <c r="L7" s="9">
        <v>-5.5526999999999997</v>
      </c>
      <c r="M7" s="9">
        <v>-6.2849000000000004</v>
      </c>
      <c r="N7" s="9">
        <v>-5.3331999999999997</v>
      </c>
      <c r="O7" s="9">
        <v>-2.9523999999999999</v>
      </c>
    </row>
    <row r="8" spans="3:15" ht="16" thickBot="1" x14ac:dyDescent="0.4">
      <c r="C8" s="2">
        <v>3</v>
      </c>
      <c r="D8" s="8">
        <v>0.1002</v>
      </c>
      <c r="E8" s="8">
        <v>1.0427999999999999</v>
      </c>
      <c r="F8" s="8">
        <v>1.7059</v>
      </c>
      <c r="G8" s="8">
        <v>1.9119999999999999</v>
      </c>
      <c r="H8" s="8">
        <v>1.6056999999999999</v>
      </c>
      <c r="I8" s="8">
        <v>0.86919999999999997</v>
      </c>
      <c r="J8" s="9">
        <v>-0.3291</v>
      </c>
      <c r="K8" s="9">
        <v>-3.4251</v>
      </c>
      <c r="L8" s="9">
        <v>-5.6032999999999999</v>
      </c>
      <c r="M8" s="9">
        <v>-6.2801999999999998</v>
      </c>
      <c r="N8" s="9">
        <v>-5.2742000000000004</v>
      </c>
      <c r="O8" s="9">
        <v>-2.855</v>
      </c>
    </row>
    <row r="9" spans="3:15" ht="16" thickBot="1" x14ac:dyDescent="0.4">
      <c r="C9" s="2">
        <v>4</v>
      </c>
      <c r="D9" s="8">
        <v>0.1336</v>
      </c>
      <c r="E9" s="8">
        <v>1.0706</v>
      </c>
      <c r="F9" s="8">
        <v>1.7208000000000001</v>
      </c>
      <c r="G9" s="8">
        <v>1.9098999999999999</v>
      </c>
      <c r="H9" s="8">
        <v>1.5872999999999999</v>
      </c>
      <c r="I9" s="8">
        <v>0.83930000000000005</v>
      </c>
      <c r="J9" s="9">
        <v>-0.43869999999999998</v>
      </c>
      <c r="K9" s="9">
        <v>-3.5165999999999999</v>
      </c>
      <c r="L9" s="9">
        <v>-5.6523000000000003</v>
      </c>
      <c r="M9" s="9">
        <v>-6.2735000000000003</v>
      </c>
      <c r="N9" s="9">
        <v>-5.2135999999999996</v>
      </c>
      <c r="O9" s="9">
        <v>-2.7568000000000001</v>
      </c>
    </row>
    <row r="10" spans="3:15" ht="16" thickBot="1" x14ac:dyDescent="0.4">
      <c r="C10" s="2">
        <v>5</v>
      </c>
      <c r="D10" s="8">
        <v>0.16689999999999999</v>
      </c>
      <c r="E10" s="8">
        <v>1.0982000000000001</v>
      </c>
      <c r="F10" s="8">
        <v>1.7352000000000001</v>
      </c>
      <c r="G10" s="8">
        <v>1.9073</v>
      </c>
      <c r="H10" s="8">
        <v>1.5683</v>
      </c>
      <c r="I10" s="8">
        <v>0.80910000000000004</v>
      </c>
      <c r="J10" s="9">
        <v>-0.54810000000000003</v>
      </c>
      <c r="K10" s="9">
        <v>-3.6071</v>
      </c>
      <c r="L10" s="9">
        <v>-5.6996000000000002</v>
      </c>
      <c r="M10" s="9">
        <v>-6.2648000000000001</v>
      </c>
      <c r="N10" s="9">
        <v>-5.1515000000000004</v>
      </c>
      <c r="O10" s="9">
        <v>-2.6577999999999999</v>
      </c>
    </row>
    <row r="11" spans="3:15" ht="16" thickBot="1" x14ac:dyDescent="0.4">
      <c r="C11" s="2">
        <v>6</v>
      </c>
      <c r="D11" s="8">
        <v>0.2001</v>
      </c>
      <c r="E11" s="8">
        <v>1.1254</v>
      </c>
      <c r="F11" s="8">
        <v>1.7491000000000001</v>
      </c>
      <c r="G11" s="8">
        <v>1.9040999999999999</v>
      </c>
      <c r="H11" s="8">
        <v>1.5488999999999999</v>
      </c>
      <c r="I11" s="8">
        <v>0.77869999999999995</v>
      </c>
      <c r="J11" s="9">
        <v>-0.65739999999999998</v>
      </c>
      <c r="K11" s="9">
        <v>-3.6964000000000001</v>
      </c>
      <c r="L11" s="9">
        <v>-5.7450999999999999</v>
      </c>
      <c r="M11" s="9">
        <v>-6.2542999999999997</v>
      </c>
      <c r="N11" s="9">
        <v>-5.0876999999999999</v>
      </c>
      <c r="O11" s="9">
        <v>-2.5579000000000001</v>
      </c>
    </row>
    <row r="12" spans="3:15" ht="16" thickBot="1" x14ac:dyDescent="0.4">
      <c r="C12" s="2">
        <v>7</v>
      </c>
      <c r="D12" s="8">
        <v>0.23330000000000001</v>
      </c>
      <c r="E12" s="8">
        <v>1.1521999999999999</v>
      </c>
      <c r="F12" s="8">
        <v>1.7624</v>
      </c>
      <c r="G12" s="8">
        <v>1.9003000000000001</v>
      </c>
      <c r="H12" s="8">
        <v>1.5290999999999999</v>
      </c>
      <c r="I12" s="8">
        <v>0.74809999999999999</v>
      </c>
      <c r="J12" s="9">
        <v>-0.76639999999999997</v>
      </c>
      <c r="K12" s="9">
        <v>-3.7847</v>
      </c>
      <c r="L12" s="9">
        <v>-5.7888000000000002</v>
      </c>
      <c r="M12" s="9">
        <v>-6.2419000000000002</v>
      </c>
      <c r="N12" s="9">
        <v>-5.0224000000000002</v>
      </c>
      <c r="O12" s="9">
        <v>-2.4571999999999998</v>
      </c>
    </row>
    <row r="13" spans="3:15" ht="16" thickBot="1" x14ac:dyDescent="0.4">
      <c r="C13" s="2">
        <v>8</v>
      </c>
      <c r="D13" s="8">
        <v>0.26650000000000001</v>
      </c>
      <c r="E13" s="8">
        <v>1.1787000000000001</v>
      </c>
      <c r="F13" s="8">
        <v>1.7751999999999999</v>
      </c>
      <c r="G13" s="8">
        <v>1.8959999999999999</v>
      </c>
      <c r="H13" s="8">
        <v>1.5086999999999999</v>
      </c>
      <c r="I13" s="8">
        <v>0.71719999999999995</v>
      </c>
      <c r="J13" s="9">
        <v>-0.87519999999999998</v>
      </c>
      <c r="K13" s="9">
        <v>-3.8717999999999999</v>
      </c>
      <c r="L13" s="9">
        <v>-5.8308</v>
      </c>
      <c r="M13" s="9">
        <v>-6.2275999999999998</v>
      </c>
      <c r="N13" s="9">
        <v>-4.9555999999999996</v>
      </c>
      <c r="O13" s="9">
        <v>-2.3557999999999999</v>
      </c>
    </row>
    <row r="14" spans="3:15" ht="16" thickBot="1" x14ac:dyDescent="0.4">
      <c r="C14" s="2">
        <v>9</v>
      </c>
      <c r="D14" s="8">
        <v>0.29949999999999999</v>
      </c>
      <c r="E14" s="8">
        <v>1.2049000000000001</v>
      </c>
      <c r="F14" s="8">
        <v>1.7874000000000001</v>
      </c>
      <c r="G14" s="8">
        <v>1.891</v>
      </c>
      <c r="H14" s="8">
        <v>1.4879</v>
      </c>
      <c r="I14" s="8">
        <v>0.68610000000000004</v>
      </c>
      <c r="J14" s="9">
        <v>-0.98380000000000001</v>
      </c>
      <c r="K14" s="9">
        <v>-3.9577</v>
      </c>
      <c r="L14" s="9">
        <v>-5.8711000000000002</v>
      </c>
      <c r="M14" s="9">
        <v>-6.2112999999999996</v>
      </c>
      <c r="N14" s="9">
        <v>-4.8872999999999998</v>
      </c>
      <c r="O14" s="9">
        <v>-2.2536999999999998</v>
      </c>
    </row>
    <row r="15" spans="3:15" ht="16" thickBot="1" x14ac:dyDescent="0.4">
      <c r="C15" s="2">
        <v>10</v>
      </c>
      <c r="D15" s="8">
        <v>0.33250000000000002</v>
      </c>
      <c r="E15" s="8">
        <v>1.2306999999999999</v>
      </c>
      <c r="F15" s="8">
        <v>1.7990999999999999</v>
      </c>
      <c r="G15" s="8">
        <v>1.8855</v>
      </c>
      <c r="H15" s="8">
        <v>1.4666999999999999</v>
      </c>
      <c r="I15" s="8">
        <v>0.65480000000000005</v>
      </c>
      <c r="J15" s="9">
        <v>-1.0920000000000001</v>
      </c>
      <c r="K15" s="9">
        <v>-4.0423</v>
      </c>
      <c r="L15" s="9">
        <v>-5.9095000000000004</v>
      </c>
      <c r="M15" s="9">
        <v>-6.1932</v>
      </c>
      <c r="N15" s="9">
        <v>-4.8174999999999999</v>
      </c>
      <c r="O15" s="9">
        <v>-2.1509</v>
      </c>
    </row>
    <row r="16" spans="3:15" ht="16" thickBot="1" x14ac:dyDescent="0.4">
      <c r="C16" s="2">
        <v>11</v>
      </c>
      <c r="D16" s="8">
        <v>0.36530000000000001</v>
      </c>
      <c r="E16" s="8">
        <v>1.2561</v>
      </c>
      <c r="F16" s="8">
        <v>1.8103</v>
      </c>
      <c r="G16" s="8">
        <v>1.8794</v>
      </c>
      <c r="H16" s="8">
        <v>1.4450000000000001</v>
      </c>
      <c r="I16" s="8">
        <v>0.62329999999999997</v>
      </c>
      <c r="J16" s="9">
        <v>-1.2</v>
      </c>
      <c r="K16" s="9">
        <v>-4.1257999999999999</v>
      </c>
      <c r="L16" s="9">
        <v>-5.9462000000000002</v>
      </c>
      <c r="M16" s="9">
        <v>-6.1731999999999996</v>
      </c>
      <c r="N16" s="9">
        <v>-4.7462</v>
      </c>
      <c r="O16" s="9">
        <v>-2.0474000000000001</v>
      </c>
    </row>
    <row r="17" spans="3:15" ht="16" thickBot="1" x14ac:dyDescent="0.4">
      <c r="C17" s="2">
        <v>12</v>
      </c>
      <c r="D17" s="8">
        <v>0.39810000000000001</v>
      </c>
      <c r="E17" s="8">
        <v>1.2810999999999999</v>
      </c>
      <c r="F17" s="8">
        <v>1.8209</v>
      </c>
      <c r="G17" s="8">
        <v>1.8728</v>
      </c>
      <c r="H17" s="8">
        <v>1.4228000000000001</v>
      </c>
      <c r="I17" s="8">
        <v>0.59160000000000001</v>
      </c>
      <c r="J17" s="9">
        <v>-1.3075000000000001</v>
      </c>
      <c r="K17" s="9">
        <v>-4.2080000000000002</v>
      </c>
      <c r="L17" s="9">
        <v>-5.9809999999999999</v>
      </c>
      <c r="M17" s="9">
        <v>-6.1513</v>
      </c>
      <c r="N17" s="9">
        <v>-4.6734999999999998</v>
      </c>
      <c r="O17" s="9">
        <v>-1.9433</v>
      </c>
    </row>
    <row r="18" spans="3:15" ht="16" thickBot="1" x14ac:dyDescent="0.4">
      <c r="C18" s="2">
        <v>13</v>
      </c>
      <c r="D18" s="8">
        <v>0.43070000000000003</v>
      </c>
      <c r="E18" s="8">
        <v>1.3058000000000001</v>
      </c>
      <c r="F18" s="8">
        <v>1.8309</v>
      </c>
      <c r="G18" s="8">
        <v>1.8654999999999999</v>
      </c>
      <c r="H18" s="8">
        <v>1.4001999999999999</v>
      </c>
      <c r="I18" s="8">
        <v>0.55979999999999996</v>
      </c>
      <c r="J18" s="9">
        <v>-1.4147000000000001</v>
      </c>
      <c r="K18" s="9">
        <v>-4.2888999999999999</v>
      </c>
      <c r="L18" s="9">
        <v>-6.0140000000000002</v>
      </c>
      <c r="M18" s="9">
        <v>-6.1276000000000002</v>
      </c>
      <c r="N18" s="9">
        <v>-4.5993000000000004</v>
      </c>
      <c r="O18" s="9">
        <v>-1.8387</v>
      </c>
    </row>
    <row r="19" spans="3:15" ht="16" thickBot="1" x14ac:dyDescent="0.4">
      <c r="C19" s="2">
        <v>14</v>
      </c>
      <c r="D19" s="8">
        <v>0.4632</v>
      </c>
      <c r="E19" s="8">
        <v>1.33</v>
      </c>
      <c r="F19" s="8">
        <v>1.8404</v>
      </c>
      <c r="G19" s="8">
        <v>1.8576999999999999</v>
      </c>
      <c r="H19" s="8">
        <v>1.3772</v>
      </c>
      <c r="I19" s="8">
        <v>0.52769999999999995</v>
      </c>
      <c r="J19" s="9">
        <v>-1.5214000000000001</v>
      </c>
      <c r="K19" s="9">
        <v>-4.3685</v>
      </c>
      <c r="L19" s="9">
        <v>-6.0452000000000004</v>
      </c>
      <c r="M19" s="9">
        <v>-6.1020000000000003</v>
      </c>
      <c r="N19" s="9">
        <v>-4.5237999999999996</v>
      </c>
      <c r="O19" s="9">
        <v>-1.7334000000000001</v>
      </c>
    </row>
    <row r="20" spans="3:15" ht="16" thickBot="1" x14ac:dyDescent="0.4">
      <c r="C20" s="2">
        <v>15</v>
      </c>
      <c r="D20" s="8">
        <v>0.4955</v>
      </c>
      <c r="E20" s="8">
        <v>1.3537999999999999</v>
      </c>
      <c r="F20" s="8">
        <v>1.8493999999999999</v>
      </c>
      <c r="G20" s="8">
        <v>1.8493999999999999</v>
      </c>
      <c r="H20" s="8">
        <v>1.3537999999999999</v>
      </c>
      <c r="I20" s="8">
        <v>0.4955</v>
      </c>
      <c r="J20" s="9">
        <v>-1.6276999999999999</v>
      </c>
      <c r="K20" s="9">
        <v>-4.4467999999999996</v>
      </c>
      <c r="L20" s="9">
        <v>-6.0744999999999996</v>
      </c>
      <c r="M20" s="9">
        <v>-6.0744999999999996</v>
      </c>
      <c r="N20" s="9">
        <v>-4.4467999999999996</v>
      </c>
      <c r="O20" s="9">
        <v>-1.6276999999999999</v>
      </c>
    </row>
    <row r="21" spans="3:15" ht="16" thickBot="1" x14ac:dyDescent="0.4">
      <c r="C21" s="2">
        <v>16</v>
      </c>
      <c r="D21" s="8">
        <v>0.52769999999999995</v>
      </c>
      <c r="E21" s="8">
        <v>1.3772</v>
      </c>
      <c r="F21" s="8">
        <v>1.8576999999999999</v>
      </c>
      <c r="G21" s="8">
        <v>1.8404</v>
      </c>
      <c r="H21" s="8">
        <v>1.33</v>
      </c>
      <c r="I21" s="8">
        <v>0.4632</v>
      </c>
      <c r="J21" s="9">
        <v>-1.7334000000000001</v>
      </c>
      <c r="K21" s="9">
        <v>-4.5237999999999996</v>
      </c>
      <c r="L21" s="9">
        <v>-6.1020000000000003</v>
      </c>
      <c r="M21" s="9">
        <v>-6.0452000000000004</v>
      </c>
      <c r="N21" s="9">
        <v>-4.3685</v>
      </c>
      <c r="O21" s="9">
        <v>-1.5214000000000001</v>
      </c>
    </row>
    <row r="22" spans="3:15" ht="16" thickBot="1" x14ac:dyDescent="0.4">
      <c r="C22" s="2">
        <v>17</v>
      </c>
      <c r="D22" s="8">
        <v>0.55979999999999996</v>
      </c>
      <c r="E22" s="8">
        <v>1.4001999999999999</v>
      </c>
      <c r="F22" s="8">
        <v>1.8654999999999999</v>
      </c>
      <c r="G22" s="8">
        <v>1.8309</v>
      </c>
      <c r="H22" s="8">
        <v>1.3058000000000001</v>
      </c>
      <c r="I22" s="8">
        <v>0.43070000000000003</v>
      </c>
      <c r="J22" s="9">
        <v>-1.8387</v>
      </c>
      <c r="K22" s="9">
        <v>-4.5993000000000004</v>
      </c>
      <c r="L22" s="9">
        <v>-6.1276000000000002</v>
      </c>
      <c r="M22" s="9">
        <v>-6.0140000000000002</v>
      </c>
      <c r="N22" s="9">
        <v>-4.2888999999999999</v>
      </c>
      <c r="O22" s="9">
        <v>-1.4147000000000001</v>
      </c>
    </row>
    <row r="23" spans="3:15" ht="16" thickBot="1" x14ac:dyDescent="0.4">
      <c r="C23" s="2">
        <v>18</v>
      </c>
      <c r="D23" s="8">
        <v>0.59160000000000001</v>
      </c>
      <c r="E23" s="8">
        <v>1.4228000000000001</v>
      </c>
      <c r="F23" s="8">
        <v>1.8728</v>
      </c>
      <c r="G23" s="8">
        <v>1.8209</v>
      </c>
      <c r="H23" s="8">
        <v>1.2810999999999999</v>
      </c>
      <c r="I23" s="8">
        <v>0.39810000000000001</v>
      </c>
      <c r="J23" s="9">
        <v>-1.9433</v>
      </c>
      <c r="K23" s="9">
        <v>-4.6734999999999998</v>
      </c>
      <c r="L23" s="9">
        <v>-6.1513</v>
      </c>
      <c r="M23" s="9">
        <v>-5.9809999999999999</v>
      </c>
      <c r="N23" s="9">
        <v>-4.2080000000000002</v>
      </c>
      <c r="O23" s="9">
        <v>-1.3075000000000001</v>
      </c>
    </row>
    <row r="24" spans="3:15" ht="16" thickBot="1" x14ac:dyDescent="0.4">
      <c r="C24" s="2">
        <v>19</v>
      </c>
      <c r="D24" s="8">
        <v>0.62329999999999997</v>
      </c>
      <c r="E24" s="8">
        <v>1.4450000000000001</v>
      </c>
      <c r="F24" s="8">
        <v>1.8794</v>
      </c>
      <c r="G24" s="8">
        <v>1.8103</v>
      </c>
      <c r="H24" s="8">
        <v>1.2561</v>
      </c>
      <c r="I24" s="8">
        <v>0.36530000000000001</v>
      </c>
      <c r="J24" s="9">
        <v>-2.0474000000000001</v>
      </c>
      <c r="K24" s="9">
        <v>-4.7462</v>
      </c>
      <c r="L24" s="9">
        <v>-6.1731999999999996</v>
      </c>
      <c r="M24" s="9">
        <v>-5.9462000000000002</v>
      </c>
      <c r="N24" s="9">
        <v>-4.1257999999999999</v>
      </c>
      <c r="O24" s="9">
        <v>-1.2</v>
      </c>
    </row>
    <row r="25" spans="3:15" ht="16" thickBot="1" x14ac:dyDescent="0.4">
      <c r="C25" s="2">
        <v>20</v>
      </c>
      <c r="D25" s="8">
        <v>0.65480000000000005</v>
      </c>
      <c r="E25" s="8">
        <v>1.4666999999999999</v>
      </c>
      <c r="F25" s="8">
        <v>1.8855</v>
      </c>
      <c r="G25" s="8">
        <v>1.7990999999999999</v>
      </c>
      <c r="H25" s="8">
        <v>1.2306999999999999</v>
      </c>
      <c r="I25" s="8">
        <v>0.33250000000000002</v>
      </c>
      <c r="J25" s="9">
        <v>-2.1509</v>
      </c>
      <c r="K25" s="8">
        <v>-4.8174999999999999</v>
      </c>
      <c r="L25" s="9">
        <v>-6.1932</v>
      </c>
      <c r="M25" s="9">
        <v>-5.9095000000000004</v>
      </c>
      <c r="N25" s="9">
        <v>-4.0423</v>
      </c>
      <c r="O25" s="9">
        <v>-1.0920000000000001</v>
      </c>
    </row>
    <row r="26" spans="3:15" ht="16" thickBot="1" x14ac:dyDescent="0.4">
      <c r="C26" s="2">
        <v>21</v>
      </c>
      <c r="D26" s="8">
        <v>0.68610000000000004</v>
      </c>
      <c r="E26" s="8">
        <v>1.4879</v>
      </c>
      <c r="F26" s="8">
        <v>1.891</v>
      </c>
      <c r="G26" s="8">
        <v>1.7874000000000001</v>
      </c>
      <c r="H26" s="8">
        <v>1.2049000000000001</v>
      </c>
      <c r="I26" s="8">
        <v>0.29949999999999999</v>
      </c>
      <c r="J26" s="9">
        <v>-2.2536999999999998</v>
      </c>
      <c r="K26" s="9">
        <v>-4.8872999999999998</v>
      </c>
      <c r="L26" s="9">
        <v>-6.2112999999999996</v>
      </c>
      <c r="M26" s="9">
        <v>-5.8711000000000002</v>
      </c>
      <c r="N26" s="9">
        <v>-3.9577</v>
      </c>
      <c r="O26" s="9">
        <v>-0.98380000000000001</v>
      </c>
    </row>
    <row r="27" spans="3:15" ht="16" thickBot="1" x14ac:dyDescent="0.4">
      <c r="C27" s="2">
        <v>22</v>
      </c>
      <c r="D27" s="8">
        <v>0.71719999999999995</v>
      </c>
      <c r="E27" s="8">
        <v>1.5086999999999999</v>
      </c>
      <c r="F27" s="8">
        <v>1.8959999999999999</v>
      </c>
      <c r="G27" s="8">
        <v>1.7751999999999999</v>
      </c>
      <c r="H27" s="8">
        <v>1.1787000000000001</v>
      </c>
      <c r="I27" s="8">
        <v>0.26650000000000001</v>
      </c>
      <c r="J27" s="9">
        <v>-2.3557999999999999</v>
      </c>
      <c r="K27" s="9">
        <v>-4.9555999999999996</v>
      </c>
      <c r="L27" s="9">
        <v>-6.2275999999999998</v>
      </c>
      <c r="M27" s="9">
        <v>-5.8308</v>
      </c>
      <c r="N27" s="9">
        <v>-3.8717999999999999</v>
      </c>
      <c r="O27" s="9">
        <v>-0.87519999999999998</v>
      </c>
    </row>
    <row r="28" spans="3:15" ht="16" thickBot="1" x14ac:dyDescent="0.4">
      <c r="C28" s="2">
        <v>23</v>
      </c>
      <c r="D28" s="8">
        <v>0.74809999999999999</v>
      </c>
      <c r="E28" s="8">
        <v>1.5290999999999999</v>
      </c>
      <c r="F28" s="8">
        <v>1.9003000000000001</v>
      </c>
      <c r="G28" s="8">
        <v>1.7624</v>
      </c>
      <c r="H28" s="8">
        <v>1.1521999999999999</v>
      </c>
      <c r="I28" s="8">
        <v>0.23330000000000001</v>
      </c>
      <c r="J28" s="9">
        <v>-2.4571999999999998</v>
      </c>
      <c r="K28" s="9">
        <v>-5.0224000000000002</v>
      </c>
      <c r="L28" s="9">
        <v>-6.2419000000000002</v>
      </c>
      <c r="M28" s="9">
        <v>-5.7888000000000002</v>
      </c>
      <c r="N28" s="9">
        <v>-3.7847</v>
      </c>
      <c r="O28" s="9">
        <v>-0.76639999999999997</v>
      </c>
    </row>
    <row r="29" spans="3:15" ht="16" thickBot="1" x14ac:dyDescent="0.4">
      <c r="C29" s="2">
        <v>24</v>
      </c>
      <c r="D29" s="8">
        <v>0.77869999999999995</v>
      </c>
      <c r="E29" s="8">
        <v>1.5488999999999999</v>
      </c>
      <c r="F29" s="8">
        <v>1.9040999999999999</v>
      </c>
      <c r="G29" s="8">
        <v>1.7491000000000001</v>
      </c>
      <c r="H29" s="8">
        <v>1.1254</v>
      </c>
      <c r="I29" s="8">
        <v>0.2001</v>
      </c>
      <c r="J29" s="9">
        <v>-2.5579000000000001</v>
      </c>
      <c r="K29" s="9">
        <v>-5.0876999999999999</v>
      </c>
      <c r="L29" s="9">
        <v>-6.2542999999999997</v>
      </c>
      <c r="M29" s="9">
        <v>-5.7450999999999999</v>
      </c>
      <c r="N29" s="9">
        <v>-3.6964000000000001</v>
      </c>
      <c r="O29" s="9">
        <v>-0.65739999999999998</v>
      </c>
    </row>
    <row r="30" spans="3:15" ht="16" thickBot="1" x14ac:dyDescent="0.4">
      <c r="C30" s="2">
        <v>25</v>
      </c>
      <c r="D30" s="8">
        <v>0.80910000000000004</v>
      </c>
      <c r="E30" s="8">
        <v>1.5683</v>
      </c>
      <c r="F30" s="8">
        <v>1.9073</v>
      </c>
      <c r="G30" s="8">
        <v>1.7352000000000001</v>
      </c>
      <c r="H30" s="8">
        <v>1.0982000000000001</v>
      </c>
      <c r="I30" s="8">
        <v>0.16689999999999999</v>
      </c>
      <c r="J30" s="9">
        <v>-2.6577999999999999</v>
      </c>
      <c r="K30" s="9">
        <v>-5.1515000000000004</v>
      </c>
      <c r="L30" s="9">
        <v>-6.2648000000000001</v>
      </c>
      <c r="M30" s="9">
        <v>-5.6996000000000002</v>
      </c>
      <c r="N30" s="9">
        <v>-3.6071</v>
      </c>
      <c r="O30" s="9">
        <v>-0.54810000000000003</v>
      </c>
    </row>
    <row r="31" spans="3:15" ht="16" thickBot="1" x14ac:dyDescent="0.4">
      <c r="C31" s="2">
        <v>26</v>
      </c>
      <c r="D31" s="8">
        <v>0.83930000000000005</v>
      </c>
      <c r="E31" s="8">
        <v>1.5872999999999999</v>
      </c>
      <c r="F31" s="8">
        <v>1.9098999999999999</v>
      </c>
      <c r="G31" s="8">
        <v>1.7208000000000001</v>
      </c>
      <c r="H31" s="8">
        <v>1.0706</v>
      </c>
      <c r="I31" s="8">
        <v>0.1336</v>
      </c>
      <c r="J31" s="9">
        <v>-2.7568000000000001</v>
      </c>
      <c r="K31" s="9">
        <v>-5.2135999999999996</v>
      </c>
      <c r="L31" s="9">
        <v>-6.2735000000000003</v>
      </c>
      <c r="M31" s="9">
        <v>-5.6523000000000003</v>
      </c>
      <c r="N31" s="9">
        <v>-3.5165999999999999</v>
      </c>
      <c r="O31" s="9">
        <v>-0.43869999999999998</v>
      </c>
    </row>
    <row r="32" spans="3:15" ht="16" thickBot="1" x14ac:dyDescent="0.4">
      <c r="C32" s="2">
        <v>27</v>
      </c>
      <c r="D32" s="8">
        <v>0.86919999999999997</v>
      </c>
      <c r="E32" s="8">
        <v>1.6056999999999999</v>
      </c>
      <c r="F32" s="8">
        <v>1.9119999999999999</v>
      </c>
      <c r="G32" s="8">
        <v>1.7059</v>
      </c>
      <c r="H32" s="8">
        <v>1.0427999999999999</v>
      </c>
      <c r="I32" s="8">
        <v>0.1002</v>
      </c>
      <c r="J32" s="9">
        <v>-2.855</v>
      </c>
      <c r="K32" s="9">
        <v>-5.2742000000000004</v>
      </c>
      <c r="L32" s="9">
        <v>-6.2801999999999998</v>
      </c>
      <c r="M32" s="9">
        <v>-5.6032999999999999</v>
      </c>
      <c r="N32" s="9">
        <v>-3.4251</v>
      </c>
      <c r="O32" s="9">
        <v>-0.3291</v>
      </c>
    </row>
    <row r="33" spans="3:15" ht="16" thickBot="1" x14ac:dyDescent="0.4">
      <c r="C33" s="2">
        <v>28</v>
      </c>
      <c r="D33" s="8">
        <v>0.89890000000000003</v>
      </c>
      <c r="E33" s="8">
        <v>1.6236999999999999</v>
      </c>
      <c r="F33" s="8">
        <v>1.9134</v>
      </c>
      <c r="G33" s="8">
        <v>1.6904999999999999</v>
      </c>
      <c r="H33" s="8">
        <v>1.0145999999999999</v>
      </c>
      <c r="I33" s="8">
        <v>6.6799999999999998E-2</v>
      </c>
      <c r="J33" s="9">
        <v>-2.9523999999999999</v>
      </c>
      <c r="K33" s="9">
        <v>-5.3331999999999997</v>
      </c>
      <c r="L33" s="9">
        <v>-6.2849000000000004</v>
      </c>
      <c r="M33" s="9">
        <v>-5.5526999999999997</v>
      </c>
      <c r="N33" s="9">
        <v>-3.3325</v>
      </c>
      <c r="O33" s="9">
        <v>-0.2195</v>
      </c>
    </row>
    <row r="34" spans="3:15" ht="16" thickBot="1" x14ac:dyDescent="0.4">
      <c r="C34" s="2">
        <v>29</v>
      </c>
      <c r="D34" s="8">
        <v>0.92820000000000003</v>
      </c>
      <c r="E34" s="8">
        <v>1.6411</v>
      </c>
      <c r="F34" s="8">
        <v>1.9142999999999999</v>
      </c>
      <c r="G34" s="8">
        <v>1.6745000000000001</v>
      </c>
      <c r="H34" s="8">
        <v>0.98609999999999998</v>
      </c>
      <c r="I34" s="8">
        <v>3.3399999999999999E-2</v>
      </c>
      <c r="J34" s="9">
        <v>-3.0489000000000002</v>
      </c>
      <c r="K34" s="9">
        <v>-5.3905000000000003</v>
      </c>
      <c r="L34" s="9">
        <v>-6.2877999999999998</v>
      </c>
      <c r="M34" s="9">
        <v>-5.5003000000000002</v>
      </c>
      <c r="N34" s="9">
        <v>-3.2389999999999999</v>
      </c>
      <c r="O34" s="9">
        <v>-0.10979999999999999</v>
      </c>
    </row>
    <row r="35" spans="3:15" ht="16" thickBot="1" x14ac:dyDescent="0.4">
      <c r="C35" s="2">
        <v>30</v>
      </c>
      <c r="D35" s="8">
        <v>0.95730000000000004</v>
      </c>
      <c r="E35" s="8">
        <v>1.6580999999999999</v>
      </c>
      <c r="F35" s="8">
        <v>1.9146000000000001</v>
      </c>
      <c r="G35" s="8">
        <v>1.6580999999999999</v>
      </c>
      <c r="H35" s="8">
        <v>0.95730000000000004</v>
      </c>
      <c r="I35" s="8">
        <v>0</v>
      </c>
      <c r="J35" s="9">
        <v>-3.1444000000000001</v>
      </c>
      <c r="K35" s="9">
        <v>-5.4462000000000002</v>
      </c>
      <c r="L35" s="9">
        <v>-6.2888000000000002</v>
      </c>
      <c r="M35" s="9">
        <v>-5.4462000000000002</v>
      </c>
      <c r="N35" s="9">
        <v>-3.1444000000000001</v>
      </c>
      <c r="O35" s="9">
        <v>0</v>
      </c>
    </row>
  </sheetData>
  <mergeCells count="1">
    <mergeCell ref="C3:O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D585-14BB-40F9-8FD8-82218C29B7DB}">
  <dimension ref="C2:O35"/>
  <sheetViews>
    <sheetView workbookViewId="0">
      <selection activeCell="B3" sqref="B3:O35"/>
    </sheetView>
  </sheetViews>
  <sheetFormatPr defaultRowHeight="14.5" x14ac:dyDescent="0.35"/>
  <cols>
    <col min="4" max="4" width="9.36328125" customWidth="1"/>
    <col min="5" max="5" width="9.7265625" customWidth="1"/>
    <col min="6" max="7" width="10.1796875" customWidth="1"/>
    <col min="8" max="8" width="10.54296875" customWidth="1"/>
    <col min="9" max="10" width="10.08984375" customWidth="1"/>
    <col min="11" max="11" width="9.81640625" customWidth="1"/>
    <col min="12" max="12" width="9.90625" customWidth="1"/>
    <col min="13" max="13" width="9.26953125" customWidth="1"/>
    <col min="14" max="14" width="9.7265625" customWidth="1"/>
    <col min="15" max="15" width="10" customWidth="1"/>
  </cols>
  <sheetData>
    <row r="2" spans="3:15" ht="15" thickBot="1" x14ac:dyDescent="0.4"/>
    <row r="3" spans="3:15" ht="16" thickBot="1" x14ac:dyDescent="0.4">
      <c r="C3" s="56" t="s">
        <v>229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9"/>
    </row>
    <row r="4" spans="3:15" ht="16" thickBot="1" x14ac:dyDescent="0.4">
      <c r="C4" s="2" t="s">
        <v>0</v>
      </c>
      <c r="D4" s="7">
        <v>0</v>
      </c>
      <c r="E4" s="7">
        <v>30</v>
      </c>
      <c r="F4" s="7">
        <v>60</v>
      </c>
      <c r="G4" s="7">
        <v>90</v>
      </c>
      <c r="H4" s="7">
        <v>120</v>
      </c>
      <c r="I4" s="7">
        <v>150</v>
      </c>
      <c r="J4" s="6">
        <v>180</v>
      </c>
      <c r="K4" s="6">
        <v>210</v>
      </c>
      <c r="L4" s="6">
        <v>240</v>
      </c>
      <c r="M4" s="6">
        <v>270</v>
      </c>
      <c r="N4" s="6">
        <v>300</v>
      </c>
      <c r="O4" s="6">
        <v>330</v>
      </c>
    </row>
    <row r="5" spans="3:15" ht="16" thickBot="1" x14ac:dyDescent="0.4">
      <c r="C5" s="2">
        <v>0</v>
      </c>
      <c r="D5" s="8">
        <v>0</v>
      </c>
      <c r="E5" s="8">
        <v>0.63700000000000001</v>
      </c>
      <c r="F5" s="8">
        <v>1.1032999999999999</v>
      </c>
      <c r="G5" s="8">
        <v>1.274</v>
      </c>
      <c r="H5" s="8">
        <v>1.1032999999999999</v>
      </c>
      <c r="I5" s="8">
        <v>0.63700000000000001</v>
      </c>
      <c r="J5" s="9">
        <v>0</v>
      </c>
      <c r="K5" s="9">
        <v>-0.63700000000000001</v>
      </c>
      <c r="L5" s="9">
        <v>-1.1032999999999999</v>
      </c>
      <c r="M5" s="9">
        <v>-1.274</v>
      </c>
      <c r="N5" s="9">
        <v>-1.1032999999999999</v>
      </c>
      <c r="O5" s="9">
        <v>-0.63700000000000001</v>
      </c>
    </row>
    <row r="6" spans="3:15" ht="16" thickBot="1" x14ac:dyDescent="0.4">
      <c r="C6" s="2">
        <v>1</v>
      </c>
      <c r="D6" s="8">
        <v>2.2200000000000001E-2</v>
      </c>
      <c r="E6" s="8">
        <v>0.65620000000000001</v>
      </c>
      <c r="F6" s="8">
        <v>1.1143000000000001</v>
      </c>
      <c r="G6" s="8">
        <v>1.2738</v>
      </c>
      <c r="H6" s="8">
        <v>1.0921000000000001</v>
      </c>
      <c r="I6" s="8">
        <v>0.61770000000000003</v>
      </c>
      <c r="J6" s="9">
        <v>-2.2200000000000001E-2</v>
      </c>
      <c r="K6" s="9">
        <v>-0.65620000000000001</v>
      </c>
      <c r="L6" s="9">
        <v>-1.1143000000000001</v>
      </c>
      <c r="M6" s="9">
        <v>-1.2738</v>
      </c>
      <c r="N6" s="9">
        <v>-1.0921000000000001</v>
      </c>
      <c r="O6" s="9">
        <v>-0.61770000000000003</v>
      </c>
    </row>
    <row r="7" spans="3:15" ht="16" thickBot="1" x14ac:dyDescent="0.4">
      <c r="C7" s="2">
        <v>2</v>
      </c>
      <c r="D7" s="8">
        <v>4.4499999999999998E-2</v>
      </c>
      <c r="E7" s="8">
        <v>0.67510000000000003</v>
      </c>
      <c r="F7" s="8">
        <v>1.1249</v>
      </c>
      <c r="G7" s="8">
        <v>1.2733000000000001</v>
      </c>
      <c r="H7" s="8">
        <v>1.0804</v>
      </c>
      <c r="I7" s="8">
        <v>0.59809999999999997</v>
      </c>
      <c r="J7" s="9">
        <v>-4.4499999999999998E-2</v>
      </c>
      <c r="K7" s="9">
        <v>-0.67510000000000003</v>
      </c>
      <c r="L7" s="9">
        <v>-1.1249</v>
      </c>
      <c r="M7" s="9">
        <v>-1.2733000000000001</v>
      </c>
      <c r="N7" s="9">
        <v>-1.0804</v>
      </c>
      <c r="O7" s="9">
        <v>-0.59809999999999997</v>
      </c>
    </row>
    <row r="8" spans="3:15" ht="16" thickBot="1" x14ac:dyDescent="0.4">
      <c r="C8" s="2">
        <v>3</v>
      </c>
      <c r="D8" s="8">
        <v>6.6699999999999995E-2</v>
      </c>
      <c r="E8" s="8">
        <v>0.69389999999999996</v>
      </c>
      <c r="F8" s="8">
        <v>1.1352</v>
      </c>
      <c r="G8" s="8">
        <v>1.2723</v>
      </c>
      <c r="H8" s="8">
        <v>1.0685</v>
      </c>
      <c r="I8" s="8">
        <v>0.57840000000000003</v>
      </c>
      <c r="J8" s="9">
        <v>-6.6699999999999995E-2</v>
      </c>
      <c r="K8" s="9">
        <v>-0.69389999999999996</v>
      </c>
      <c r="L8" s="9">
        <v>-1.1352</v>
      </c>
      <c r="M8" s="9">
        <v>-1.2723</v>
      </c>
      <c r="N8" s="9">
        <v>-1.0685</v>
      </c>
      <c r="O8" s="9">
        <v>-0.57840000000000003</v>
      </c>
    </row>
    <row r="9" spans="3:15" ht="16" thickBot="1" x14ac:dyDescent="0.4">
      <c r="C9" s="2">
        <v>4</v>
      </c>
      <c r="D9" s="8">
        <v>8.8900000000000007E-2</v>
      </c>
      <c r="E9" s="8">
        <v>0.71240000000000003</v>
      </c>
      <c r="F9" s="8">
        <v>1.1451</v>
      </c>
      <c r="G9" s="8">
        <v>1.2708999999999999</v>
      </c>
      <c r="H9" s="8">
        <v>1.0562</v>
      </c>
      <c r="I9" s="8">
        <v>0.5585</v>
      </c>
      <c r="J9" s="9">
        <v>-8.8900000000000007E-2</v>
      </c>
      <c r="K9" s="9">
        <v>-0.71240000000000003</v>
      </c>
      <c r="L9" s="9">
        <v>-1.1451</v>
      </c>
      <c r="M9" s="9">
        <v>-1.2708999999999999</v>
      </c>
      <c r="N9" s="9">
        <v>-1.0562</v>
      </c>
      <c r="O9" s="9">
        <v>-0.5585</v>
      </c>
    </row>
    <row r="10" spans="3:15" ht="16" thickBot="1" x14ac:dyDescent="0.4">
      <c r="C10" s="2">
        <v>5</v>
      </c>
      <c r="D10" s="8">
        <v>0.111</v>
      </c>
      <c r="E10" s="8">
        <v>0.73080000000000001</v>
      </c>
      <c r="F10" s="8">
        <v>1.1547000000000001</v>
      </c>
      <c r="G10" s="8">
        <v>1.2692000000000001</v>
      </c>
      <c r="H10" s="8">
        <v>1.0436000000000001</v>
      </c>
      <c r="I10" s="8">
        <v>0.53839999999999999</v>
      </c>
      <c r="J10" s="9">
        <v>-0.111</v>
      </c>
      <c r="K10" s="9">
        <v>-0.73080000000000001</v>
      </c>
      <c r="L10" s="9">
        <v>-1.1547000000000001</v>
      </c>
      <c r="M10" s="9">
        <v>-1.2692000000000001</v>
      </c>
      <c r="N10" s="9">
        <v>-1.0436000000000001</v>
      </c>
      <c r="O10" s="9">
        <v>-0.53839999999999999</v>
      </c>
    </row>
    <row r="11" spans="3:15" ht="16" thickBot="1" x14ac:dyDescent="0.4">
      <c r="C11" s="2">
        <v>6</v>
      </c>
      <c r="D11" s="8">
        <v>0.13320000000000001</v>
      </c>
      <c r="E11" s="8">
        <v>0.74890000000000001</v>
      </c>
      <c r="F11" s="8">
        <v>1.1638999999999999</v>
      </c>
      <c r="G11" s="8">
        <v>1.2669999999999999</v>
      </c>
      <c r="H11" s="8">
        <v>1.0306999999999999</v>
      </c>
      <c r="I11" s="8">
        <v>0.51819999999999999</v>
      </c>
      <c r="J11" s="9">
        <v>-0.13320000000000001</v>
      </c>
      <c r="K11" s="9">
        <v>-0.74890000000000001</v>
      </c>
      <c r="L11" s="9">
        <v>-1.1638999999999999</v>
      </c>
      <c r="M11" s="9">
        <v>-1.2669999999999999</v>
      </c>
      <c r="N11" s="9">
        <v>-1.0306999999999999</v>
      </c>
      <c r="O11" s="9">
        <v>-0.51819999999999999</v>
      </c>
    </row>
    <row r="12" spans="3:15" ht="16" thickBot="1" x14ac:dyDescent="0.4">
      <c r="C12" s="2">
        <v>7</v>
      </c>
      <c r="D12" s="8">
        <v>0.15529999999999999</v>
      </c>
      <c r="E12" s="8">
        <v>0.76670000000000005</v>
      </c>
      <c r="F12" s="8">
        <v>1.1727000000000001</v>
      </c>
      <c r="G12" s="8">
        <v>1.2645</v>
      </c>
      <c r="H12" s="8">
        <v>1.0175000000000001</v>
      </c>
      <c r="I12" s="8">
        <v>0.49780000000000002</v>
      </c>
      <c r="J12" s="9">
        <v>-0.15529999999999999</v>
      </c>
      <c r="K12" s="9">
        <v>-0.76670000000000005</v>
      </c>
      <c r="L12" s="9">
        <v>-1.1727000000000001</v>
      </c>
      <c r="M12" s="9">
        <v>-1.2645</v>
      </c>
      <c r="N12" s="9">
        <v>-1.0175000000000001</v>
      </c>
      <c r="O12" s="9">
        <v>-0.49780000000000002</v>
      </c>
    </row>
    <row r="13" spans="3:15" ht="16" thickBot="1" x14ac:dyDescent="0.4">
      <c r="C13" s="2">
        <v>8</v>
      </c>
      <c r="D13" s="8">
        <v>0.17730000000000001</v>
      </c>
      <c r="E13" s="8">
        <v>0.78439999999999999</v>
      </c>
      <c r="F13" s="8">
        <v>1.1813</v>
      </c>
      <c r="G13" s="8">
        <v>1.2616000000000001</v>
      </c>
      <c r="H13" s="8">
        <v>1.0039</v>
      </c>
      <c r="I13" s="8">
        <v>0.4773</v>
      </c>
      <c r="J13" s="9">
        <v>-0.17730000000000001</v>
      </c>
      <c r="K13" s="9">
        <v>-0.78439999999999999</v>
      </c>
      <c r="L13" s="9">
        <v>-1.1813</v>
      </c>
      <c r="M13" s="9">
        <v>-1.2616000000000001</v>
      </c>
      <c r="N13" s="9">
        <v>-1.0039</v>
      </c>
      <c r="O13" s="9">
        <v>-0.4773</v>
      </c>
    </row>
    <row r="14" spans="3:15" ht="16" thickBot="1" x14ac:dyDescent="0.4">
      <c r="C14" s="2">
        <v>9</v>
      </c>
      <c r="D14" s="8">
        <v>0.1993</v>
      </c>
      <c r="E14" s="8">
        <v>0.80179999999999996</v>
      </c>
      <c r="F14" s="8">
        <v>1.1894</v>
      </c>
      <c r="G14" s="8">
        <v>1.2583</v>
      </c>
      <c r="H14" s="8">
        <v>0.99009999999999998</v>
      </c>
      <c r="I14" s="8">
        <v>0.45660000000000001</v>
      </c>
      <c r="J14" s="9">
        <v>-0.1993</v>
      </c>
      <c r="K14" s="9">
        <v>-0.80179999999999996</v>
      </c>
      <c r="L14" s="9">
        <v>-1.1894</v>
      </c>
      <c r="M14" s="9">
        <v>-1.2583</v>
      </c>
      <c r="N14" s="9">
        <v>-0.99009999999999998</v>
      </c>
      <c r="O14" s="9">
        <v>-0.45660000000000001</v>
      </c>
    </row>
    <row r="15" spans="3:15" ht="16" thickBot="1" x14ac:dyDescent="0.4">
      <c r="C15" s="2">
        <v>10</v>
      </c>
      <c r="D15" s="8">
        <v>0.22120000000000001</v>
      </c>
      <c r="E15" s="8">
        <v>0.81889999999999996</v>
      </c>
      <c r="F15" s="8">
        <v>1.1972</v>
      </c>
      <c r="G15" s="8">
        <v>1.2546999999999999</v>
      </c>
      <c r="H15" s="8">
        <v>0.97599999999999998</v>
      </c>
      <c r="I15" s="8">
        <v>0.43569999999999998</v>
      </c>
      <c r="J15" s="9">
        <v>-0.22120000000000001</v>
      </c>
      <c r="K15" s="9">
        <v>-0.81889999999999996</v>
      </c>
      <c r="L15" s="9">
        <v>-1.1972</v>
      </c>
      <c r="M15" s="9">
        <v>-1.2546999999999999</v>
      </c>
      <c r="N15" s="9">
        <v>-0.97599999999999998</v>
      </c>
      <c r="O15" s="9">
        <v>-0.43569999999999998</v>
      </c>
    </row>
    <row r="16" spans="3:15" ht="16" thickBot="1" x14ac:dyDescent="0.4">
      <c r="C16" s="2">
        <v>11</v>
      </c>
      <c r="D16" s="8">
        <v>0.24310000000000001</v>
      </c>
      <c r="E16" s="8">
        <v>0.83579999999999999</v>
      </c>
      <c r="F16" s="8">
        <v>1.2045999999999999</v>
      </c>
      <c r="G16" s="8">
        <v>1.2505999999999999</v>
      </c>
      <c r="H16" s="8">
        <v>0.96150000000000002</v>
      </c>
      <c r="I16" s="8">
        <v>0.4148</v>
      </c>
      <c r="J16" s="9">
        <v>-0.24310000000000001</v>
      </c>
      <c r="K16" s="9">
        <v>-0.83579999999999999</v>
      </c>
      <c r="L16" s="9">
        <v>-1.2045999999999999</v>
      </c>
      <c r="M16" s="9">
        <v>-1.2505999999999999</v>
      </c>
      <c r="N16" s="9">
        <v>-0.96150000000000002</v>
      </c>
      <c r="O16" s="9">
        <v>-0.4148</v>
      </c>
    </row>
    <row r="17" spans="3:15" ht="16" thickBot="1" x14ac:dyDescent="0.4">
      <c r="C17" s="2">
        <v>12</v>
      </c>
      <c r="D17" s="8">
        <v>0.26490000000000002</v>
      </c>
      <c r="E17" s="8">
        <v>0.85250000000000004</v>
      </c>
      <c r="F17" s="8">
        <v>1.2117</v>
      </c>
      <c r="G17" s="8">
        <v>1.2462</v>
      </c>
      <c r="H17" s="8">
        <v>0.94679999999999997</v>
      </c>
      <c r="I17" s="8">
        <v>0.39369999999999999</v>
      </c>
      <c r="J17" s="9">
        <v>-0.26490000000000002</v>
      </c>
      <c r="K17" s="9">
        <v>-0.85250000000000004</v>
      </c>
      <c r="L17" s="9">
        <v>-1.2117</v>
      </c>
      <c r="M17" s="9">
        <v>-1.2462</v>
      </c>
      <c r="N17" s="9">
        <v>-0.94679999999999997</v>
      </c>
      <c r="O17" s="9">
        <v>-0.39369999999999999</v>
      </c>
    </row>
    <row r="18" spans="3:15" ht="16" thickBot="1" x14ac:dyDescent="0.4">
      <c r="C18" s="2">
        <v>13</v>
      </c>
      <c r="D18" s="8">
        <v>0.28660000000000002</v>
      </c>
      <c r="E18" s="8">
        <v>0.86890000000000001</v>
      </c>
      <c r="F18" s="8">
        <v>1.2183999999999999</v>
      </c>
      <c r="G18" s="8">
        <v>1.2414000000000001</v>
      </c>
      <c r="H18" s="8">
        <v>0.93179999999999996</v>
      </c>
      <c r="I18" s="8">
        <v>0.3725</v>
      </c>
      <c r="J18" s="9">
        <v>-0.28660000000000002</v>
      </c>
      <c r="K18" s="9">
        <v>-0.86890000000000001</v>
      </c>
      <c r="L18" s="9">
        <v>-1.2183999999999999</v>
      </c>
      <c r="M18" s="9">
        <v>-1.2414000000000001</v>
      </c>
      <c r="N18" s="9">
        <v>-0.93179999999999996</v>
      </c>
      <c r="O18" s="9">
        <v>-0.3725</v>
      </c>
    </row>
    <row r="19" spans="3:15" ht="16" thickBot="1" x14ac:dyDescent="0.4">
      <c r="C19" s="2">
        <v>14</v>
      </c>
      <c r="D19" s="8">
        <v>0.30819999999999997</v>
      </c>
      <c r="E19" s="8">
        <v>0.88500000000000001</v>
      </c>
      <c r="F19" s="8">
        <v>1.2246999999999999</v>
      </c>
      <c r="G19" s="8">
        <v>1.2362</v>
      </c>
      <c r="H19" s="8">
        <v>0.91649999999999998</v>
      </c>
      <c r="I19" s="8">
        <v>0.35120000000000001</v>
      </c>
      <c r="J19" s="9">
        <v>-0.30819999999999997</v>
      </c>
      <c r="K19" s="9">
        <v>-0.88500000000000001</v>
      </c>
      <c r="L19" s="9">
        <v>-1.2246999999999999</v>
      </c>
      <c r="M19" s="9">
        <v>-1.2362</v>
      </c>
      <c r="N19" s="9">
        <v>-0.91649999999999998</v>
      </c>
      <c r="O19" s="9">
        <v>-0.35120000000000001</v>
      </c>
    </row>
    <row r="20" spans="3:15" ht="16" thickBot="1" x14ac:dyDescent="0.4">
      <c r="C20" s="2">
        <v>15</v>
      </c>
      <c r="D20" s="8">
        <v>0.32969999999999999</v>
      </c>
      <c r="E20" s="8">
        <v>0.90090000000000003</v>
      </c>
      <c r="F20" s="8">
        <v>1.2305999999999999</v>
      </c>
      <c r="G20" s="8">
        <v>1.2305999999999999</v>
      </c>
      <c r="H20" s="8">
        <v>0.90090000000000003</v>
      </c>
      <c r="I20" s="8">
        <v>0.32969999999999999</v>
      </c>
      <c r="J20" s="9">
        <v>-0.32969999999999999</v>
      </c>
      <c r="K20" s="9">
        <v>-0.90090000000000003</v>
      </c>
      <c r="L20" s="9">
        <v>-1.2305999999999999</v>
      </c>
      <c r="M20" s="9">
        <v>-1.2305999999999999</v>
      </c>
      <c r="N20" s="9">
        <v>-0.90090000000000003</v>
      </c>
      <c r="O20" s="9">
        <v>-0.32969999999999999</v>
      </c>
    </row>
    <row r="21" spans="3:15" ht="16" thickBot="1" x14ac:dyDescent="0.4">
      <c r="C21" s="2">
        <v>16</v>
      </c>
      <c r="D21" s="8">
        <v>0.35120000000000001</v>
      </c>
      <c r="E21" s="8">
        <v>0.91649999999999998</v>
      </c>
      <c r="F21" s="8">
        <v>1.2362</v>
      </c>
      <c r="G21" s="8">
        <v>1.2246999999999999</v>
      </c>
      <c r="H21" s="8">
        <v>0.88500000000000001</v>
      </c>
      <c r="I21" s="8">
        <v>0.30819999999999997</v>
      </c>
      <c r="J21" s="9">
        <v>-0.35120000000000001</v>
      </c>
      <c r="K21" s="9">
        <v>-0.91649999999999998</v>
      </c>
      <c r="L21" s="9">
        <v>-1.2362</v>
      </c>
      <c r="M21" s="9">
        <v>-1.2246999999999999</v>
      </c>
      <c r="N21" s="9">
        <v>-0.88500000000000001</v>
      </c>
      <c r="O21" s="9">
        <v>-0.30819999999999997</v>
      </c>
    </row>
    <row r="22" spans="3:15" ht="16" thickBot="1" x14ac:dyDescent="0.4">
      <c r="C22" s="2">
        <v>17</v>
      </c>
      <c r="D22" s="8">
        <v>0.3725</v>
      </c>
      <c r="E22" s="8">
        <v>0.93179999999999996</v>
      </c>
      <c r="F22" s="8">
        <v>1.2414000000000001</v>
      </c>
      <c r="G22" s="8">
        <v>1.2183999999999999</v>
      </c>
      <c r="H22" s="8">
        <v>0.86890000000000001</v>
      </c>
      <c r="I22" s="8">
        <v>0.28660000000000002</v>
      </c>
      <c r="J22" s="9">
        <v>-0.3725</v>
      </c>
      <c r="K22" s="9">
        <v>-0.93179999999999996</v>
      </c>
      <c r="L22" s="9">
        <v>-1.2414000000000001</v>
      </c>
      <c r="M22" s="9">
        <v>-1.2183999999999999</v>
      </c>
      <c r="N22" s="9">
        <v>-0.86890000000000001</v>
      </c>
      <c r="O22" s="9">
        <v>-0.28660000000000002</v>
      </c>
    </row>
    <row r="23" spans="3:15" ht="16" thickBot="1" x14ac:dyDescent="0.4">
      <c r="C23" s="2">
        <v>18</v>
      </c>
      <c r="D23" s="8">
        <v>0.39369999999999999</v>
      </c>
      <c r="E23" s="8">
        <v>0.94679999999999997</v>
      </c>
      <c r="F23" s="8">
        <v>1.2462</v>
      </c>
      <c r="G23" s="8">
        <v>1.2117</v>
      </c>
      <c r="H23" s="8">
        <v>0.85250000000000004</v>
      </c>
      <c r="I23" s="8">
        <v>0.26490000000000002</v>
      </c>
      <c r="J23" s="9">
        <v>-0.39369999999999999</v>
      </c>
      <c r="K23" s="9">
        <v>-0.94679999999999997</v>
      </c>
      <c r="L23" s="9">
        <v>-1.2462</v>
      </c>
      <c r="M23" s="9">
        <v>-1.2117</v>
      </c>
      <c r="N23" s="9">
        <v>-0.85250000000000004</v>
      </c>
      <c r="O23" s="9">
        <v>-0.26490000000000002</v>
      </c>
    </row>
    <row r="24" spans="3:15" ht="16" thickBot="1" x14ac:dyDescent="0.4">
      <c r="C24" s="2">
        <v>19</v>
      </c>
      <c r="D24" s="8">
        <v>0.4148</v>
      </c>
      <c r="E24" s="8">
        <v>0.96150000000000002</v>
      </c>
      <c r="F24" s="8">
        <v>1.2505999999999999</v>
      </c>
      <c r="G24" s="8">
        <v>1.2045999999999999</v>
      </c>
      <c r="H24" s="8">
        <v>0.83579999999999999</v>
      </c>
      <c r="I24" s="8">
        <v>0.24310000000000001</v>
      </c>
      <c r="J24" s="9">
        <v>-0.4148</v>
      </c>
      <c r="K24" s="9">
        <v>-0.96150000000000002</v>
      </c>
      <c r="L24" s="9">
        <v>-1.2505999999999999</v>
      </c>
      <c r="M24" s="9">
        <v>-1.2045999999999999</v>
      </c>
      <c r="N24" s="9">
        <v>-0.83579999999999999</v>
      </c>
      <c r="O24" s="9">
        <v>-0.24310000000000001</v>
      </c>
    </row>
    <row r="25" spans="3:15" ht="16" thickBot="1" x14ac:dyDescent="0.4">
      <c r="C25" s="2">
        <v>20</v>
      </c>
      <c r="D25" s="8">
        <v>0.43569999999999998</v>
      </c>
      <c r="E25" s="8">
        <v>0.97599999999999998</v>
      </c>
      <c r="F25" s="8">
        <v>1.2546999999999999</v>
      </c>
      <c r="G25" s="8">
        <v>1.1972</v>
      </c>
      <c r="H25" s="8">
        <v>0.81889999999999996</v>
      </c>
      <c r="I25" s="8">
        <v>0.22120000000000001</v>
      </c>
      <c r="J25" s="9">
        <v>-0.43569999999999998</v>
      </c>
      <c r="K25" s="8">
        <v>-0.97599999999999998</v>
      </c>
      <c r="L25" s="9">
        <v>-1.2546999999999999</v>
      </c>
      <c r="M25" s="9">
        <v>-1.1972</v>
      </c>
      <c r="N25" s="9">
        <v>-0.81889999999999996</v>
      </c>
      <c r="O25" s="9">
        <v>-0.22120000000000001</v>
      </c>
    </row>
    <row r="26" spans="3:15" ht="16" thickBot="1" x14ac:dyDescent="0.4">
      <c r="C26" s="2">
        <v>21</v>
      </c>
      <c r="D26" s="8">
        <v>0.45660000000000001</v>
      </c>
      <c r="E26" s="8">
        <v>0.99009999999999998</v>
      </c>
      <c r="F26" s="8">
        <v>1.2583</v>
      </c>
      <c r="G26" s="8">
        <v>1.1894</v>
      </c>
      <c r="H26" s="8">
        <v>0.80179999999999996</v>
      </c>
      <c r="I26" s="8">
        <v>0.1993</v>
      </c>
      <c r="J26" s="9">
        <v>-0.45660000000000001</v>
      </c>
      <c r="K26" s="9">
        <v>-0.99009999999999998</v>
      </c>
      <c r="L26" s="9">
        <v>-1.2583</v>
      </c>
      <c r="M26" s="9">
        <v>-1.1894</v>
      </c>
      <c r="N26" s="9">
        <v>-0.80179999999999996</v>
      </c>
      <c r="O26" s="9">
        <v>-0.1993</v>
      </c>
    </row>
    <row r="27" spans="3:15" ht="16" thickBot="1" x14ac:dyDescent="0.4">
      <c r="C27" s="2">
        <v>22</v>
      </c>
      <c r="D27" s="8">
        <v>0.4773</v>
      </c>
      <c r="E27" s="8">
        <v>1.0039</v>
      </c>
      <c r="F27" s="8">
        <v>1.2616000000000001</v>
      </c>
      <c r="G27" s="8">
        <v>1.1813</v>
      </c>
      <c r="H27" s="8">
        <v>0.78439999999999999</v>
      </c>
      <c r="I27" s="8">
        <v>0.17730000000000001</v>
      </c>
      <c r="J27" s="9">
        <v>-0.4773</v>
      </c>
      <c r="K27" s="9">
        <v>-1.0039</v>
      </c>
      <c r="L27" s="9">
        <v>-1.2616000000000001</v>
      </c>
      <c r="M27" s="9">
        <v>-1.1813</v>
      </c>
      <c r="N27" s="9">
        <v>-0.78439999999999999</v>
      </c>
      <c r="O27" s="9">
        <v>-0.17730000000000001</v>
      </c>
    </row>
    <row r="28" spans="3:15" ht="16" thickBot="1" x14ac:dyDescent="0.4">
      <c r="C28" s="2">
        <v>23</v>
      </c>
      <c r="D28" s="8">
        <v>0.49780000000000002</v>
      </c>
      <c r="E28" s="8">
        <v>1.0175000000000001</v>
      </c>
      <c r="F28" s="8">
        <v>1.2645</v>
      </c>
      <c r="G28" s="8">
        <v>1.1727000000000001</v>
      </c>
      <c r="H28" s="8">
        <v>0.76670000000000005</v>
      </c>
      <c r="I28" s="8">
        <v>0.15529999999999999</v>
      </c>
      <c r="J28" s="9">
        <v>-0.49780000000000002</v>
      </c>
      <c r="K28" s="9">
        <v>-1.0175000000000001</v>
      </c>
      <c r="L28" s="9">
        <v>-1.2645</v>
      </c>
      <c r="M28" s="9">
        <v>-1.1727000000000001</v>
      </c>
      <c r="N28" s="9">
        <v>-0.76670000000000005</v>
      </c>
      <c r="O28" s="9">
        <v>-0.15529999999999999</v>
      </c>
    </row>
    <row r="29" spans="3:15" ht="16" thickBot="1" x14ac:dyDescent="0.4">
      <c r="C29" s="2">
        <v>24</v>
      </c>
      <c r="D29" s="8">
        <v>0.51819999999999999</v>
      </c>
      <c r="E29" s="8">
        <v>1.0306999999999999</v>
      </c>
      <c r="F29" s="8">
        <v>1.2669999999999999</v>
      </c>
      <c r="G29" s="8">
        <v>1.1638999999999999</v>
      </c>
      <c r="H29" s="8">
        <v>0.74890000000000001</v>
      </c>
      <c r="I29" s="8">
        <v>0.13320000000000001</v>
      </c>
      <c r="J29" s="9">
        <v>-0.51819999999999999</v>
      </c>
      <c r="K29" s="9">
        <v>-1.0306999999999999</v>
      </c>
      <c r="L29" s="9">
        <v>-1.2669999999999999</v>
      </c>
      <c r="M29" s="9">
        <v>-1.1638999999999999</v>
      </c>
      <c r="N29" s="9">
        <v>-0.74890000000000001</v>
      </c>
      <c r="O29" s="9">
        <v>-0.13320000000000001</v>
      </c>
    </row>
    <row r="30" spans="3:15" ht="16" thickBot="1" x14ac:dyDescent="0.4">
      <c r="C30" s="2">
        <v>25</v>
      </c>
      <c r="D30" s="8">
        <v>0.53839999999999999</v>
      </c>
      <c r="E30" s="8">
        <v>1.0436000000000001</v>
      </c>
      <c r="F30" s="8">
        <v>1.2692000000000001</v>
      </c>
      <c r="G30" s="8">
        <v>1.1547000000000001</v>
      </c>
      <c r="H30" s="8">
        <v>0.73080000000000001</v>
      </c>
      <c r="I30" s="8">
        <v>0.111</v>
      </c>
      <c r="J30" s="9">
        <v>-0.53839999999999999</v>
      </c>
      <c r="K30" s="9">
        <v>-1.0436000000000001</v>
      </c>
      <c r="L30" s="9">
        <v>-1.2692000000000001</v>
      </c>
      <c r="M30" s="9">
        <v>-1.1547000000000001</v>
      </c>
      <c r="N30" s="9">
        <v>-0.73080000000000001</v>
      </c>
      <c r="O30" s="9">
        <v>-0.111</v>
      </c>
    </row>
    <row r="31" spans="3:15" ht="16" thickBot="1" x14ac:dyDescent="0.4">
      <c r="C31" s="2">
        <v>26</v>
      </c>
      <c r="D31" s="8">
        <v>0.5585</v>
      </c>
      <c r="E31" s="8">
        <v>1.0562</v>
      </c>
      <c r="F31" s="8">
        <v>1.2708999999999999</v>
      </c>
      <c r="G31" s="8">
        <v>1.1451</v>
      </c>
      <c r="H31" s="8">
        <v>0.71240000000000003</v>
      </c>
      <c r="I31" s="8">
        <v>8.8900000000000007E-2</v>
      </c>
      <c r="J31" s="9">
        <v>-0.5585</v>
      </c>
      <c r="K31" s="9">
        <v>-1.0562</v>
      </c>
      <c r="L31" s="9">
        <v>-1.2708999999999999</v>
      </c>
      <c r="M31" s="9">
        <v>-1.1451</v>
      </c>
      <c r="N31" s="9">
        <v>-0.71240000000000003</v>
      </c>
      <c r="O31" s="9">
        <v>-8.8900000000000007E-2</v>
      </c>
    </row>
    <row r="32" spans="3:15" ht="16" thickBot="1" x14ac:dyDescent="0.4">
      <c r="C32" s="2">
        <v>27</v>
      </c>
      <c r="D32" s="8">
        <v>0.57840000000000003</v>
      </c>
      <c r="E32" s="8">
        <v>1.0685</v>
      </c>
      <c r="F32" s="8">
        <v>1.2723</v>
      </c>
      <c r="G32" s="8">
        <v>1.1352</v>
      </c>
      <c r="H32" s="8">
        <v>0.69389999999999996</v>
      </c>
      <c r="I32" s="8">
        <v>6.6699999999999995E-2</v>
      </c>
      <c r="J32" s="9">
        <v>-0.57840000000000003</v>
      </c>
      <c r="K32" s="9">
        <v>-1.0685</v>
      </c>
      <c r="L32" s="9">
        <v>-1.2723</v>
      </c>
      <c r="M32" s="9">
        <v>-1.1352</v>
      </c>
      <c r="N32" s="9">
        <v>-0.69389999999999996</v>
      </c>
      <c r="O32" s="9">
        <v>-6.6699999999999995E-2</v>
      </c>
    </row>
    <row r="33" spans="3:15" ht="16" thickBot="1" x14ac:dyDescent="0.4">
      <c r="C33" s="2">
        <v>28</v>
      </c>
      <c r="D33" s="8">
        <v>0.59809999999999997</v>
      </c>
      <c r="E33" s="8">
        <v>1.0804</v>
      </c>
      <c r="F33" s="8">
        <v>1.2733000000000001</v>
      </c>
      <c r="G33" s="8">
        <v>1.1249</v>
      </c>
      <c r="H33" s="8">
        <v>0.67510000000000003</v>
      </c>
      <c r="I33" s="8">
        <v>4.4499999999999998E-2</v>
      </c>
      <c r="J33" s="9">
        <v>-0.59809999999999997</v>
      </c>
      <c r="K33" s="9">
        <v>-1.0804</v>
      </c>
      <c r="L33" s="9">
        <v>-1.2733000000000001</v>
      </c>
      <c r="M33" s="9">
        <v>-1.1249</v>
      </c>
      <c r="N33" s="9">
        <v>-0.67510000000000003</v>
      </c>
      <c r="O33" s="9">
        <v>-4.4499999999999998E-2</v>
      </c>
    </row>
    <row r="34" spans="3:15" ht="16" thickBot="1" x14ac:dyDescent="0.4">
      <c r="C34" s="2">
        <v>29</v>
      </c>
      <c r="D34" s="8">
        <v>0.61770000000000003</v>
      </c>
      <c r="E34" s="8">
        <v>1.0921000000000001</v>
      </c>
      <c r="F34" s="8">
        <v>1.2738</v>
      </c>
      <c r="G34" s="8">
        <v>1.1143000000000001</v>
      </c>
      <c r="H34" s="8">
        <v>0.65620000000000001</v>
      </c>
      <c r="I34" s="8">
        <v>2.2200000000000001E-2</v>
      </c>
      <c r="J34" s="9">
        <v>-0.61770000000000003</v>
      </c>
      <c r="K34" s="9">
        <v>-1.0921000000000001</v>
      </c>
      <c r="L34" s="9">
        <v>-1.2738</v>
      </c>
      <c r="M34" s="9">
        <v>-1.1143000000000001</v>
      </c>
      <c r="N34" s="9">
        <v>-0.65620000000000001</v>
      </c>
      <c r="O34" s="9">
        <v>-2.2200000000000001E-2</v>
      </c>
    </row>
    <row r="35" spans="3:15" ht="16" thickBot="1" x14ac:dyDescent="0.4">
      <c r="C35" s="2">
        <v>30</v>
      </c>
      <c r="D35" s="8">
        <v>0.63700000000000001</v>
      </c>
      <c r="E35" s="8">
        <v>1.1032999999999999</v>
      </c>
      <c r="F35" s="8">
        <v>1.274</v>
      </c>
      <c r="G35" s="8">
        <v>1.1032999999999999</v>
      </c>
      <c r="H35" s="8">
        <v>0.63700000000000001</v>
      </c>
      <c r="I35" s="8">
        <v>0</v>
      </c>
      <c r="J35" s="9">
        <v>-0.63700000000000001</v>
      </c>
      <c r="K35" s="9">
        <v>-1.1032999999999999</v>
      </c>
      <c r="L35" s="9">
        <v>-1.274</v>
      </c>
      <c r="M35" s="9">
        <v>-1.1032999999999999</v>
      </c>
      <c r="N35" s="9">
        <v>-0.63700000000000001</v>
      </c>
      <c r="O35" s="9">
        <v>0</v>
      </c>
    </row>
  </sheetData>
  <mergeCells count="1">
    <mergeCell ref="C3:O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2BAA-C1FD-4246-9198-9E7B29A7309F}">
  <dimension ref="C2:O35"/>
  <sheetViews>
    <sheetView workbookViewId="0">
      <selection activeCell="B3" sqref="B3:O35"/>
    </sheetView>
  </sheetViews>
  <sheetFormatPr defaultRowHeight="14.5" x14ac:dyDescent="0.35"/>
  <cols>
    <col min="15" max="15" width="9.453125" customWidth="1"/>
  </cols>
  <sheetData>
    <row r="2" spans="3:15" ht="15" thickBot="1" x14ac:dyDescent="0.4"/>
    <row r="3" spans="3:15" ht="16" thickBot="1" x14ac:dyDescent="0.4">
      <c r="C3" s="56" t="s">
        <v>230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9"/>
    </row>
    <row r="4" spans="3:15" ht="16" thickBot="1" x14ac:dyDescent="0.4">
      <c r="C4" s="2" t="s">
        <v>0</v>
      </c>
      <c r="D4" s="7">
        <v>0</v>
      </c>
      <c r="E4" s="7">
        <v>30</v>
      </c>
      <c r="F4" s="7">
        <v>60</v>
      </c>
      <c r="G4" s="7">
        <v>90</v>
      </c>
      <c r="H4" s="7">
        <v>120</v>
      </c>
      <c r="I4" s="7">
        <v>150</v>
      </c>
      <c r="J4" s="6">
        <v>180</v>
      </c>
      <c r="K4" s="6">
        <v>210</v>
      </c>
      <c r="L4" s="6">
        <v>240</v>
      </c>
      <c r="M4" s="6">
        <v>270</v>
      </c>
      <c r="N4" s="6">
        <v>300</v>
      </c>
      <c r="O4" s="6">
        <v>330</v>
      </c>
    </row>
    <row r="5" spans="3:15" ht="16" thickBot="1" x14ac:dyDescent="0.4">
      <c r="C5" s="2">
        <v>0</v>
      </c>
      <c r="D5" s="8">
        <v>0</v>
      </c>
      <c r="E5" s="8">
        <v>0.32919999999999999</v>
      </c>
      <c r="F5" s="8">
        <v>0.57010000000000005</v>
      </c>
      <c r="G5" s="8">
        <v>0.6583</v>
      </c>
      <c r="H5" s="8">
        <v>0.57010000000000005</v>
      </c>
      <c r="I5" s="8">
        <v>0.32919999999999999</v>
      </c>
      <c r="J5" s="9">
        <v>0</v>
      </c>
      <c r="K5" s="9">
        <v>-0.32919999999999999</v>
      </c>
      <c r="L5" s="9">
        <v>-0.57010000000000005</v>
      </c>
      <c r="M5" s="9">
        <v>-0.6583</v>
      </c>
      <c r="N5" s="9">
        <v>-0.57010000000000005</v>
      </c>
      <c r="O5" s="9">
        <v>-0.32919999999999999</v>
      </c>
    </row>
    <row r="6" spans="3:15" ht="16" thickBot="1" x14ac:dyDescent="0.4">
      <c r="C6" s="2">
        <v>1</v>
      </c>
      <c r="D6" s="8">
        <v>1.15E-2</v>
      </c>
      <c r="E6" s="8">
        <v>0.33910000000000001</v>
      </c>
      <c r="F6" s="8">
        <v>0.57579999999999998</v>
      </c>
      <c r="G6" s="8">
        <v>0.65820000000000001</v>
      </c>
      <c r="H6" s="8">
        <v>0.56430000000000002</v>
      </c>
      <c r="I6" s="8">
        <v>0.31919999999999998</v>
      </c>
      <c r="J6" s="9">
        <v>-1.15E-2</v>
      </c>
      <c r="K6" s="9">
        <v>-0.33910000000000001</v>
      </c>
      <c r="L6" s="9">
        <v>-0.57579999999999998</v>
      </c>
      <c r="M6" s="9">
        <v>-0.65820000000000001</v>
      </c>
      <c r="N6" s="9">
        <v>-0.56430000000000002</v>
      </c>
      <c r="O6" s="9">
        <v>-0.31919999999999998</v>
      </c>
    </row>
    <row r="7" spans="3:15" ht="16" thickBot="1" x14ac:dyDescent="0.4">
      <c r="C7" s="2">
        <v>2</v>
      </c>
      <c r="D7" s="8">
        <v>2.3E-2</v>
      </c>
      <c r="E7" s="8">
        <v>0.34889999999999999</v>
      </c>
      <c r="F7" s="8">
        <v>0.58130000000000004</v>
      </c>
      <c r="G7" s="8">
        <v>0.65790000000000004</v>
      </c>
      <c r="H7" s="8">
        <v>0.55830000000000002</v>
      </c>
      <c r="I7" s="8">
        <v>0.30909999999999999</v>
      </c>
      <c r="J7" s="9">
        <v>-2.3E-2</v>
      </c>
      <c r="K7" s="9">
        <v>-0.34889999999999999</v>
      </c>
      <c r="L7" s="9">
        <v>-0.58130000000000004</v>
      </c>
      <c r="M7" s="9">
        <v>-0.65790000000000004</v>
      </c>
      <c r="N7" s="9">
        <v>-0.55830000000000002</v>
      </c>
      <c r="O7" s="9">
        <v>-0.30909999999999999</v>
      </c>
    </row>
    <row r="8" spans="3:15" ht="16" thickBot="1" x14ac:dyDescent="0.4">
      <c r="C8" s="2">
        <v>3</v>
      </c>
      <c r="D8" s="8">
        <v>3.4500000000000003E-2</v>
      </c>
      <c r="E8" s="8">
        <v>0.35849999999999999</v>
      </c>
      <c r="F8" s="8">
        <v>0.58660000000000001</v>
      </c>
      <c r="G8" s="8">
        <v>0.65739999999999998</v>
      </c>
      <c r="H8" s="8">
        <v>0.55210000000000004</v>
      </c>
      <c r="I8" s="8">
        <v>0.2989</v>
      </c>
      <c r="J8" s="9">
        <v>-3.4500000000000003E-2</v>
      </c>
      <c r="K8" s="9">
        <v>-0.35849999999999999</v>
      </c>
      <c r="L8" s="9">
        <v>-0.58660000000000001</v>
      </c>
      <c r="M8" s="9">
        <v>-0.65739999999999998</v>
      </c>
      <c r="N8" s="9">
        <v>-0.55210000000000004</v>
      </c>
      <c r="O8" s="9">
        <v>-0.2989</v>
      </c>
    </row>
    <row r="9" spans="3:15" ht="16" thickBot="1" x14ac:dyDescent="0.4">
      <c r="C9" s="2">
        <v>4</v>
      </c>
      <c r="D9" s="8">
        <v>4.5900000000000003E-2</v>
      </c>
      <c r="E9" s="8">
        <v>0.36809999999999998</v>
      </c>
      <c r="F9" s="8">
        <v>0.5917</v>
      </c>
      <c r="G9" s="8">
        <v>0.65669999999999995</v>
      </c>
      <c r="H9" s="8">
        <v>0.54579999999999995</v>
      </c>
      <c r="I9" s="8">
        <v>0.28860000000000002</v>
      </c>
      <c r="J9" s="9">
        <v>-4.5900000000000003E-2</v>
      </c>
      <c r="K9" s="9">
        <v>-0.36809999999999998</v>
      </c>
      <c r="L9" s="9">
        <v>-0.5917</v>
      </c>
      <c r="M9" s="9">
        <v>-0.65669999999999995</v>
      </c>
      <c r="N9" s="9">
        <v>-0.54579999999999995</v>
      </c>
      <c r="O9" s="9">
        <v>-0.28860000000000002</v>
      </c>
    </row>
    <row r="10" spans="3:15" ht="16" thickBot="1" x14ac:dyDescent="0.4">
      <c r="C10" s="2">
        <v>5</v>
      </c>
      <c r="D10" s="8">
        <v>5.74E-2</v>
      </c>
      <c r="E10" s="8">
        <v>0.37759999999999999</v>
      </c>
      <c r="F10" s="8">
        <v>0.59660000000000002</v>
      </c>
      <c r="G10" s="8">
        <v>0.65580000000000005</v>
      </c>
      <c r="H10" s="8">
        <v>0.5393</v>
      </c>
      <c r="I10" s="8">
        <v>0.2782</v>
      </c>
      <c r="J10" s="9">
        <v>-5.74E-2</v>
      </c>
      <c r="K10" s="9">
        <v>-0.37759999999999999</v>
      </c>
      <c r="L10" s="9">
        <v>-0.59660000000000002</v>
      </c>
      <c r="M10" s="9">
        <v>-0.65580000000000005</v>
      </c>
      <c r="N10" s="9">
        <v>-0.5393</v>
      </c>
      <c r="O10" s="9">
        <v>-0.2782</v>
      </c>
    </row>
    <row r="11" spans="3:15" ht="16" thickBot="1" x14ac:dyDescent="0.4">
      <c r="C11" s="2">
        <v>6</v>
      </c>
      <c r="D11" s="8">
        <v>6.88E-2</v>
      </c>
      <c r="E11" s="8">
        <v>0.38690000000000002</v>
      </c>
      <c r="F11" s="8">
        <v>0.60140000000000005</v>
      </c>
      <c r="G11" s="8">
        <v>0.65469999999999995</v>
      </c>
      <c r="H11" s="8">
        <v>0.53259999999999996</v>
      </c>
      <c r="I11" s="8">
        <v>0.26779999999999998</v>
      </c>
      <c r="J11" s="9">
        <v>-6.88E-2</v>
      </c>
      <c r="K11" s="9">
        <v>-0.38690000000000002</v>
      </c>
      <c r="L11" s="9">
        <v>-0.60140000000000005</v>
      </c>
      <c r="M11" s="9">
        <v>-0.65469999999999995</v>
      </c>
      <c r="N11" s="9">
        <v>-0.53259999999999996</v>
      </c>
      <c r="O11" s="9">
        <v>-0.26779999999999998</v>
      </c>
    </row>
    <row r="12" spans="3:15" ht="16" thickBot="1" x14ac:dyDescent="0.4">
      <c r="C12" s="2">
        <v>7</v>
      </c>
      <c r="D12" s="8">
        <v>8.0199999999999994E-2</v>
      </c>
      <c r="E12" s="8">
        <v>0.3962</v>
      </c>
      <c r="F12" s="8">
        <v>0.60599999999999998</v>
      </c>
      <c r="G12" s="8">
        <v>0.65339999999999998</v>
      </c>
      <c r="H12" s="8">
        <v>0.52580000000000005</v>
      </c>
      <c r="I12" s="8">
        <v>0.25719999999999998</v>
      </c>
      <c r="J12" s="9">
        <v>-8.0199999999999994E-2</v>
      </c>
      <c r="K12" s="9">
        <v>-0.3962</v>
      </c>
      <c r="L12" s="9">
        <v>-0.60599999999999998</v>
      </c>
      <c r="M12" s="9">
        <v>-0.65339999999999998</v>
      </c>
      <c r="N12" s="9">
        <v>-0.52580000000000005</v>
      </c>
      <c r="O12" s="9">
        <v>-0.25719999999999998</v>
      </c>
    </row>
    <row r="13" spans="3:15" ht="16" thickBot="1" x14ac:dyDescent="0.4">
      <c r="C13" s="2">
        <v>8</v>
      </c>
      <c r="D13" s="8">
        <v>9.1600000000000001E-2</v>
      </c>
      <c r="E13" s="8">
        <v>0.40529999999999999</v>
      </c>
      <c r="F13" s="8">
        <v>0.61040000000000005</v>
      </c>
      <c r="G13" s="8">
        <v>0.65190000000000003</v>
      </c>
      <c r="H13" s="8">
        <v>0.51880000000000004</v>
      </c>
      <c r="I13" s="8">
        <v>0.24660000000000001</v>
      </c>
      <c r="J13" s="9">
        <v>-9.1600000000000001E-2</v>
      </c>
      <c r="K13" s="9">
        <v>-0.40529999999999999</v>
      </c>
      <c r="L13" s="9">
        <v>-0.61040000000000005</v>
      </c>
      <c r="M13" s="9">
        <v>-0.65190000000000003</v>
      </c>
      <c r="N13" s="9">
        <v>-0.51880000000000004</v>
      </c>
      <c r="O13" s="9">
        <v>-0.24660000000000001</v>
      </c>
    </row>
    <row r="14" spans="3:15" ht="16" thickBot="1" x14ac:dyDescent="0.4">
      <c r="C14" s="2">
        <v>9</v>
      </c>
      <c r="D14" s="8">
        <v>0.10299999999999999</v>
      </c>
      <c r="E14" s="8">
        <v>0.4143</v>
      </c>
      <c r="F14" s="8">
        <v>0.61460000000000004</v>
      </c>
      <c r="G14" s="8">
        <v>0.6502</v>
      </c>
      <c r="H14" s="8">
        <v>0.51160000000000005</v>
      </c>
      <c r="I14" s="8">
        <v>0.2359</v>
      </c>
      <c r="J14" s="9">
        <v>-0.10299999999999999</v>
      </c>
      <c r="K14" s="9">
        <v>-0.4143</v>
      </c>
      <c r="L14" s="9">
        <v>-0.61460000000000004</v>
      </c>
      <c r="M14" s="9">
        <v>-0.6502</v>
      </c>
      <c r="N14" s="9">
        <v>-0.51160000000000005</v>
      </c>
      <c r="O14" s="9">
        <v>-0.2359</v>
      </c>
    </row>
    <row r="15" spans="3:15" ht="16" thickBot="1" x14ac:dyDescent="0.4">
      <c r="C15" s="2">
        <v>10</v>
      </c>
      <c r="D15" s="8">
        <v>0.1143</v>
      </c>
      <c r="E15" s="8">
        <v>0.42320000000000002</v>
      </c>
      <c r="F15" s="8">
        <v>0.61860000000000004</v>
      </c>
      <c r="G15" s="8">
        <v>0.64829999999999999</v>
      </c>
      <c r="H15" s="8">
        <v>0.50429999999999997</v>
      </c>
      <c r="I15" s="8">
        <v>0.22520000000000001</v>
      </c>
      <c r="J15" s="9">
        <v>-0.1143</v>
      </c>
      <c r="K15" s="9">
        <v>-0.42320000000000002</v>
      </c>
      <c r="L15" s="9">
        <v>-0.61860000000000004</v>
      </c>
      <c r="M15" s="9">
        <v>-0.64829999999999999</v>
      </c>
      <c r="N15" s="9">
        <v>-0.50429999999999997</v>
      </c>
      <c r="O15" s="9">
        <v>-0.22520000000000001</v>
      </c>
    </row>
    <row r="16" spans="3:15" ht="16" thickBot="1" x14ac:dyDescent="0.4">
      <c r="C16" s="2">
        <v>11</v>
      </c>
      <c r="D16" s="8">
        <v>0.12559999999999999</v>
      </c>
      <c r="E16" s="8">
        <v>0.43190000000000001</v>
      </c>
      <c r="F16" s="8">
        <v>0.62239999999999995</v>
      </c>
      <c r="G16" s="8">
        <v>0.6462</v>
      </c>
      <c r="H16" s="8">
        <v>0.49680000000000002</v>
      </c>
      <c r="I16" s="8">
        <v>0.21429999999999999</v>
      </c>
      <c r="J16" s="9">
        <v>-0.12559999999999999</v>
      </c>
      <c r="K16" s="9">
        <v>-0.43190000000000001</v>
      </c>
      <c r="L16" s="9">
        <v>-0.62239999999999995</v>
      </c>
      <c r="M16" s="9">
        <v>-0.6462</v>
      </c>
      <c r="N16" s="9">
        <v>-0.49680000000000002</v>
      </c>
      <c r="O16" s="9">
        <v>-0.21429999999999999</v>
      </c>
    </row>
    <row r="17" spans="3:15" ht="16" thickBot="1" x14ac:dyDescent="0.4">
      <c r="C17" s="2">
        <v>12</v>
      </c>
      <c r="D17" s="8">
        <v>0.13689999999999999</v>
      </c>
      <c r="E17" s="8">
        <v>0.4405</v>
      </c>
      <c r="F17" s="8">
        <v>0.62609999999999999</v>
      </c>
      <c r="G17" s="8">
        <v>0.64390000000000003</v>
      </c>
      <c r="H17" s="8">
        <v>0.48920000000000002</v>
      </c>
      <c r="I17" s="8">
        <v>0.2034</v>
      </c>
      <c r="J17" s="9">
        <v>-0.13689999999999999</v>
      </c>
      <c r="K17" s="9">
        <v>-0.4405</v>
      </c>
      <c r="L17" s="9">
        <v>-0.62609999999999999</v>
      </c>
      <c r="M17" s="9">
        <v>-0.64390000000000003</v>
      </c>
      <c r="N17" s="9">
        <v>-0.48920000000000002</v>
      </c>
      <c r="O17" s="9">
        <v>-0.2034</v>
      </c>
    </row>
    <row r="18" spans="3:15" ht="16" thickBot="1" x14ac:dyDescent="0.4">
      <c r="C18" s="2">
        <v>13</v>
      </c>
      <c r="D18" s="8">
        <v>0.14810000000000001</v>
      </c>
      <c r="E18" s="8">
        <v>0.44900000000000001</v>
      </c>
      <c r="F18" s="8">
        <v>0.62949999999999995</v>
      </c>
      <c r="G18" s="8">
        <v>0.64139999999999997</v>
      </c>
      <c r="H18" s="8">
        <v>0.48149999999999998</v>
      </c>
      <c r="I18" s="8">
        <v>0.1925</v>
      </c>
      <c r="J18" s="9">
        <v>-0.14810000000000001</v>
      </c>
      <c r="K18" s="9">
        <v>-0.44900000000000001</v>
      </c>
      <c r="L18" s="9">
        <v>-0.62949999999999995</v>
      </c>
      <c r="M18" s="9">
        <v>-0.64139999999999997</v>
      </c>
      <c r="N18" s="9">
        <v>-0.48149999999999998</v>
      </c>
      <c r="O18" s="9">
        <v>-0.1925</v>
      </c>
    </row>
    <row r="19" spans="3:15" ht="16" thickBot="1" x14ac:dyDescent="0.4">
      <c r="C19" s="2">
        <v>14</v>
      </c>
      <c r="D19" s="8">
        <v>0.1593</v>
      </c>
      <c r="E19" s="8">
        <v>0.45729999999999998</v>
      </c>
      <c r="F19" s="8">
        <v>0.63280000000000003</v>
      </c>
      <c r="G19" s="8">
        <v>0.63880000000000003</v>
      </c>
      <c r="H19" s="8">
        <v>0.47360000000000002</v>
      </c>
      <c r="I19" s="8">
        <v>0.18149999999999999</v>
      </c>
      <c r="J19" s="9">
        <v>-0.1593</v>
      </c>
      <c r="K19" s="9">
        <v>-0.45729999999999998</v>
      </c>
      <c r="L19" s="9">
        <v>-0.63280000000000003</v>
      </c>
      <c r="M19" s="9">
        <v>-0.63880000000000003</v>
      </c>
      <c r="N19" s="9">
        <v>-0.47360000000000002</v>
      </c>
      <c r="O19" s="9">
        <v>-0.18149999999999999</v>
      </c>
    </row>
    <row r="20" spans="3:15" ht="16" thickBot="1" x14ac:dyDescent="0.4">
      <c r="C20" s="2">
        <v>15</v>
      </c>
      <c r="D20" s="8">
        <v>0.1704</v>
      </c>
      <c r="E20" s="8">
        <v>0.46550000000000002</v>
      </c>
      <c r="F20" s="8">
        <v>0.63590000000000002</v>
      </c>
      <c r="G20" s="8">
        <v>0.63590000000000002</v>
      </c>
      <c r="H20" s="8">
        <v>0.46550000000000002</v>
      </c>
      <c r="I20" s="8">
        <v>0.1704</v>
      </c>
      <c r="J20" s="9">
        <v>-0.1704</v>
      </c>
      <c r="K20" s="9">
        <v>-0.46550000000000002</v>
      </c>
      <c r="L20" s="9">
        <v>-0.63590000000000002</v>
      </c>
      <c r="M20" s="9">
        <v>-0.63590000000000002</v>
      </c>
      <c r="N20" s="9">
        <v>-0.46550000000000002</v>
      </c>
      <c r="O20" s="9">
        <v>-0.1704</v>
      </c>
    </row>
    <row r="21" spans="3:15" ht="16" thickBot="1" x14ac:dyDescent="0.4">
      <c r="C21" s="2">
        <v>16</v>
      </c>
      <c r="D21" s="8">
        <v>0.18149999999999999</v>
      </c>
      <c r="E21" s="8">
        <v>0.47360000000000002</v>
      </c>
      <c r="F21" s="8">
        <v>0.63880000000000003</v>
      </c>
      <c r="G21" s="8">
        <v>0.63280000000000003</v>
      </c>
      <c r="H21" s="8">
        <v>0.45729999999999998</v>
      </c>
      <c r="I21" s="8">
        <v>0.1593</v>
      </c>
      <c r="J21" s="9">
        <v>-0.18149999999999999</v>
      </c>
      <c r="K21" s="9">
        <v>-0.47360000000000002</v>
      </c>
      <c r="L21" s="9">
        <v>-0.63880000000000003</v>
      </c>
      <c r="M21" s="9">
        <v>-0.63280000000000003</v>
      </c>
      <c r="N21" s="9">
        <v>-0.45729999999999998</v>
      </c>
      <c r="O21" s="9">
        <v>-0.1593</v>
      </c>
    </row>
    <row r="22" spans="3:15" ht="16" thickBot="1" x14ac:dyDescent="0.4">
      <c r="C22" s="2">
        <v>17</v>
      </c>
      <c r="D22" s="8">
        <v>0.1925</v>
      </c>
      <c r="E22" s="8">
        <v>0.48149999999999998</v>
      </c>
      <c r="F22" s="8">
        <v>0.64139999999999997</v>
      </c>
      <c r="G22" s="8">
        <v>0.62949999999999995</v>
      </c>
      <c r="H22" s="8">
        <v>0.44900000000000001</v>
      </c>
      <c r="I22" s="8">
        <v>0.14810000000000001</v>
      </c>
      <c r="J22" s="9">
        <v>-0.1925</v>
      </c>
      <c r="K22" s="9">
        <v>-0.48149999999999998</v>
      </c>
      <c r="L22" s="9">
        <v>-0.64139999999999997</v>
      </c>
      <c r="M22" s="9">
        <v>-0.62949999999999995</v>
      </c>
      <c r="N22" s="9">
        <v>-0.44900000000000001</v>
      </c>
      <c r="O22" s="9">
        <v>-0.14810000000000001</v>
      </c>
    </row>
    <row r="23" spans="3:15" ht="16" thickBot="1" x14ac:dyDescent="0.4">
      <c r="C23" s="2">
        <v>18</v>
      </c>
      <c r="D23" s="8">
        <v>0.2034</v>
      </c>
      <c r="E23" s="8">
        <v>0.48920000000000002</v>
      </c>
      <c r="F23" s="8">
        <v>0.64390000000000003</v>
      </c>
      <c r="G23" s="8">
        <v>0.62609999999999999</v>
      </c>
      <c r="H23" s="8">
        <v>0.4405</v>
      </c>
      <c r="I23" s="8">
        <v>0.13689999999999999</v>
      </c>
      <c r="J23" s="9">
        <v>-0.2034</v>
      </c>
      <c r="K23" s="9">
        <v>-0.48920000000000002</v>
      </c>
      <c r="L23" s="9">
        <v>-0.64390000000000003</v>
      </c>
      <c r="M23" s="9">
        <v>-0.62609999999999999</v>
      </c>
      <c r="N23" s="9">
        <v>-0.4405</v>
      </c>
      <c r="O23" s="9">
        <v>-0.13689999999999999</v>
      </c>
    </row>
    <row r="24" spans="3:15" ht="16" thickBot="1" x14ac:dyDescent="0.4">
      <c r="C24" s="2">
        <v>19</v>
      </c>
      <c r="D24" s="8">
        <v>0.21429999999999999</v>
      </c>
      <c r="E24" s="8">
        <v>0.49680000000000002</v>
      </c>
      <c r="F24" s="8">
        <v>0.6462</v>
      </c>
      <c r="G24" s="8">
        <v>0.62239999999999995</v>
      </c>
      <c r="H24" s="8">
        <v>0.43190000000000001</v>
      </c>
      <c r="I24" s="8">
        <v>0.12559999999999999</v>
      </c>
      <c r="J24" s="9">
        <v>-0.21429999999999999</v>
      </c>
      <c r="K24" s="9">
        <v>-0.49680000000000002</v>
      </c>
      <c r="L24" s="9">
        <v>-0.6462</v>
      </c>
      <c r="M24" s="9">
        <v>-0.62239999999999995</v>
      </c>
      <c r="N24" s="9">
        <v>-0.43190000000000001</v>
      </c>
      <c r="O24" s="9">
        <v>-0.12559999999999999</v>
      </c>
    </row>
    <row r="25" spans="3:15" ht="16" thickBot="1" x14ac:dyDescent="0.4">
      <c r="C25" s="2">
        <v>20</v>
      </c>
      <c r="D25" s="8">
        <v>0.22520000000000001</v>
      </c>
      <c r="E25" s="8">
        <v>0.50429999999999997</v>
      </c>
      <c r="F25" s="8">
        <v>0.64829999999999999</v>
      </c>
      <c r="G25" s="8">
        <v>0.61860000000000004</v>
      </c>
      <c r="H25" s="8">
        <v>0.42320000000000002</v>
      </c>
      <c r="I25" s="8">
        <v>0.1143</v>
      </c>
      <c r="J25" s="9">
        <v>-0.22520000000000001</v>
      </c>
      <c r="K25" s="8">
        <v>-0.50429999999999997</v>
      </c>
      <c r="L25" s="9">
        <v>-0.64829999999999999</v>
      </c>
      <c r="M25" s="9">
        <v>-0.61860000000000004</v>
      </c>
      <c r="N25" s="9">
        <v>-0.42320000000000002</v>
      </c>
      <c r="O25" s="9">
        <v>-0.1143</v>
      </c>
    </row>
    <row r="26" spans="3:15" ht="16" thickBot="1" x14ac:dyDescent="0.4">
      <c r="C26" s="2">
        <v>21</v>
      </c>
      <c r="D26" s="8">
        <v>0.2359</v>
      </c>
      <c r="E26" s="8">
        <v>0.51160000000000005</v>
      </c>
      <c r="F26" s="8">
        <v>0.6502</v>
      </c>
      <c r="G26" s="8">
        <v>0.61460000000000004</v>
      </c>
      <c r="H26" s="8">
        <v>0.4143</v>
      </c>
      <c r="I26" s="8">
        <v>0.10299999999999999</v>
      </c>
      <c r="J26" s="9">
        <v>-0.2359</v>
      </c>
      <c r="K26" s="9">
        <v>-0.51160000000000005</v>
      </c>
      <c r="L26" s="9">
        <v>-0.6502</v>
      </c>
      <c r="M26" s="9">
        <v>-0.61460000000000004</v>
      </c>
      <c r="N26" s="9">
        <v>-0.4143</v>
      </c>
      <c r="O26" s="9">
        <v>-0.10299999999999999</v>
      </c>
    </row>
    <row r="27" spans="3:15" ht="16" thickBot="1" x14ac:dyDescent="0.4">
      <c r="C27" s="2">
        <v>22</v>
      </c>
      <c r="D27" s="8">
        <v>0.24660000000000001</v>
      </c>
      <c r="E27" s="8">
        <v>0.51880000000000004</v>
      </c>
      <c r="F27" s="8">
        <v>0.65190000000000003</v>
      </c>
      <c r="G27" s="8">
        <v>0.61040000000000005</v>
      </c>
      <c r="H27" s="8">
        <v>0.40529999999999999</v>
      </c>
      <c r="I27" s="8">
        <v>9.1600000000000001E-2</v>
      </c>
      <c r="J27" s="9">
        <v>-0.24660000000000001</v>
      </c>
      <c r="K27" s="9">
        <v>-0.51880000000000004</v>
      </c>
      <c r="L27" s="9">
        <v>-0.65190000000000003</v>
      </c>
      <c r="M27" s="9">
        <v>-0.61040000000000005</v>
      </c>
      <c r="N27" s="9">
        <v>-0.40529999999999999</v>
      </c>
      <c r="O27" s="9">
        <v>-9.1600000000000001E-2</v>
      </c>
    </row>
    <row r="28" spans="3:15" ht="16" thickBot="1" x14ac:dyDescent="0.4">
      <c r="C28" s="2">
        <v>23</v>
      </c>
      <c r="D28" s="8">
        <v>0.25719999999999998</v>
      </c>
      <c r="E28" s="8">
        <v>0.52580000000000005</v>
      </c>
      <c r="F28" s="8">
        <v>0.65339999999999998</v>
      </c>
      <c r="G28" s="8">
        <v>0.60599999999999998</v>
      </c>
      <c r="H28" s="8">
        <v>0.3962</v>
      </c>
      <c r="I28" s="8">
        <v>8.0199999999999994E-2</v>
      </c>
      <c r="J28" s="9">
        <v>-0.25719999999999998</v>
      </c>
      <c r="K28" s="9">
        <v>-0.52580000000000005</v>
      </c>
      <c r="L28" s="9">
        <v>-0.65339999999999998</v>
      </c>
      <c r="M28" s="9">
        <v>-0.60599999999999998</v>
      </c>
      <c r="N28" s="9">
        <v>-0.3962</v>
      </c>
      <c r="O28" s="9">
        <v>-8.0199999999999994E-2</v>
      </c>
    </row>
    <row r="29" spans="3:15" ht="16" thickBot="1" x14ac:dyDescent="0.4">
      <c r="C29" s="2">
        <v>24</v>
      </c>
      <c r="D29" s="8">
        <v>0.26779999999999998</v>
      </c>
      <c r="E29" s="8">
        <v>0.53259999999999996</v>
      </c>
      <c r="F29" s="8">
        <v>0.65469999999999995</v>
      </c>
      <c r="G29" s="8">
        <v>0.60140000000000005</v>
      </c>
      <c r="H29" s="8">
        <v>0.38690000000000002</v>
      </c>
      <c r="I29" s="8">
        <v>6.88E-2</v>
      </c>
      <c r="J29" s="9">
        <v>-0.26779999999999998</v>
      </c>
      <c r="K29" s="9">
        <v>-0.53259999999999996</v>
      </c>
      <c r="L29" s="9">
        <v>-0.65469999999999995</v>
      </c>
      <c r="M29" s="9">
        <v>-0.60140000000000005</v>
      </c>
      <c r="N29" s="9">
        <v>-0.38690000000000002</v>
      </c>
      <c r="O29" s="9">
        <v>-6.88E-2</v>
      </c>
    </row>
    <row r="30" spans="3:15" ht="16" thickBot="1" x14ac:dyDescent="0.4">
      <c r="C30" s="2">
        <v>25</v>
      </c>
      <c r="D30" s="8">
        <v>0.2782</v>
      </c>
      <c r="E30" s="8">
        <v>0.5393</v>
      </c>
      <c r="F30" s="8">
        <v>0.65580000000000005</v>
      </c>
      <c r="G30" s="8">
        <v>0.59660000000000002</v>
      </c>
      <c r="H30" s="8">
        <v>0.37759999999999999</v>
      </c>
      <c r="I30" s="8">
        <v>5.74E-2</v>
      </c>
      <c r="J30" s="9">
        <v>-0.2782</v>
      </c>
      <c r="K30" s="9">
        <v>-0.5393</v>
      </c>
      <c r="L30" s="9">
        <v>-0.65580000000000005</v>
      </c>
      <c r="M30" s="9">
        <v>-0.59660000000000002</v>
      </c>
      <c r="N30" s="9">
        <v>-0.37759999999999999</v>
      </c>
      <c r="O30" s="9">
        <v>-5.74E-2</v>
      </c>
    </row>
    <row r="31" spans="3:15" ht="16" thickBot="1" x14ac:dyDescent="0.4">
      <c r="C31" s="2">
        <v>26</v>
      </c>
      <c r="D31" s="8">
        <v>0.28860000000000002</v>
      </c>
      <c r="E31" s="8">
        <v>0.54579999999999995</v>
      </c>
      <c r="F31" s="8">
        <v>0.65669999999999995</v>
      </c>
      <c r="G31" s="8">
        <v>0.5917</v>
      </c>
      <c r="H31" s="8">
        <v>0.36809999999999998</v>
      </c>
      <c r="I31" s="8">
        <v>4.5900000000000003E-2</v>
      </c>
      <c r="J31" s="9">
        <v>-0.28860000000000002</v>
      </c>
      <c r="K31" s="9">
        <v>-0.54579999999999995</v>
      </c>
      <c r="L31" s="9">
        <v>-0.65669999999999995</v>
      </c>
      <c r="M31" s="9">
        <v>-0.5917</v>
      </c>
      <c r="N31" s="9">
        <v>-0.36809999999999998</v>
      </c>
      <c r="O31" s="9">
        <v>-4.5900000000000003E-2</v>
      </c>
    </row>
    <row r="32" spans="3:15" ht="16" thickBot="1" x14ac:dyDescent="0.4">
      <c r="C32" s="2">
        <v>27</v>
      </c>
      <c r="D32" s="8">
        <v>0.2989</v>
      </c>
      <c r="E32" s="8">
        <v>0.55210000000000004</v>
      </c>
      <c r="F32" s="8">
        <v>0.65739999999999998</v>
      </c>
      <c r="G32" s="8">
        <v>0.58660000000000001</v>
      </c>
      <c r="H32" s="8">
        <v>0.35849999999999999</v>
      </c>
      <c r="I32" s="8">
        <v>3.4500000000000003E-2</v>
      </c>
      <c r="J32" s="9">
        <v>-0.2989</v>
      </c>
      <c r="K32" s="9">
        <v>-0.55210000000000004</v>
      </c>
      <c r="L32" s="9">
        <v>-0.65739999999999998</v>
      </c>
      <c r="M32" s="9">
        <v>-0.58660000000000001</v>
      </c>
      <c r="N32" s="9">
        <v>-0.35849999999999999</v>
      </c>
      <c r="O32" s="9">
        <v>-3.4500000000000003E-2</v>
      </c>
    </row>
    <row r="33" spans="3:15" ht="16" thickBot="1" x14ac:dyDescent="0.4">
      <c r="C33" s="2">
        <v>28</v>
      </c>
      <c r="D33" s="8">
        <v>0.30909999999999999</v>
      </c>
      <c r="E33" s="8">
        <v>0.55830000000000002</v>
      </c>
      <c r="F33" s="8">
        <v>0.65790000000000004</v>
      </c>
      <c r="G33" s="8">
        <v>0.58130000000000004</v>
      </c>
      <c r="H33" s="8">
        <v>0.34889999999999999</v>
      </c>
      <c r="I33" s="8">
        <v>2.3E-2</v>
      </c>
      <c r="J33" s="9">
        <v>-0.30909999999999999</v>
      </c>
      <c r="K33" s="9">
        <v>-0.55830000000000002</v>
      </c>
      <c r="L33" s="9">
        <v>-0.65790000000000004</v>
      </c>
      <c r="M33" s="9">
        <v>-0.58130000000000004</v>
      </c>
      <c r="N33" s="9">
        <v>-0.34889999999999999</v>
      </c>
      <c r="O33" s="9">
        <v>-2.3E-2</v>
      </c>
    </row>
    <row r="34" spans="3:15" ht="16" thickBot="1" x14ac:dyDescent="0.4">
      <c r="C34" s="2">
        <v>29</v>
      </c>
      <c r="D34" s="8">
        <v>0.31919999999999998</v>
      </c>
      <c r="E34" s="8">
        <v>0.56430000000000002</v>
      </c>
      <c r="F34" s="8">
        <v>0.65820000000000001</v>
      </c>
      <c r="G34" s="8">
        <v>0.57579999999999998</v>
      </c>
      <c r="H34" s="8">
        <v>0.33910000000000001</v>
      </c>
      <c r="I34" s="8">
        <v>1.15E-2</v>
      </c>
      <c r="J34" s="9">
        <v>-0.31919999999999998</v>
      </c>
      <c r="K34" s="9">
        <v>-0.56430000000000002</v>
      </c>
      <c r="L34" s="9">
        <v>-0.65820000000000001</v>
      </c>
      <c r="M34" s="9">
        <v>-0.57579999999999998</v>
      </c>
      <c r="N34" s="9">
        <v>-0.33910000000000001</v>
      </c>
      <c r="O34" s="9">
        <v>-1.15E-2</v>
      </c>
    </row>
    <row r="35" spans="3:15" ht="16" thickBot="1" x14ac:dyDescent="0.4">
      <c r="C35" s="2">
        <v>30</v>
      </c>
      <c r="D35" s="8">
        <v>0.32919999999999999</v>
      </c>
      <c r="E35" s="8">
        <v>0.57010000000000005</v>
      </c>
      <c r="F35" s="8">
        <v>0.6583</v>
      </c>
      <c r="G35" s="8">
        <v>0.57010000000000005</v>
      </c>
      <c r="H35" s="8">
        <v>0.32919999999999999</v>
      </c>
      <c r="I35" s="8">
        <v>0</v>
      </c>
      <c r="J35" s="9">
        <v>-0.32919999999999999</v>
      </c>
      <c r="K35" s="9">
        <v>-0.57010000000000005</v>
      </c>
      <c r="L35" s="9">
        <v>-0.6583</v>
      </c>
      <c r="M35" s="9">
        <v>-0.57010000000000005</v>
      </c>
      <c r="N35" s="9">
        <v>-0.32919999999999999</v>
      </c>
      <c r="O35" s="9">
        <v>0</v>
      </c>
    </row>
  </sheetData>
  <mergeCells count="1">
    <mergeCell ref="C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5CE5-B132-4B76-B787-CF76BC4FA8BF}">
  <dimension ref="B5:F23"/>
  <sheetViews>
    <sheetView topLeftCell="A5" workbookViewId="0">
      <selection activeCell="J17" sqref="J17"/>
    </sheetView>
  </sheetViews>
  <sheetFormatPr defaultRowHeight="14.5" x14ac:dyDescent="0.35"/>
  <cols>
    <col min="2" max="2" width="18.90625" customWidth="1"/>
    <col min="3" max="3" width="13.1796875" customWidth="1"/>
    <col min="4" max="4" width="12.453125" customWidth="1"/>
    <col min="5" max="5" width="11.7265625" customWidth="1"/>
    <col min="6" max="6" width="11.81640625" customWidth="1"/>
  </cols>
  <sheetData>
    <row r="5" spans="2:6" x14ac:dyDescent="0.35">
      <c r="B5" s="52" t="s">
        <v>489</v>
      </c>
      <c r="C5" s="52"/>
      <c r="D5" s="52"/>
      <c r="E5" s="52"/>
      <c r="F5" s="52"/>
    </row>
    <row r="6" spans="2:6" x14ac:dyDescent="0.35">
      <c r="B6" s="52"/>
      <c r="C6" s="52"/>
      <c r="D6" s="52"/>
      <c r="E6" s="52"/>
      <c r="F6" s="52"/>
    </row>
    <row r="8" spans="2:6" x14ac:dyDescent="0.35">
      <c r="B8" s="53" t="s">
        <v>490</v>
      </c>
      <c r="C8" s="53"/>
      <c r="D8" s="53"/>
      <c r="E8" s="53"/>
      <c r="F8" s="53"/>
    </row>
    <row r="9" spans="2:6" x14ac:dyDescent="0.35">
      <c r="B9" s="54" t="s">
        <v>491</v>
      </c>
      <c r="C9" s="33" t="s">
        <v>9</v>
      </c>
      <c r="D9" s="3" t="s">
        <v>8</v>
      </c>
      <c r="E9" s="33" t="s">
        <v>7</v>
      </c>
      <c r="F9" s="33" t="s">
        <v>6</v>
      </c>
    </row>
    <row r="10" spans="2:6" x14ac:dyDescent="0.35">
      <c r="B10" s="55"/>
      <c r="C10" s="33" t="s">
        <v>5</v>
      </c>
      <c r="D10" s="33" t="s">
        <v>4</v>
      </c>
      <c r="E10" s="33" t="s">
        <v>3</v>
      </c>
      <c r="F10" s="33" t="s">
        <v>2</v>
      </c>
    </row>
    <row r="11" spans="2:6" x14ac:dyDescent="0.35">
      <c r="B11" s="33">
        <v>1</v>
      </c>
      <c r="C11" s="33">
        <v>2</v>
      </c>
      <c r="D11" s="33">
        <v>3</v>
      </c>
      <c r="E11" s="33">
        <v>4</v>
      </c>
      <c r="F11" s="33">
        <v>5</v>
      </c>
    </row>
    <row r="12" spans="2:6" x14ac:dyDescent="0.35">
      <c r="B12" s="35" t="s">
        <v>492</v>
      </c>
      <c r="C12" s="33">
        <v>29.5306</v>
      </c>
      <c r="D12" s="33">
        <v>30.670500000000001</v>
      </c>
      <c r="E12" s="33">
        <v>25.8169</v>
      </c>
      <c r="F12" s="33">
        <v>29.105399999999999</v>
      </c>
    </row>
    <row r="13" spans="2:6" x14ac:dyDescent="0.35">
      <c r="B13" s="35" t="s">
        <v>493</v>
      </c>
      <c r="C13" s="33">
        <v>59.061199999999999</v>
      </c>
      <c r="D13" s="33">
        <v>61.341000000000001</v>
      </c>
      <c r="E13" s="33">
        <v>51.633800000000001</v>
      </c>
      <c r="F13" s="33">
        <v>58.210700000000003</v>
      </c>
    </row>
    <row r="14" spans="2:6" x14ac:dyDescent="0.35">
      <c r="B14" s="35" t="s">
        <v>494</v>
      </c>
      <c r="C14" s="33">
        <v>88.591800000000006</v>
      </c>
      <c r="D14" s="33">
        <v>92.011499999999998</v>
      </c>
      <c r="E14" s="33">
        <v>77.450800000000001</v>
      </c>
      <c r="F14" s="33">
        <v>87.316100000000006</v>
      </c>
    </row>
    <row r="15" spans="2:6" x14ac:dyDescent="0.35">
      <c r="B15" s="35" t="s">
        <v>495</v>
      </c>
      <c r="C15" s="33">
        <v>118.1224</v>
      </c>
      <c r="D15" s="33">
        <v>122.682</v>
      </c>
      <c r="E15" s="33">
        <v>103.2677</v>
      </c>
      <c r="F15" s="33">
        <v>116.42140000000001</v>
      </c>
    </row>
    <row r="16" spans="2:6" x14ac:dyDescent="0.35">
      <c r="B16" s="35" t="s">
        <v>496</v>
      </c>
      <c r="C16" s="33">
        <v>147.65299999999999</v>
      </c>
      <c r="D16" s="33">
        <v>153.35249999999999</v>
      </c>
      <c r="E16" s="33">
        <v>129.08459999999999</v>
      </c>
      <c r="F16" s="33">
        <v>145.52680000000001</v>
      </c>
    </row>
    <row r="17" spans="2:6" x14ac:dyDescent="0.35">
      <c r="B17" s="35" t="s">
        <v>497</v>
      </c>
      <c r="C17" s="33">
        <v>177.18350000000001</v>
      </c>
      <c r="D17" s="33">
        <v>184.023</v>
      </c>
      <c r="E17" s="33">
        <v>154.9015</v>
      </c>
      <c r="F17" s="33">
        <v>174.63210000000001</v>
      </c>
    </row>
    <row r="18" spans="2:6" x14ac:dyDescent="0.35">
      <c r="B18" s="35" t="s">
        <v>498</v>
      </c>
      <c r="C18" s="33">
        <v>206.7141</v>
      </c>
      <c r="D18" s="33">
        <v>214.6935</v>
      </c>
      <c r="E18" s="33">
        <v>180.7184</v>
      </c>
      <c r="F18" s="33">
        <v>203.73750000000001</v>
      </c>
    </row>
    <row r="19" spans="2:6" x14ac:dyDescent="0.35">
      <c r="B19" s="35" t="s">
        <v>499</v>
      </c>
      <c r="C19" s="33">
        <v>236.24469999999999</v>
      </c>
      <c r="D19" s="33">
        <v>245.36410000000001</v>
      </c>
      <c r="E19" s="33">
        <v>206.53530000000001</v>
      </c>
      <c r="F19" s="33">
        <v>232.84280000000001</v>
      </c>
    </row>
    <row r="20" spans="2:6" x14ac:dyDescent="0.35">
      <c r="B20" s="35" t="s">
        <v>500</v>
      </c>
      <c r="C20" s="33">
        <v>265.77530000000002</v>
      </c>
      <c r="D20" s="33">
        <v>276.03460000000001</v>
      </c>
      <c r="E20" s="33">
        <v>232.35220000000001</v>
      </c>
      <c r="F20" s="33">
        <v>261.94819999999999</v>
      </c>
    </row>
    <row r="21" spans="2:6" x14ac:dyDescent="0.35">
      <c r="B21" s="35" t="s">
        <v>501</v>
      </c>
      <c r="C21" s="33">
        <v>295.30590000000001</v>
      </c>
      <c r="D21" s="33">
        <v>306.70510000000002</v>
      </c>
      <c r="E21" s="33">
        <v>258.16910000000001</v>
      </c>
      <c r="F21" s="33">
        <v>291.05360000000002</v>
      </c>
    </row>
    <row r="22" spans="2:6" x14ac:dyDescent="0.35">
      <c r="B22" s="35" t="s">
        <v>502</v>
      </c>
      <c r="C22" s="33">
        <v>324.8365</v>
      </c>
      <c r="D22" s="33">
        <v>8.0460999999999991</v>
      </c>
      <c r="E22" s="33">
        <v>283.98610000000002</v>
      </c>
      <c r="F22" s="33">
        <v>320.15890000000002</v>
      </c>
    </row>
    <row r="23" spans="2:6" x14ac:dyDescent="0.35">
      <c r="B23" s="35" t="s">
        <v>503</v>
      </c>
      <c r="C23" s="33">
        <v>354.36709999999999</v>
      </c>
      <c r="D23" s="33">
        <v>8.0460999999999991</v>
      </c>
      <c r="E23" s="33">
        <v>309.803</v>
      </c>
      <c r="F23" s="33">
        <v>349.26429999999999</v>
      </c>
    </row>
  </sheetData>
  <mergeCells count="3">
    <mergeCell ref="B5:F6"/>
    <mergeCell ref="B8:F8"/>
    <mergeCell ref="B9:B10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727E-5756-432E-A32B-78C25D8DD154}">
  <dimension ref="C2:O35"/>
  <sheetViews>
    <sheetView workbookViewId="0">
      <selection activeCell="B3" sqref="B3:O35"/>
    </sheetView>
  </sheetViews>
  <sheetFormatPr defaultRowHeight="14.5" x14ac:dyDescent="0.35"/>
  <sheetData>
    <row r="2" spans="3:15" ht="15" thickBot="1" x14ac:dyDescent="0.4"/>
    <row r="3" spans="3:15" ht="16" thickBot="1" x14ac:dyDescent="0.4">
      <c r="C3" s="56" t="s">
        <v>231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9"/>
    </row>
    <row r="4" spans="3:15" ht="16" thickBot="1" x14ac:dyDescent="0.4">
      <c r="C4" s="2" t="s">
        <v>0</v>
      </c>
      <c r="D4" s="7">
        <v>0</v>
      </c>
      <c r="E4" s="7">
        <v>30</v>
      </c>
      <c r="F4" s="7">
        <v>60</v>
      </c>
      <c r="G4" s="7">
        <v>90</v>
      </c>
      <c r="H4" s="7">
        <v>120</v>
      </c>
      <c r="I4" s="7">
        <v>150</v>
      </c>
      <c r="J4" s="6">
        <v>180</v>
      </c>
      <c r="K4" s="6">
        <v>210</v>
      </c>
      <c r="L4" s="6">
        <v>240</v>
      </c>
      <c r="M4" s="6">
        <v>270</v>
      </c>
      <c r="N4" s="6">
        <v>300</v>
      </c>
      <c r="O4" s="6">
        <v>330</v>
      </c>
    </row>
    <row r="5" spans="3:15" ht="16" thickBot="1" x14ac:dyDescent="0.4">
      <c r="C5" s="2">
        <v>0</v>
      </c>
      <c r="D5" s="8">
        <v>0</v>
      </c>
      <c r="E5" s="8">
        <v>0.10680000000000001</v>
      </c>
      <c r="F5" s="8">
        <v>0.185</v>
      </c>
      <c r="G5" s="8">
        <v>0.21360000000000001</v>
      </c>
      <c r="H5" s="8">
        <v>0.185</v>
      </c>
      <c r="I5" s="8">
        <v>0.10680000000000001</v>
      </c>
      <c r="J5" s="9">
        <v>0</v>
      </c>
      <c r="K5" s="9">
        <v>-0.10680000000000001</v>
      </c>
      <c r="L5" s="9">
        <v>-0.185</v>
      </c>
      <c r="M5" s="9">
        <v>-0.21360000000000001</v>
      </c>
      <c r="N5" s="9">
        <v>-0.185</v>
      </c>
      <c r="O5" s="9">
        <v>-0.10680000000000001</v>
      </c>
    </row>
    <row r="6" spans="3:15" ht="16" thickBot="1" x14ac:dyDescent="0.4">
      <c r="C6" s="2">
        <v>1</v>
      </c>
      <c r="D6" s="8">
        <v>3.7000000000000002E-3</v>
      </c>
      <c r="E6" s="8">
        <v>0.11</v>
      </c>
      <c r="F6" s="8">
        <v>0.18679999999999999</v>
      </c>
      <c r="G6" s="8">
        <v>0.21360000000000001</v>
      </c>
      <c r="H6" s="8">
        <v>0.18310000000000001</v>
      </c>
      <c r="I6" s="8">
        <v>0.1036</v>
      </c>
      <c r="J6" s="9">
        <v>-3.7000000000000002E-3</v>
      </c>
      <c r="K6" s="9">
        <v>-0.11</v>
      </c>
      <c r="L6" s="9">
        <v>-0.18679999999999999</v>
      </c>
      <c r="M6" s="9">
        <v>-0.21360000000000001</v>
      </c>
      <c r="N6" s="9">
        <v>-0.18310000000000001</v>
      </c>
      <c r="O6" s="9">
        <v>-0.1036</v>
      </c>
    </row>
    <row r="7" spans="3:15" ht="16" thickBot="1" x14ac:dyDescent="0.4">
      <c r="C7" s="2">
        <v>2</v>
      </c>
      <c r="D7" s="8">
        <v>7.4999999999999997E-3</v>
      </c>
      <c r="E7" s="8">
        <v>0.1132</v>
      </c>
      <c r="F7" s="8">
        <v>0.18859999999999999</v>
      </c>
      <c r="G7" s="8">
        <v>0.2135</v>
      </c>
      <c r="H7" s="8">
        <v>0.1812</v>
      </c>
      <c r="I7" s="8">
        <v>0.1003</v>
      </c>
      <c r="J7" s="9">
        <v>-7.4999999999999997E-3</v>
      </c>
      <c r="K7" s="9">
        <v>-0.1132</v>
      </c>
      <c r="L7" s="9">
        <v>-0.18859999999999999</v>
      </c>
      <c r="M7" s="9">
        <v>-0.2135</v>
      </c>
      <c r="N7" s="9">
        <v>-0.1812</v>
      </c>
      <c r="O7" s="9">
        <v>-0.1003</v>
      </c>
    </row>
    <row r="8" spans="3:15" ht="16" thickBot="1" x14ac:dyDescent="0.4">
      <c r="C8" s="2">
        <v>3</v>
      </c>
      <c r="D8" s="8">
        <v>1.12E-2</v>
      </c>
      <c r="E8" s="8">
        <v>0.1163</v>
      </c>
      <c r="F8" s="8">
        <v>0.1903</v>
      </c>
      <c r="G8" s="8">
        <v>0.21329999999999999</v>
      </c>
      <c r="H8" s="8">
        <v>0.1792</v>
      </c>
      <c r="I8" s="8">
        <v>9.7000000000000003E-2</v>
      </c>
      <c r="J8" s="9">
        <v>-1.12E-2</v>
      </c>
      <c r="K8" s="9">
        <v>-0.1163</v>
      </c>
      <c r="L8" s="9">
        <v>-0.1903</v>
      </c>
      <c r="M8" s="9">
        <v>-0.21329999999999999</v>
      </c>
      <c r="N8" s="9">
        <v>-0.1792</v>
      </c>
      <c r="O8" s="9">
        <v>-9.7000000000000003E-2</v>
      </c>
    </row>
    <row r="9" spans="3:15" ht="16" thickBot="1" x14ac:dyDescent="0.4">
      <c r="C9" s="2">
        <v>4</v>
      </c>
      <c r="D9" s="8">
        <v>1.49E-2</v>
      </c>
      <c r="E9" s="8">
        <v>0.1195</v>
      </c>
      <c r="F9" s="8">
        <v>0.192</v>
      </c>
      <c r="G9" s="8">
        <v>0.21310000000000001</v>
      </c>
      <c r="H9" s="8">
        <v>0.17710000000000001</v>
      </c>
      <c r="I9" s="8">
        <v>9.3600000000000003E-2</v>
      </c>
      <c r="J9" s="9">
        <v>-1.49E-2</v>
      </c>
      <c r="K9" s="9">
        <v>-0.1195</v>
      </c>
      <c r="L9" s="9">
        <v>-0.192</v>
      </c>
      <c r="M9" s="9">
        <v>-0.21310000000000001</v>
      </c>
      <c r="N9" s="9">
        <v>-0.17710000000000001</v>
      </c>
      <c r="O9" s="9">
        <v>-9.3600000000000003E-2</v>
      </c>
    </row>
    <row r="10" spans="3:15" ht="16" thickBot="1" x14ac:dyDescent="0.4">
      <c r="C10" s="2">
        <v>5</v>
      </c>
      <c r="D10" s="8">
        <v>1.8599999999999998E-2</v>
      </c>
      <c r="E10" s="8">
        <v>0.1225</v>
      </c>
      <c r="F10" s="8">
        <v>0.19359999999999999</v>
      </c>
      <c r="G10" s="8">
        <v>0.21279999999999999</v>
      </c>
      <c r="H10" s="8">
        <v>0.17499999999999999</v>
      </c>
      <c r="I10" s="8">
        <v>9.0300000000000005E-2</v>
      </c>
      <c r="J10" s="9">
        <v>-1.8599999999999998E-2</v>
      </c>
      <c r="K10" s="9">
        <v>-0.1225</v>
      </c>
      <c r="L10" s="9">
        <v>-0.19359999999999999</v>
      </c>
      <c r="M10" s="9">
        <v>-0.21279999999999999</v>
      </c>
      <c r="N10" s="9">
        <v>-0.17499999999999999</v>
      </c>
      <c r="O10" s="9">
        <v>-9.0300000000000005E-2</v>
      </c>
    </row>
    <row r="11" spans="3:15" ht="16" thickBot="1" x14ac:dyDescent="0.4">
      <c r="C11" s="2">
        <v>6</v>
      </c>
      <c r="D11" s="8">
        <v>2.23E-2</v>
      </c>
      <c r="E11" s="8">
        <v>0.12559999999999999</v>
      </c>
      <c r="F11" s="8">
        <v>0.1951</v>
      </c>
      <c r="G11" s="8">
        <v>0.21240000000000001</v>
      </c>
      <c r="H11" s="8">
        <v>0.17280000000000001</v>
      </c>
      <c r="I11" s="8">
        <v>8.6900000000000005E-2</v>
      </c>
      <c r="J11" s="9">
        <v>-2.23E-2</v>
      </c>
      <c r="K11" s="9">
        <v>-0.12559999999999999</v>
      </c>
      <c r="L11" s="9">
        <v>-0.1951</v>
      </c>
      <c r="M11" s="9">
        <v>-0.21240000000000001</v>
      </c>
      <c r="N11" s="9">
        <v>-0.17280000000000001</v>
      </c>
      <c r="O11" s="9">
        <v>-8.6900000000000005E-2</v>
      </c>
    </row>
    <row r="12" spans="3:15" ht="16" thickBot="1" x14ac:dyDescent="0.4">
      <c r="C12" s="2">
        <v>7</v>
      </c>
      <c r="D12" s="8">
        <v>2.5999999999999999E-2</v>
      </c>
      <c r="E12" s="8">
        <v>0.12859999999999999</v>
      </c>
      <c r="F12" s="8">
        <v>0.1966</v>
      </c>
      <c r="G12" s="8">
        <v>0.21199999999999999</v>
      </c>
      <c r="H12" s="8">
        <v>0.1706</v>
      </c>
      <c r="I12" s="8">
        <v>8.3500000000000005E-2</v>
      </c>
      <c r="J12" s="9">
        <v>-2.5999999999999999E-2</v>
      </c>
      <c r="K12" s="9">
        <v>-0.12859999999999999</v>
      </c>
      <c r="L12" s="9">
        <v>-0.1966</v>
      </c>
      <c r="M12" s="9">
        <v>-0.21199999999999999</v>
      </c>
      <c r="N12" s="9">
        <v>-0.1706</v>
      </c>
      <c r="O12" s="9">
        <v>-8.3500000000000005E-2</v>
      </c>
    </row>
    <row r="13" spans="3:15" ht="16" thickBot="1" x14ac:dyDescent="0.4">
      <c r="C13" s="2">
        <v>8</v>
      </c>
      <c r="D13" s="8">
        <v>2.9700000000000001E-2</v>
      </c>
      <c r="E13" s="8">
        <v>0.13150000000000001</v>
      </c>
      <c r="F13" s="8">
        <v>0.1981</v>
      </c>
      <c r="G13" s="8">
        <v>0.21149999999999999</v>
      </c>
      <c r="H13" s="8">
        <v>0.16830000000000001</v>
      </c>
      <c r="I13" s="8">
        <v>0.08</v>
      </c>
      <c r="J13" s="9">
        <v>-2.9700000000000001E-2</v>
      </c>
      <c r="K13" s="9">
        <v>-0.13150000000000001</v>
      </c>
      <c r="L13" s="9">
        <v>-0.1981</v>
      </c>
      <c r="M13" s="9">
        <v>-0.21149999999999999</v>
      </c>
      <c r="N13" s="9">
        <v>-0.16830000000000001</v>
      </c>
      <c r="O13" s="9">
        <v>-0.08</v>
      </c>
    </row>
    <row r="14" spans="3:15" ht="16" thickBot="1" x14ac:dyDescent="0.4">
      <c r="C14" s="2">
        <v>9</v>
      </c>
      <c r="D14" s="8">
        <v>3.3399999999999999E-2</v>
      </c>
      <c r="E14" s="8">
        <v>0.13439999999999999</v>
      </c>
      <c r="F14" s="8">
        <v>0.19939999999999999</v>
      </c>
      <c r="G14" s="8">
        <v>0.21099999999999999</v>
      </c>
      <c r="H14" s="8">
        <v>0.16600000000000001</v>
      </c>
      <c r="I14" s="8">
        <v>7.6600000000000001E-2</v>
      </c>
      <c r="J14" s="9">
        <v>-3.3399999999999999E-2</v>
      </c>
      <c r="K14" s="9">
        <v>-0.13439999999999999</v>
      </c>
      <c r="L14" s="9">
        <v>-0.19939999999999999</v>
      </c>
      <c r="M14" s="9">
        <v>-0.21099999999999999</v>
      </c>
      <c r="N14" s="9">
        <v>-0.16600000000000001</v>
      </c>
      <c r="O14" s="9">
        <v>-7.6600000000000001E-2</v>
      </c>
    </row>
    <row r="15" spans="3:15" ht="16" thickBot="1" x14ac:dyDescent="0.4">
      <c r="C15" s="2">
        <v>10</v>
      </c>
      <c r="D15" s="8">
        <v>3.7100000000000001E-2</v>
      </c>
      <c r="E15" s="8">
        <v>0.13730000000000001</v>
      </c>
      <c r="F15" s="8">
        <v>0.20069999999999999</v>
      </c>
      <c r="G15" s="8">
        <v>0.2104</v>
      </c>
      <c r="H15" s="8">
        <v>0.1636</v>
      </c>
      <c r="I15" s="8">
        <v>7.3099999999999998E-2</v>
      </c>
      <c r="J15" s="9">
        <v>-3.7100000000000001E-2</v>
      </c>
      <c r="K15" s="9">
        <v>-0.13730000000000001</v>
      </c>
      <c r="L15" s="9">
        <v>-0.20069999999999999</v>
      </c>
      <c r="M15" s="9">
        <v>-0.2104</v>
      </c>
      <c r="N15" s="9">
        <v>-0.1636</v>
      </c>
      <c r="O15" s="9">
        <v>-7.3099999999999998E-2</v>
      </c>
    </row>
    <row r="16" spans="3:15" ht="16" thickBot="1" x14ac:dyDescent="0.4">
      <c r="C16" s="2">
        <v>11</v>
      </c>
      <c r="D16" s="8">
        <v>4.0800000000000003E-2</v>
      </c>
      <c r="E16" s="8">
        <v>0.1401</v>
      </c>
      <c r="F16" s="8">
        <v>0.20200000000000001</v>
      </c>
      <c r="G16" s="8">
        <v>0.2097</v>
      </c>
      <c r="H16" s="8">
        <v>0.16120000000000001</v>
      </c>
      <c r="I16" s="8">
        <v>6.9500000000000006E-2</v>
      </c>
      <c r="J16" s="9">
        <v>-4.0800000000000003E-2</v>
      </c>
      <c r="K16" s="9">
        <v>-0.1401</v>
      </c>
      <c r="L16" s="9">
        <v>-0.20200000000000001</v>
      </c>
      <c r="M16" s="9">
        <v>-0.2097</v>
      </c>
      <c r="N16" s="9">
        <v>-0.16120000000000001</v>
      </c>
      <c r="O16" s="9">
        <v>-6.9500000000000006E-2</v>
      </c>
    </row>
    <row r="17" spans="3:15" ht="16" thickBot="1" x14ac:dyDescent="0.4">
      <c r="C17" s="2">
        <v>12</v>
      </c>
      <c r="D17" s="8">
        <v>4.4400000000000002E-2</v>
      </c>
      <c r="E17" s="8">
        <v>0.1429</v>
      </c>
      <c r="F17" s="8">
        <v>0.20319999999999999</v>
      </c>
      <c r="G17" s="8">
        <v>0.2089</v>
      </c>
      <c r="H17" s="8">
        <v>0.15870000000000001</v>
      </c>
      <c r="I17" s="8">
        <v>6.6000000000000003E-2</v>
      </c>
      <c r="J17" s="9">
        <v>-4.4400000000000002E-2</v>
      </c>
      <c r="K17" s="9">
        <v>-0.1429</v>
      </c>
      <c r="L17" s="9">
        <v>-0.20319999999999999</v>
      </c>
      <c r="M17" s="9">
        <v>-0.2089</v>
      </c>
      <c r="N17" s="9">
        <v>-0.15870000000000001</v>
      </c>
      <c r="O17" s="9">
        <v>-6.6000000000000003E-2</v>
      </c>
    </row>
    <row r="18" spans="3:15" ht="16" thickBot="1" x14ac:dyDescent="0.4">
      <c r="C18" s="2">
        <v>13</v>
      </c>
      <c r="D18" s="8">
        <v>4.8099999999999997E-2</v>
      </c>
      <c r="E18" s="8">
        <v>0.1457</v>
      </c>
      <c r="F18" s="8">
        <v>0.20430000000000001</v>
      </c>
      <c r="G18" s="8">
        <v>0.20810000000000001</v>
      </c>
      <c r="H18" s="8">
        <v>0.15620000000000001</v>
      </c>
      <c r="I18" s="8">
        <v>6.25E-2</v>
      </c>
      <c r="J18" s="9">
        <v>-4.8099999999999997E-2</v>
      </c>
      <c r="K18" s="9">
        <v>-0.1457</v>
      </c>
      <c r="L18" s="9">
        <v>-0.20430000000000001</v>
      </c>
      <c r="M18" s="9">
        <v>-0.20810000000000001</v>
      </c>
      <c r="N18" s="9">
        <v>-0.15620000000000001</v>
      </c>
      <c r="O18" s="9">
        <v>-6.25E-2</v>
      </c>
    </row>
    <row r="19" spans="3:15" ht="16" thickBot="1" x14ac:dyDescent="0.4">
      <c r="C19" s="2">
        <v>14</v>
      </c>
      <c r="D19" s="8">
        <v>5.1700000000000003E-2</v>
      </c>
      <c r="E19" s="8">
        <v>0.1484</v>
      </c>
      <c r="F19" s="8">
        <v>0.20530000000000001</v>
      </c>
      <c r="G19" s="8">
        <v>0.20730000000000001</v>
      </c>
      <c r="H19" s="8">
        <v>0.1537</v>
      </c>
      <c r="I19" s="8">
        <v>5.8900000000000001E-2</v>
      </c>
      <c r="J19" s="9">
        <v>-5.1700000000000003E-2</v>
      </c>
      <c r="K19" s="9">
        <v>-0.1484</v>
      </c>
      <c r="L19" s="9">
        <v>-0.20530000000000001</v>
      </c>
      <c r="M19" s="9">
        <v>-0.20730000000000001</v>
      </c>
      <c r="N19" s="9">
        <v>-0.1537</v>
      </c>
      <c r="O19" s="9">
        <v>-5.8900000000000001E-2</v>
      </c>
    </row>
    <row r="20" spans="3:15" ht="16" thickBot="1" x14ac:dyDescent="0.4">
      <c r="C20" s="2">
        <v>15</v>
      </c>
      <c r="D20" s="8">
        <v>5.5300000000000002E-2</v>
      </c>
      <c r="E20" s="8">
        <v>0.15110000000000001</v>
      </c>
      <c r="F20" s="8">
        <v>0.20630000000000001</v>
      </c>
      <c r="G20" s="8">
        <v>0.20630000000000001</v>
      </c>
      <c r="H20" s="8">
        <v>0.15110000000000001</v>
      </c>
      <c r="I20" s="8">
        <v>5.5300000000000002E-2</v>
      </c>
      <c r="J20" s="9">
        <v>-5.5300000000000002E-2</v>
      </c>
      <c r="K20" s="9">
        <v>-0.15110000000000001</v>
      </c>
      <c r="L20" s="9">
        <v>-0.20630000000000001</v>
      </c>
      <c r="M20" s="9">
        <v>-0.20630000000000001</v>
      </c>
      <c r="N20" s="9">
        <v>-0.15110000000000001</v>
      </c>
      <c r="O20" s="9">
        <v>-5.5300000000000002E-2</v>
      </c>
    </row>
    <row r="21" spans="3:15" ht="16" thickBot="1" x14ac:dyDescent="0.4">
      <c r="C21" s="2">
        <v>16</v>
      </c>
      <c r="D21" s="8">
        <v>5.8900000000000001E-2</v>
      </c>
      <c r="E21" s="8">
        <v>0.1537</v>
      </c>
      <c r="F21" s="8">
        <v>0.20730000000000001</v>
      </c>
      <c r="G21" s="8">
        <v>0.20530000000000001</v>
      </c>
      <c r="H21" s="8">
        <v>0.1484</v>
      </c>
      <c r="I21" s="8">
        <v>5.1700000000000003E-2</v>
      </c>
      <c r="J21" s="9">
        <v>-5.8900000000000001E-2</v>
      </c>
      <c r="K21" s="9">
        <v>-0.1537</v>
      </c>
      <c r="L21" s="9">
        <v>-0.20730000000000001</v>
      </c>
      <c r="M21" s="9">
        <v>-0.20530000000000001</v>
      </c>
      <c r="N21" s="9">
        <v>-0.1484</v>
      </c>
      <c r="O21" s="9">
        <v>-5.1700000000000003E-2</v>
      </c>
    </row>
    <row r="22" spans="3:15" ht="16" thickBot="1" x14ac:dyDescent="0.4">
      <c r="C22" s="2">
        <v>17</v>
      </c>
      <c r="D22" s="8">
        <v>6.25E-2</v>
      </c>
      <c r="E22" s="8">
        <v>0.15620000000000001</v>
      </c>
      <c r="F22" s="8">
        <v>0.20810000000000001</v>
      </c>
      <c r="G22" s="8">
        <v>0.20430000000000001</v>
      </c>
      <c r="H22" s="8">
        <v>0.1457</v>
      </c>
      <c r="I22" s="8">
        <v>4.8099999999999997E-2</v>
      </c>
      <c r="J22" s="9">
        <v>-6.25E-2</v>
      </c>
      <c r="K22" s="9">
        <v>-0.15620000000000001</v>
      </c>
      <c r="L22" s="9">
        <v>-0.20810000000000001</v>
      </c>
      <c r="M22" s="9">
        <v>-0.20430000000000001</v>
      </c>
      <c r="N22" s="9">
        <v>-0.1457</v>
      </c>
      <c r="O22" s="9">
        <v>-4.8099999999999997E-2</v>
      </c>
    </row>
    <row r="23" spans="3:15" ht="16" thickBot="1" x14ac:dyDescent="0.4">
      <c r="C23" s="2">
        <v>18</v>
      </c>
      <c r="D23" s="8">
        <v>6.6000000000000003E-2</v>
      </c>
      <c r="E23" s="8">
        <v>0.15870000000000001</v>
      </c>
      <c r="F23" s="8">
        <v>0.2089</v>
      </c>
      <c r="G23" s="8">
        <v>0.20319999999999999</v>
      </c>
      <c r="H23" s="8">
        <v>0.1429</v>
      </c>
      <c r="I23" s="8">
        <v>4.4400000000000002E-2</v>
      </c>
      <c r="J23" s="9">
        <v>-6.6000000000000003E-2</v>
      </c>
      <c r="K23" s="9">
        <v>-0.15870000000000001</v>
      </c>
      <c r="L23" s="9">
        <v>-0.2089</v>
      </c>
      <c r="M23" s="9">
        <v>-0.20319999999999999</v>
      </c>
      <c r="N23" s="9">
        <v>-0.1429</v>
      </c>
      <c r="O23" s="9">
        <v>-4.4400000000000002E-2</v>
      </c>
    </row>
    <row r="24" spans="3:15" ht="16" thickBot="1" x14ac:dyDescent="0.4">
      <c r="C24" s="2">
        <v>19</v>
      </c>
      <c r="D24" s="8">
        <v>6.9500000000000006E-2</v>
      </c>
      <c r="E24" s="8">
        <v>0.16120000000000001</v>
      </c>
      <c r="F24" s="8">
        <v>0.2097</v>
      </c>
      <c r="G24" s="8">
        <v>0.20200000000000001</v>
      </c>
      <c r="H24" s="8">
        <v>0.1401</v>
      </c>
      <c r="I24" s="8">
        <v>4.0800000000000003E-2</v>
      </c>
      <c r="J24" s="9">
        <v>-6.9500000000000006E-2</v>
      </c>
      <c r="K24" s="9">
        <v>-0.16120000000000001</v>
      </c>
      <c r="L24" s="9">
        <v>-0.2097</v>
      </c>
      <c r="M24" s="9">
        <v>-0.20200000000000001</v>
      </c>
      <c r="N24" s="9">
        <v>-0.1401</v>
      </c>
      <c r="O24" s="9">
        <v>-4.0800000000000003E-2</v>
      </c>
    </row>
    <row r="25" spans="3:15" ht="16" thickBot="1" x14ac:dyDescent="0.4">
      <c r="C25" s="2">
        <v>20</v>
      </c>
      <c r="D25" s="8">
        <v>7.3099999999999998E-2</v>
      </c>
      <c r="E25" s="8">
        <v>0.1636</v>
      </c>
      <c r="F25" s="8">
        <v>0.2104</v>
      </c>
      <c r="G25" s="8">
        <v>0.20069999999999999</v>
      </c>
      <c r="H25" s="8">
        <v>0.13730000000000001</v>
      </c>
      <c r="I25" s="8">
        <v>3.7100000000000001E-2</v>
      </c>
      <c r="J25" s="9">
        <v>-7.3099999999999998E-2</v>
      </c>
      <c r="K25" s="8">
        <v>-0.1636</v>
      </c>
      <c r="L25" s="9">
        <v>-0.2104</v>
      </c>
      <c r="M25" s="9">
        <v>-0.20069999999999999</v>
      </c>
      <c r="N25" s="9">
        <v>-0.13730000000000001</v>
      </c>
      <c r="O25" s="9">
        <v>-3.7100000000000001E-2</v>
      </c>
    </row>
    <row r="26" spans="3:15" ht="16" thickBot="1" x14ac:dyDescent="0.4">
      <c r="C26" s="2">
        <v>21</v>
      </c>
      <c r="D26" s="8">
        <v>7.6600000000000001E-2</v>
      </c>
      <c r="E26" s="8">
        <v>0.16600000000000001</v>
      </c>
      <c r="F26" s="8">
        <v>0.21099999999999999</v>
      </c>
      <c r="G26" s="8">
        <v>0.19939999999999999</v>
      </c>
      <c r="H26" s="8">
        <v>0.13439999999999999</v>
      </c>
      <c r="I26" s="8">
        <v>3.3399999999999999E-2</v>
      </c>
      <c r="J26" s="9">
        <v>-7.6600000000000001E-2</v>
      </c>
      <c r="K26" s="9">
        <v>-0.16600000000000001</v>
      </c>
      <c r="L26" s="9">
        <v>-0.21099999999999999</v>
      </c>
      <c r="M26" s="9">
        <v>-0.19939999999999999</v>
      </c>
      <c r="N26" s="9">
        <v>-0.13439999999999999</v>
      </c>
      <c r="O26" s="9">
        <v>-3.3399999999999999E-2</v>
      </c>
    </row>
    <row r="27" spans="3:15" ht="16" thickBot="1" x14ac:dyDescent="0.4">
      <c r="C27" s="2">
        <v>22</v>
      </c>
      <c r="D27" s="8">
        <v>0.08</v>
      </c>
      <c r="E27" s="8">
        <v>0.16830000000000001</v>
      </c>
      <c r="F27" s="8">
        <v>0.21149999999999999</v>
      </c>
      <c r="G27" s="8">
        <v>0.1981</v>
      </c>
      <c r="H27" s="8">
        <v>0.13150000000000001</v>
      </c>
      <c r="I27" s="8">
        <v>2.9700000000000001E-2</v>
      </c>
      <c r="J27" s="9">
        <v>-0.08</v>
      </c>
      <c r="K27" s="9">
        <v>-0.16830000000000001</v>
      </c>
      <c r="L27" s="9">
        <v>-0.21149999999999999</v>
      </c>
      <c r="M27" s="9">
        <v>-0.1981</v>
      </c>
      <c r="N27" s="9">
        <v>-0.13150000000000001</v>
      </c>
      <c r="O27" s="9">
        <v>-2.9700000000000001E-2</v>
      </c>
    </row>
    <row r="28" spans="3:15" ht="16" thickBot="1" x14ac:dyDescent="0.4">
      <c r="C28" s="2">
        <v>23</v>
      </c>
      <c r="D28" s="8">
        <v>8.3500000000000005E-2</v>
      </c>
      <c r="E28" s="8">
        <v>0.1706</v>
      </c>
      <c r="F28" s="8">
        <v>0.21199999999999999</v>
      </c>
      <c r="G28" s="8">
        <v>0.1966</v>
      </c>
      <c r="H28" s="8">
        <v>0.12859999999999999</v>
      </c>
      <c r="I28" s="8">
        <v>2.5999999999999999E-2</v>
      </c>
      <c r="J28" s="9">
        <v>-8.3500000000000005E-2</v>
      </c>
      <c r="K28" s="9">
        <v>-0.1706</v>
      </c>
      <c r="L28" s="9">
        <v>-0.21199999999999999</v>
      </c>
      <c r="M28" s="9">
        <v>-0.1966</v>
      </c>
      <c r="N28" s="9">
        <v>-0.12859999999999999</v>
      </c>
      <c r="O28" s="9">
        <v>-2.5999999999999999E-2</v>
      </c>
    </row>
    <row r="29" spans="3:15" ht="16" thickBot="1" x14ac:dyDescent="0.4">
      <c r="C29" s="2">
        <v>24</v>
      </c>
      <c r="D29" s="8">
        <v>8.6900000000000005E-2</v>
      </c>
      <c r="E29" s="8">
        <v>0.17280000000000001</v>
      </c>
      <c r="F29" s="8">
        <v>0.21240000000000001</v>
      </c>
      <c r="G29" s="8">
        <v>0.1951</v>
      </c>
      <c r="H29" s="8">
        <v>0.12559999999999999</v>
      </c>
      <c r="I29" s="8">
        <v>2.23E-2</v>
      </c>
      <c r="J29" s="9">
        <v>-8.6900000000000005E-2</v>
      </c>
      <c r="K29" s="9">
        <v>-0.17280000000000001</v>
      </c>
      <c r="L29" s="9">
        <v>-0.21240000000000001</v>
      </c>
      <c r="M29" s="9">
        <v>-0.1951</v>
      </c>
      <c r="N29" s="9">
        <v>-0.12559999999999999</v>
      </c>
      <c r="O29" s="9">
        <v>-2.23E-2</v>
      </c>
    </row>
    <row r="30" spans="3:15" ht="16" thickBot="1" x14ac:dyDescent="0.4">
      <c r="C30" s="2">
        <v>25</v>
      </c>
      <c r="D30" s="8">
        <v>9.0300000000000005E-2</v>
      </c>
      <c r="E30" s="8">
        <v>0.17499999999999999</v>
      </c>
      <c r="F30" s="8">
        <v>0.21279999999999999</v>
      </c>
      <c r="G30" s="8">
        <v>0.19359999999999999</v>
      </c>
      <c r="H30" s="8">
        <v>0.1225</v>
      </c>
      <c r="I30" s="8">
        <v>1.8599999999999998E-2</v>
      </c>
      <c r="J30" s="9">
        <v>-9.0300000000000005E-2</v>
      </c>
      <c r="K30" s="9">
        <v>-0.17499999999999999</v>
      </c>
      <c r="L30" s="9">
        <v>-0.21279999999999999</v>
      </c>
      <c r="M30" s="9">
        <v>-0.19359999999999999</v>
      </c>
      <c r="N30" s="9">
        <v>-0.1225</v>
      </c>
      <c r="O30" s="9">
        <v>-1.8599999999999998E-2</v>
      </c>
    </row>
    <row r="31" spans="3:15" ht="16" thickBot="1" x14ac:dyDescent="0.4">
      <c r="C31" s="2">
        <v>26</v>
      </c>
      <c r="D31" s="8">
        <v>9.3600000000000003E-2</v>
      </c>
      <c r="E31" s="8">
        <v>0.17710000000000001</v>
      </c>
      <c r="F31" s="8">
        <v>0.21310000000000001</v>
      </c>
      <c r="G31" s="8">
        <v>0.192</v>
      </c>
      <c r="H31" s="8">
        <v>0.1195</v>
      </c>
      <c r="I31" s="8">
        <v>1.49E-2</v>
      </c>
      <c r="J31" s="9">
        <v>-9.3600000000000003E-2</v>
      </c>
      <c r="K31" s="9">
        <v>-0.17710000000000001</v>
      </c>
      <c r="L31" s="9">
        <v>-0.21310000000000001</v>
      </c>
      <c r="M31" s="9">
        <v>-0.192</v>
      </c>
      <c r="N31" s="9">
        <v>-0.1195</v>
      </c>
      <c r="O31" s="9">
        <v>-1.49E-2</v>
      </c>
    </row>
    <row r="32" spans="3:15" ht="16" thickBot="1" x14ac:dyDescent="0.4">
      <c r="C32" s="2">
        <v>27</v>
      </c>
      <c r="D32" s="8">
        <v>9.7000000000000003E-2</v>
      </c>
      <c r="E32" s="8">
        <v>0.1792</v>
      </c>
      <c r="F32" s="8">
        <v>0.21329999999999999</v>
      </c>
      <c r="G32" s="8">
        <v>0.1903</v>
      </c>
      <c r="H32" s="8">
        <v>0.1163</v>
      </c>
      <c r="I32" s="8">
        <v>1.12E-2</v>
      </c>
      <c r="J32" s="9">
        <v>-9.7000000000000003E-2</v>
      </c>
      <c r="K32" s="9">
        <v>-0.1792</v>
      </c>
      <c r="L32" s="9">
        <v>-0.21329999999999999</v>
      </c>
      <c r="M32" s="9">
        <v>-0.1903</v>
      </c>
      <c r="N32" s="9">
        <v>-0.1163</v>
      </c>
      <c r="O32" s="9">
        <v>-1.12E-2</v>
      </c>
    </row>
    <row r="33" spans="3:15" ht="16" thickBot="1" x14ac:dyDescent="0.4">
      <c r="C33" s="2">
        <v>28</v>
      </c>
      <c r="D33" s="8">
        <v>0.1003</v>
      </c>
      <c r="E33" s="8">
        <v>0.1812</v>
      </c>
      <c r="F33" s="8">
        <v>0.2135</v>
      </c>
      <c r="G33" s="8">
        <v>0.18859999999999999</v>
      </c>
      <c r="H33" s="8">
        <v>0.1132</v>
      </c>
      <c r="I33" s="8">
        <v>7.4999999999999997E-3</v>
      </c>
      <c r="J33" s="9">
        <v>-0.1003</v>
      </c>
      <c r="K33" s="9">
        <v>-0.1812</v>
      </c>
      <c r="L33" s="9">
        <v>-0.2135</v>
      </c>
      <c r="M33" s="9">
        <v>-0.18859999999999999</v>
      </c>
      <c r="N33" s="9">
        <v>-0.1132</v>
      </c>
      <c r="O33" s="9">
        <v>-7.4999999999999997E-3</v>
      </c>
    </row>
    <row r="34" spans="3:15" ht="16" thickBot="1" x14ac:dyDescent="0.4">
      <c r="C34" s="2">
        <v>29</v>
      </c>
      <c r="D34" s="8">
        <v>0.1036</v>
      </c>
      <c r="E34" s="8">
        <v>0.18310000000000001</v>
      </c>
      <c r="F34" s="8">
        <v>0.21360000000000001</v>
      </c>
      <c r="G34" s="8">
        <v>0.18679999999999999</v>
      </c>
      <c r="H34" s="8">
        <v>0.11</v>
      </c>
      <c r="I34" s="8">
        <v>3.7000000000000002E-3</v>
      </c>
      <c r="J34" s="9">
        <v>-0.1036</v>
      </c>
      <c r="K34" s="9">
        <v>-0.18310000000000001</v>
      </c>
      <c r="L34" s="9">
        <v>-0.21360000000000001</v>
      </c>
      <c r="M34" s="9">
        <v>-0.18679999999999999</v>
      </c>
      <c r="N34" s="9">
        <v>-0.11</v>
      </c>
      <c r="O34" s="9">
        <v>-3.7000000000000002E-3</v>
      </c>
    </row>
    <row r="35" spans="3:15" ht="16" thickBot="1" x14ac:dyDescent="0.4">
      <c r="C35" s="2">
        <v>30</v>
      </c>
      <c r="D35" s="8">
        <v>0.10680000000000001</v>
      </c>
      <c r="E35" s="8">
        <v>0.185</v>
      </c>
      <c r="F35" s="8">
        <v>0.21360000000000001</v>
      </c>
      <c r="G35" s="8">
        <v>0.185</v>
      </c>
      <c r="H35" s="8">
        <v>0.10680000000000001</v>
      </c>
      <c r="I35" s="8">
        <v>0</v>
      </c>
      <c r="J35" s="9">
        <v>-0.10680000000000001</v>
      </c>
      <c r="K35" s="9">
        <v>-0.185</v>
      </c>
      <c r="L35" s="9">
        <v>-0.21360000000000001</v>
      </c>
      <c r="M35" s="9">
        <v>-0.185</v>
      </c>
      <c r="N35" s="9">
        <v>-0.10680000000000001</v>
      </c>
      <c r="O35" s="9">
        <v>0</v>
      </c>
    </row>
  </sheetData>
  <mergeCells count="1">
    <mergeCell ref="C3:O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8E58-D161-47C1-80F1-E54C9AC6FFE9}">
  <dimension ref="C3:O35"/>
  <sheetViews>
    <sheetView workbookViewId="0">
      <selection activeCell="B3" sqref="B3:O35"/>
    </sheetView>
  </sheetViews>
  <sheetFormatPr defaultRowHeight="14.5" x14ac:dyDescent="0.35"/>
  <sheetData>
    <row r="3" spans="3:15" ht="15" x14ac:dyDescent="0.35">
      <c r="C3" s="30"/>
      <c r="D3" s="90" t="s">
        <v>232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2"/>
    </row>
    <row r="4" spans="3:15" ht="15" x14ac:dyDescent="0.35">
      <c r="C4" s="30" t="s">
        <v>15</v>
      </c>
      <c r="D4" s="30">
        <v>0</v>
      </c>
      <c r="E4" s="30">
        <v>30</v>
      </c>
      <c r="F4" s="30">
        <v>60</v>
      </c>
      <c r="G4" s="30">
        <v>90</v>
      </c>
      <c r="H4" s="30">
        <v>120</v>
      </c>
      <c r="I4" s="30">
        <v>150</v>
      </c>
      <c r="J4" s="30">
        <v>180</v>
      </c>
      <c r="K4" s="30">
        <v>210</v>
      </c>
      <c r="L4" s="30">
        <v>240</v>
      </c>
      <c r="M4" s="30">
        <v>270</v>
      </c>
      <c r="N4" s="30">
        <v>300</v>
      </c>
      <c r="O4" s="30">
        <v>330</v>
      </c>
    </row>
    <row r="5" spans="3:15" ht="15.5" x14ac:dyDescent="0.35">
      <c r="C5" s="31">
        <v>0</v>
      </c>
      <c r="D5" s="31" t="s">
        <v>22</v>
      </c>
      <c r="E5" s="31">
        <v>-9.2600000000000002E-2</v>
      </c>
      <c r="F5" s="31">
        <v>-0.1603</v>
      </c>
      <c r="G5" s="31">
        <v>-0.18509999999999999</v>
      </c>
      <c r="H5" s="31">
        <v>-0.1603</v>
      </c>
      <c r="I5" s="31">
        <v>-9.2600000000000002E-2</v>
      </c>
      <c r="J5" s="31" t="s">
        <v>22</v>
      </c>
      <c r="K5" s="31">
        <v>9.2600000000000002E-2</v>
      </c>
      <c r="L5" s="31">
        <v>0.1603</v>
      </c>
      <c r="M5" s="31">
        <v>0.18509999999999999</v>
      </c>
      <c r="N5" s="31">
        <v>0.1603</v>
      </c>
      <c r="O5" s="31">
        <v>9.2600000000000002E-2</v>
      </c>
    </row>
    <row r="6" spans="3:15" ht="15.5" x14ac:dyDescent="0.35">
      <c r="C6" s="31">
        <v>1</v>
      </c>
      <c r="D6" s="31">
        <v>-3.2000000000000002E-3</v>
      </c>
      <c r="E6" s="31">
        <v>-9.5299999999999996E-2</v>
      </c>
      <c r="F6" s="31">
        <v>-0.16189999999999999</v>
      </c>
      <c r="G6" s="31">
        <v>-0.18509999999999999</v>
      </c>
      <c r="H6" s="31">
        <v>-0.15870000000000001</v>
      </c>
      <c r="I6" s="31">
        <v>-8.9700000000000002E-2</v>
      </c>
      <c r="J6" s="31">
        <v>3.2000000000000002E-3</v>
      </c>
      <c r="K6" s="31">
        <v>9.5299999999999996E-2</v>
      </c>
      <c r="L6" s="31">
        <v>0.16189999999999999</v>
      </c>
      <c r="M6" s="31">
        <v>0.18509999999999999</v>
      </c>
      <c r="N6" s="31">
        <v>0.15870000000000001</v>
      </c>
      <c r="O6" s="31">
        <v>8.9700000000000002E-2</v>
      </c>
    </row>
    <row r="7" spans="3:15" ht="15.5" x14ac:dyDescent="0.35">
      <c r="C7" s="31">
        <v>2</v>
      </c>
      <c r="D7" s="31">
        <v>-6.4999999999999997E-3</v>
      </c>
      <c r="E7" s="31">
        <v>-9.8100000000000007E-2</v>
      </c>
      <c r="F7" s="31">
        <v>-0.16339999999999999</v>
      </c>
      <c r="G7" s="31">
        <v>-0.185</v>
      </c>
      <c r="H7" s="31" t="s">
        <v>317</v>
      </c>
      <c r="I7" s="31">
        <v>-8.6900000000000005E-2</v>
      </c>
      <c r="J7" s="31">
        <v>6.4999999999999997E-3</v>
      </c>
      <c r="K7" s="31">
        <v>9.8100000000000007E-2</v>
      </c>
      <c r="L7" s="31">
        <v>0.16339999999999999</v>
      </c>
      <c r="M7" s="31" t="s">
        <v>245</v>
      </c>
      <c r="N7" s="31" t="s">
        <v>246</v>
      </c>
      <c r="O7" s="31">
        <v>8.6900000000000005E-2</v>
      </c>
    </row>
    <row r="8" spans="3:15" ht="15.5" x14ac:dyDescent="0.35">
      <c r="C8" s="31">
        <v>3</v>
      </c>
      <c r="D8" s="31">
        <v>-9.7000000000000003E-3</v>
      </c>
      <c r="E8" s="31">
        <v>-0.1008</v>
      </c>
      <c r="F8" s="31">
        <v>-0.16489999999999999</v>
      </c>
      <c r="G8" s="31">
        <v>-0.18490000000000001</v>
      </c>
      <c r="H8" s="31">
        <v>-0.15529999999999999</v>
      </c>
      <c r="I8" s="31">
        <v>-8.4000000000000005E-2</v>
      </c>
      <c r="J8" s="31">
        <v>9.7000000000000003E-3</v>
      </c>
      <c r="K8" s="31">
        <v>0.1008</v>
      </c>
      <c r="L8" s="31">
        <v>0.16489999999999999</v>
      </c>
      <c r="M8" s="31">
        <v>0.18490000000000001</v>
      </c>
      <c r="N8" s="31">
        <v>0.15529999999999999</v>
      </c>
      <c r="O8" s="31" t="s">
        <v>255</v>
      </c>
    </row>
    <row r="9" spans="3:15" ht="15.5" x14ac:dyDescent="0.35">
      <c r="C9" s="31">
        <v>4</v>
      </c>
      <c r="D9" s="31">
        <v>-1.29E-2</v>
      </c>
      <c r="E9" s="31">
        <v>-0.10349999999999999</v>
      </c>
      <c r="F9" s="31">
        <v>-0.16639999999999999</v>
      </c>
      <c r="G9" s="31">
        <v>-0.1847</v>
      </c>
      <c r="H9" s="31">
        <v>-0.1535</v>
      </c>
      <c r="I9" s="31">
        <v>-8.1100000000000005E-2</v>
      </c>
      <c r="J9" s="31">
        <v>1.29E-2</v>
      </c>
      <c r="K9" s="31">
        <v>0.10349999999999999</v>
      </c>
      <c r="L9" s="31">
        <v>0.16639999999999999</v>
      </c>
      <c r="M9" s="31">
        <v>0.1847</v>
      </c>
      <c r="N9" s="31">
        <v>0.1535</v>
      </c>
      <c r="O9" s="31">
        <v>8.1100000000000005E-2</v>
      </c>
    </row>
    <row r="10" spans="3:15" ht="15.5" x14ac:dyDescent="0.35">
      <c r="C10" s="31">
        <v>5</v>
      </c>
      <c r="D10" s="31">
        <v>-1.61E-2</v>
      </c>
      <c r="E10" s="31">
        <v>-0.1062</v>
      </c>
      <c r="F10" s="31">
        <v>-0.1678</v>
      </c>
      <c r="G10" s="31">
        <v>-0.18440000000000001</v>
      </c>
      <c r="H10" s="31">
        <v>-0.15160000000000001</v>
      </c>
      <c r="I10" s="31">
        <v>-7.8200000000000006E-2</v>
      </c>
      <c r="J10" s="31">
        <v>1.61E-2</v>
      </c>
      <c r="K10" s="31">
        <v>0.1062</v>
      </c>
      <c r="L10" s="31">
        <v>0.1678</v>
      </c>
      <c r="M10" s="31">
        <v>0.18440000000000001</v>
      </c>
      <c r="N10" s="31">
        <v>0.15160000000000001</v>
      </c>
      <c r="O10" s="31">
        <v>7.8200000000000006E-2</v>
      </c>
    </row>
    <row r="11" spans="3:15" ht="15.5" x14ac:dyDescent="0.35">
      <c r="C11" s="31">
        <v>6</v>
      </c>
      <c r="D11" s="31">
        <v>-1.9300000000000001E-2</v>
      </c>
      <c r="E11" s="31">
        <v>-0.10879999999999999</v>
      </c>
      <c r="F11" s="31">
        <v>-0.1691</v>
      </c>
      <c r="G11" s="31">
        <v>-0.18410000000000001</v>
      </c>
      <c r="H11" s="31">
        <v>-0.14979999999999999</v>
      </c>
      <c r="I11" s="31">
        <v>-7.5300000000000006E-2</v>
      </c>
      <c r="J11" s="31">
        <v>1.9300000000000001E-2</v>
      </c>
      <c r="K11" s="31">
        <v>0.10879999999999999</v>
      </c>
      <c r="L11" s="31">
        <v>0.1691</v>
      </c>
      <c r="M11" s="31">
        <v>0.18410000000000001</v>
      </c>
      <c r="N11" s="31">
        <v>0.14979999999999999</v>
      </c>
      <c r="O11" s="31">
        <v>7.5300000000000006E-2</v>
      </c>
    </row>
    <row r="12" spans="3:15" ht="15.5" x14ac:dyDescent="0.35">
      <c r="C12" s="31">
        <v>7</v>
      </c>
      <c r="D12" s="31">
        <v>-2.2599999999999999E-2</v>
      </c>
      <c r="E12" s="31">
        <v>-0.1114</v>
      </c>
      <c r="F12" s="31">
        <v>-0.1704</v>
      </c>
      <c r="G12" s="31">
        <v>-0.1837</v>
      </c>
      <c r="H12" s="31">
        <v>-0.14779999999999999</v>
      </c>
      <c r="I12" s="31">
        <v>-7.2300000000000003E-2</v>
      </c>
      <c r="J12" s="31">
        <v>2.2599999999999999E-2</v>
      </c>
      <c r="K12" s="31">
        <v>0.1114</v>
      </c>
      <c r="L12" s="31">
        <v>0.1704</v>
      </c>
      <c r="M12" s="31">
        <v>0.1837</v>
      </c>
      <c r="N12" s="31">
        <v>0.14779999999999999</v>
      </c>
      <c r="O12" s="31">
        <v>7.2300000000000003E-2</v>
      </c>
    </row>
    <row r="13" spans="3:15" ht="15.5" x14ac:dyDescent="0.35">
      <c r="C13" s="31">
        <v>8</v>
      </c>
      <c r="D13" s="31">
        <v>-2.58E-2</v>
      </c>
      <c r="E13" s="31">
        <v>-0.114</v>
      </c>
      <c r="F13" s="31">
        <v>-0.1716</v>
      </c>
      <c r="G13" s="31">
        <v>-0.18329999999999999</v>
      </c>
      <c r="H13" s="31">
        <v>-0.1459</v>
      </c>
      <c r="I13" s="31">
        <v>-6.93E-2</v>
      </c>
      <c r="J13" s="31">
        <v>2.58E-2</v>
      </c>
      <c r="K13" s="31" t="s">
        <v>314</v>
      </c>
      <c r="L13" s="31">
        <v>0.1716</v>
      </c>
      <c r="M13" s="31">
        <v>0.18329999999999999</v>
      </c>
      <c r="N13" s="31">
        <v>0.1459</v>
      </c>
      <c r="O13" s="31">
        <v>6.93E-2</v>
      </c>
    </row>
    <row r="14" spans="3:15" ht="15.5" x14ac:dyDescent="0.35">
      <c r="C14" s="31">
        <v>9</v>
      </c>
      <c r="D14" s="31" t="s">
        <v>261</v>
      </c>
      <c r="E14" s="31">
        <v>-0.11650000000000001</v>
      </c>
      <c r="F14" s="31">
        <v>-0.17280000000000001</v>
      </c>
      <c r="G14" s="31">
        <v>-0.18279999999999999</v>
      </c>
      <c r="H14" s="31">
        <v>-0.1439</v>
      </c>
      <c r="I14" s="31">
        <v>-6.6299999999999998E-2</v>
      </c>
      <c r="J14" s="31" t="s">
        <v>260</v>
      </c>
      <c r="K14" s="31">
        <v>0.11650000000000001</v>
      </c>
      <c r="L14" s="31">
        <v>0.17280000000000001</v>
      </c>
      <c r="M14" s="31">
        <v>0.18279999999999999</v>
      </c>
      <c r="N14" s="31">
        <v>0.1439</v>
      </c>
      <c r="O14" s="31">
        <v>6.6299999999999998E-2</v>
      </c>
    </row>
    <row r="15" spans="3:15" ht="15.5" x14ac:dyDescent="0.35">
      <c r="C15" s="31">
        <v>10</v>
      </c>
      <c r="D15" s="31">
        <v>-3.2099999999999997E-2</v>
      </c>
      <c r="E15" s="31">
        <v>-0.11899999999999999</v>
      </c>
      <c r="F15" s="31" t="s">
        <v>318</v>
      </c>
      <c r="G15" s="31">
        <v>-0.18229999999999999</v>
      </c>
      <c r="H15" s="31">
        <v>-0.14180000000000001</v>
      </c>
      <c r="I15" s="31">
        <v>-6.3299999999999995E-2</v>
      </c>
      <c r="J15" s="31">
        <v>3.2099999999999997E-2</v>
      </c>
      <c r="K15" s="31" t="s">
        <v>288</v>
      </c>
      <c r="L15" s="31" t="s">
        <v>289</v>
      </c>
      <c r="M15" s="31">
        <v>0.18229999999999999</v>
      </c>
      <c r="N15" s="31">
        <v>0.14180000000000001</v>
      </c>
      <c r="O15" s="31">
        <v>6.3299999999999995E-2</v>
      </c>
    </row>
    <row r="16" spans="3:15" ht="15.5" x14ac:dyDescent="0.35">
      <c r="C16" s="31">
        <v>11</v>
      </c>
      <c r="D16" s="31">
        <v>-3.5299999999999998E-2</v>
      </c>
      <c r="E16" s="31">
        <v>-0.12139999999999999</v>
      </c>
      <c r="F16" s="31" t="s">
        <v>319</v>
      </c>
      <c r="G16" s="31">
        <v>-0.1817</v>
      </c>
      <c r="H16" s="31">
        <v>-0.13969999999999999</v>
      </c>
      <c r="I16" s="31">
        <v>-6.0299999999999999E-2</v>
      </c>
      <c r="J16" s="31">
        <v>3.5299999999999998E-2</v>
      </c>
      <c r="K16" s="31">
        <v>0.12139999999999999</v>
      </c>
      <c r="L16" s="31" t="s">
        <v>290</v>
      </c>
      <c r="M16" s="31">
        <v>0.1817</v>
      </c>
      <c r="N16" s="31">
        <v>0.13969999999999999</v>
      </c>
      <c r="O16" s="31">
        <v>6.0299999999999999E-2</v>
      </c>
    </row>
    <row r="17" spans="3:15" ht="15.5" x14ac:dyDescent="0.35">
      <c r="C17" s="31">
        <v>12</v>
      </c>
      <c r="D17" s="31">
        <v>-3.85E-2</v>
      </c>
      <c r="E17" s="31">
        <v>-0.1239</v>
      </c>
      <c r="F17" s="31">
        <v>-0.17610000000000001</v>
      </c>
      <c r="G17" s="31">
        <v>-0.18110000000000001</v>
      </c>
      <c r="H17" s="31">
        <v>-0.1376</v>
      </c>
      <c r="I17" s="31">
        <v>-5.7200000000000001E-2</v>
      </c>
      <c r="J17" s="31">
        <v>3.85E-2</v>
      </c>
      <c r="K17" s="31">
        <v>0.1239</v>
      </c>
      <c r="L17" s="31">
        <v>0.17610000000000001</v>
      </c>
      <c r="M17" s="31">
        <v>0.18110000000000001</v>
      </c>
      <c r="N17" s="31">
        <v>0.1376</v>
      </c>
      <c r="O17" s="31">
        <v>5.7200000000000001E-2</v>
      </c>
    </row>
    <row r="18" spans="3:15" ht="15.5" x14ac:dyDescent="0.35">
      <c r="C18" s="31">
        <v>13</v>
      </c>
      <c r="D18" s="31">
        <v>-4.1599999999999998E-2</v>
      </c>
      <c r="E18" s="31">
        <v>-0.12620000000000001</v>
      </c>
      <c r="F18" s="31" t="s">
        <v>320</v>
      </c>
      <c r="G18" s="31">
        <v>-0.1804</v>
      </c>
      <c r="H18" s="31">
        <v>-0.13539999999999999</v>
      </c>
      <c r="I18" s="31">
        <v>-5.4100000000000002E-2</v>
      </c>
      <c r="J18" s="31">
        <v>4.1599999999999998E-2</v>
      </c>
      <c r="K18" s="31">
        <v>0.12620000000000001</v>
      </c>
      <c r="L18" s="31" t="s">
        <v>301</v>
      </c>
      <c r="M18" s="31">
        <v>0.1804</v>
      </c>
      <c r="N18" s="31">
        <v>0.13539999999999999</v>
      </c>
      <c r="O18" s="31">
        <v>5.4100000000000002E-2</v>
      </c>
    </row>
    <row r="19" spans="3:15" ht="15.5" x14ac:dyDescent="0.35">
      <c r="C19" s="31">
        <v>14</v>
      </c>
      <c r="D19" s="31">
        <v>-4.48E-2</v>
      </c>
      <c r="E19" s="31">
        <v>-0.12859999999999999</v>
      </c>
      <c r="F19" s="31">
        <v>-0.1779</v>
      </c>
      <c r="G19" s="31">
        <v>-0.17960000000000001</v>
      </c>
      <c r="H19" s="31">
        <v>-0.13320000000000001</v>
      </c>
      <c r="I19" s="31" t="s">
        <v>309</v>
      </c>
      <c r="J19" s="31">
        <v>4.48E-2</v>
      </c>
      <c r="K19" s="31">
        <v>0.12859999999999999</v>
      </c>
      <c r="L19" s="31">
        <v>0.1779</v>
      </c>
      <c r="M19" s="31">
        <v>0.17960000000000001</v>
      </c>
      <c r="N19" s="31">
        <v>0.13320000000000001</v>
      </c>
      <c r="O19" s="31" t="s">
        <v>306</v>
      </c>
    </row>
    <row r="20" spans="3:15" ht="15.5" x14ac:dyDescent="0.35">
      <c r="C20" s="31">
        <v>15</v>
      </c>
      <c r="D20" s="31">
        <v>-4.7899999999999998E-2</v>
      </c>
      <c r="E20" s="31">
        <v>-0.13089999999999999</v>
      </c>
      <c r="F20" s="31">
        <v>-0.17879999999999999</v>
      </c>
      <c r="G20" s="31">
        <v>-0.17879999999999999</v>
      </c>
      <c r="H20" s="31">
        <v>-0.13089999999999999</v>
      </c>
      <c r="I20" s="31">
        <v>-4.7899999999999998E-2</v>
      </c>
      <c r="J20" s="31">
        <v>4.7899999999999998E-2</v>
      </c>
      <c r="K20" s="31">
        <v>0.13089999999999999</v>
      </c>
      <c r="L20" s="31">
        <v>0.17879999999999999</v>
      </c>
      <c r="M20" s="31">
        <v>0.17879999999999999</v>
      </c>
      <c r="N20" s="31">
        <v>0.13089999999999999</v>
      </c>
      <c r="O20" s="31">
        <v>4.7899999999999998E-2</v>
      </c>
    </row>
    <row r="21" spans="3:15" ht="15.5" x14ac:dyDescent="0.35">
      <c r="C21" s="31">
        <v>16</v>
      </c>
      <c r="D21" s="31" t="s">
        <v>309</v>
      </c>
      <c r="E21" s="31">
        <v>-0.13320000000000001</v>
      </c>
      <c r="F21" s="31">
        <v>-0.17960000000000001</v>
      </c>
      <c r="G21" s="31">
        <v>-0.1779</v>
      </c>
      <c r="H21" s="31">
        <v>-0.12859999999999999</v>
      </c>
      <c r="I21" s="31">
        <v>-4.48E-2</v>
      </c>
      <c r="J21" s="31" t="s">
        <v>306</v>
      </c>
      <c r="K21" s="31">
        <v>0.13320000000000001</v>
      </c>
      <c r="L21" s="31">
        <v>0.17960000000000001</v>
      </c>
      <c r="M21" s="31">
        <v>0.1779</v>
      </c>
      <c r="N21" s="31">
        <v>0.12859999999999999</v>
      </c>
      <c r="O21" s="31">
        <v>4.48E-2</v>
      </c>
    </row>
    <row r="22" spans="3:15" ht="15.5" x14ac:dyDescent="0.35">
      <c r="C22" s="31">
        <v>17</v>
      </c>
      <c r="D22" s="31">
        <v>-5.4100000000000002E-2</v>
      </c>
      <c r="E22" s="31">
        <v>-0.13539999999999999</v>
      </c>
      <c r="F22" s="31">
        <v>-0.1804</v>
      </c>
      <c r="G22" s="31" t="s">
        <v>320</v>
      </c>
      <c r="H22" s="31">
        <v>-0.12620000000000001</v>
      </c>
      <c r="I22" s="31">
        <v>-4.1599999999999998E-2</v>
      </c>
      <c r="J22" s="31">
        <v>5.4100000000000002E-2</v>
      </c>
      <c r="K22" s="31">
        <v>0.13539999999999999</v>
      </c>
      <c r="L22" s="31">
        <v>0.1804</v>
      </c>
      <c r="M22" s="31" t="s">
        <v>301</v>
      </c>
      <c r="N22" s="31">
        <v>0.12620000000000001</v>
      </c>
      <c r="O22" s="31">
        <v>4.1599999999999998E-2</v>
      </c>
    </row>
    <row r="23" spans="3:15" ht="15.5" x14ac:dyDescent="0.35">
      <c r="C23" s="31">
        <v>18</v>
      </c>
      <c r="D23" s="31">
        <v>-5.7200000000000001E-2</v>
      </c>
      <c r="E23" s="31">
        <v>-0.1376</v>
      </c>
      <c r="F23" s="31">
        <v>-0.18110000000000001</v>
      </c>
      <c r="G23" s="31">
        <v>-0.17610000000000001</v>
      </c>
      <c r="H23" s="31">
        <v>-0.1239</v>
      </c>
      <c r="I23" s="31">
        <v>-3.85E-2</v>
      </c>
      <c r="J23" s="31">
        <v>5.7200000000000001E-2</v>
      </c>
      <c r="K23" s="31">
        <v>0.1376</v>
      </c>
      <c r="L23" s="31">
        <v>0.18110000000000001</v>
      </c>
      <c r="M23" s="31">
        <v>0.17610000000000001</v>
      </c>
      <c r="N23" s="31">
        <v>0.1239</v>
      </c>
      <c r="O23" s="31">
        <v>3.85E-2</v>
      </c>
    </row>
    <row r="24" spans="3:15" ht="15.5" x14ac:dyDescent="0.35">
      <c r="C24" s="31">
        <v>19</v>
      </c>
      <c r="D24" s="31">
        <v>-6.0299999999999999E-2</v>
      </c>
      <c r="E24" s="31">
        <v>-0.13969999999999999</v>
      </c>
      <c r="F24" s="31">
        <v>-0.1817</v>
      </c>
      <c r="G24" s="31" t="s">
        <v>319</v>
      </c>
      <c r="H24" s="31">
        <v>-0.12139999999999999</v>
      </c>
      <c r="I24" s="31">
        <v>-3.5299999999999998E-2</v>
      </c>
      <c r="J24" s="31">
        <v>6.0299999999999999E-2</v>
      </c>
      <c r="K24" s="31">
        <v>0.13969999999999999</v>
      </c>
      <c r="L24" s="31">
        <v>0.1817</v>
      </c>
      <c r="M24" s="31" t="s">
        <v>290</v>
      </c>
      <c r="N24" s="31">
        <v>0.12139999999999999</v>
      </c>
      <c r="O24" s="31">
        <v>3.5299999999999998E-2</v>
      </c>
    </row>
    <row r="25" spans="3:15" ht="15.5" x14ac:dyDescent="0.35">
      <c r="C25" s="31">
        <v>20</v>
      </c>
      <c r="D25" s="31">
        <v>-6.3299999999999995E-2</v>
      </c>
      <c r="E25" s="31">
        <v>-0.14180000000000001</v>
      </c>
      <c r="F25" s="31">
        <v>-0.18229999999999999</v>
      </c>
      <c r="G25" s="31" t="s">
        <v>318</v>
      </c>
      <c r="H25" s="31" t="s">
        <v>321</v>
      </c>
      <c r="I25" s="31">
        <v>-3.2099999999999997E-2</v>
      </c>
      <c r="J25" s="31">
        <v>6.3299999999999995E-2</v>
      </c>
      <c r="K25" s="31">
        <v>0.14180000000000001</v>
      </c>
      <c r="L25" s="31">
        <v>0.18229999999999999</v>
      </c>
      <c r="M25" s="31" t="s">
        <v>289</v>
      </c>
      <c r="N25" s="31" t="s">
        <v>288</v>
      </c>
      <c r="O25" s="31">
        <v>3.2099999999999997E-2</v>
      </c>
    </row>
    <row r="26" spans="3:15" ht="15.5" x14ac:dyDescent="0.35">
      <c r="C26" s="31">
        <v>21</v>
      </c>
      <c r="D26" s="31">
        <v>-6.6299999999999998E-2</v>
      </c>
      <c r="E26" s="31">
        <v>-0.1439</v>
      </c>
      <c r="F26" s="31">
        <v>-0.18279999999999999</v>
      </c>
      <c r="G26" s="31">
        <v>-0.17280000000000001</v>
      </c>
      <c r="H26" s="31">
        <v>-0.11650000000000001</v>
      </c>
      <c r="I26" s="31" t="s">
        <v>261</v>
      </c>
      <c r="J26" s="31">
        <v>6.6299999999999998E-2</v>
      </c>
      <c r="K26" s="31">
        <v>0.1439</v>
      </c>
      <c r="L26" s="31">
        <v>0.18279999999999999</v>
      </c>
      <c r="M26" s="31">
        <v>0.17280000000000001</v>
      </c>
      <c r="N26" s="31">
        <v>0.11650000000000001</v>
      </c>
      <c r="O26" s="31" t="s">
        <v>260</v>
      </c>
    </row>
    <row r="27" spans="3:15" ht="15.5" x14ac:dyDescent="0.35">
      <c r="C27" s="31">
        <v>22</v>
      </c>
      <c r="D27" s="31">
        <v>-6.93E-2</v>
      </c>
      <c r="E27" s="31">
        <v>-0.1459</v>
      </c>
      <c r="F27" s="31">
        <v>-0.18329999999999999</v>
      </c>
      <c r="G27" s="31">
        <v>-0.1716</v>
      </c>
      <c r="H27" s="31" t="s">
        <v>322</v>
      </c>
      <c r="I27" s="31">
        <v>-2.58E-2</v>
      </c>
      <c r="J27" s="31">
        <v>6.93E-2</v>
      </c>
      <c r="K27" s="31">
        <v>0.1459</v>
      </c>
      <c r="L27" s="31">
        <v>0.18329999999999999</v>
      </c>
      <c r="M27" s="31">
        <v>0.1716</v>
      </c>
      <c r="N27" s="31" t="s">
        <v>314</v>
      </c>
      <c r="O27" s="31">
        <v>2.58E-2</v>
      </c>
    </row>
    <row r="28" spans="3:15" ht="15.5" x14ac:dyDescent="0.35">
      <c r="C28" s="31">
        <v>23</v>
      </c>
      <c r="D28" s="31">
        <v>-7.2300000000000003E-2</v>
      </c>
      <c r="E28" s="31">
        <v>-0.14779999999999999</v>
      </c>
      <c r="F28" s="31">
        <v>-0.1837</v>
      </c>
      <c r="G28" s="31">
        <v>-0.1704</v>
      </c>
      <c r="H28" s="31">
        <v>-0.1114</v>
      </c>
      <c r="I28" s="31">
        <v>-2.2599999999999999E-2</v>
      </c>
      <c r="J28" s="31">
        <v>7.2300000000000003E-2</v>
      </c>
      <c r="K28" s="31">
        <v>0.14779999999999999</v>
      </c>
      <c r="L28" s="31">
        <v>0.1837</v>
      </c>
      <c r="M28" s="31">
        <v>0.1704</v>
      </c>
      <c r="N28" s="31">
        <v>0.1114</v>
      </c>
      <c r="O28" s="31">
        <v>2.2599999999999999E-2</v>
      </c>
    </row>
    <row r="29" spans="3:15" ht="15.5" x14ac:dyDescent="0.35">
      <c r="C29" s="31">
        <v>24</v>
      </c>
      <c r="D29" s="31">
        <v>-7.5300000000000006E-2</v>
      </c>
      <c r="E29" s="31">
        <v>-0.14979999999999999</v>
      </c>
      <c r="F29" s="31">
        <v>-0.18410000000000001</v>
      </c>
      <c r="G29" s="31">
        <v>-0.1691</v>
      </c>
      <c r="H29" s="31">
        <v>-0.10879999999999999</v>
      </c>
      <c r="I29" s="31">
        <v>-1.9300000000000001E-2</v>
      </c>
      <c r="J29" s="31">
        <v>7.5300000000000006E-2</v>
      </c>
      <c r="K29" s="31">
        <v>0.14979999999999999</v>
      </c>
      <c r="L29" s="31">
        <v>0.18410000000000001</v>
      </c>
      <c r="M29" s="31">
        <v>0.1691</v>
      </c>
      <c r="N29" s="31">
        <v>0.10879999999999999</v>
      </c>
      <c r="O29" s="31">
        <v>1.9300000000000001E-2</v>
      </c>
    </row>
    <row r="30" spans="3:15" ht="15.5" x14ac:dyDescent="0.35">
      <c r="C30" s="31">
        <v>25</v>
      </c>
      <c r="D30" s="31">
        <v>-7.8200000000000006E-2</v>
      </c>
      <c r="E30" s="31">
        <v>-0.15160000000000001</v>
      </c>
      <c r="F30" s="31">
        <v>-0.18440000000000001</v>
      </c>
      <c r="G30" s="31">
        <v>-0.1678</v>
      </c>
      <c r="H30" s="31">
        <v>-0.1062</v>
      </c>
      <c r="I30" s="31">
        <v>-1.61E-2</v>
      </c>
      <c r="J30" s="31">
        <v>7.8200000000000006E-2</v>
      </c>
      <c r="K30" s="31">
        <v>0.15160000000000001</v>
      </c>
      <c r="L30" s="31">
        <v>0.18440000000000001</v>
      </c>
      <c r="M30" s="31">
        <v>0.1678</v>
      </c>
      <c r="N30" s="31">
        <v>0.1062</v>
      </c>
      <c r="O30" s="31">
        <v>1.61E-2</v>
      </c>
    </row>
    <row r="31" spans="3:15" ht="15.5" x14ac:dyDescent="0.35">
      <c r="C31" s="31">
        <v>26</v>
      </c>
      <c r="D31" s="31">
        <v>-8.1100000000000005E-2</v>
      </c>
      <c r="E31" s="31">
        <v>-0.1535</v>
      </c>
      <c r="F31" s="31">
        <v>-0.1847</v>
      </c>
      <c r="G31" s="31">
        <v>-0.16639999999999999</v>
      </c>
      <c r="H31" s="31">
        <v>-0.10349999999999999</v>
      </c>
      <c r="I31" s="31">
        <v>-1.29E-2</v>
      </c>
      <c r="J31" s="31">
        <v>8.1100000000000005E-2</v>
      </c>
      <c r="K31" s="31">
        <v>0.1535</v>
      </c>
      <c r="L31" s="31">
        <v>0.1847</v>
      </c>
      <c r="M31" s="31">
        <v>0.16639999999999999</v>
      </c>
      <c r="N31" s="31">
        <v>0.10349999999999999</v>
      </c>
      <c r="O31" s="31">
        <v>1.29E-2</v>
      </c>
    </row>
    <row r="32" spans="3:15" ht="15.5" x14ac:dyDescent="0.35">
      <c r="C32" s="31">
        <v>27</v>
      </c>
      <c r="D32" s="31" t="s">
        <v>324</v>
      </c>
      <c r="E32" s="31">
        <v>-0.15529999999999999</v>
      </c>
      <c r="F32" s="31">
        <v>-0.18490000000000001</v>
      </c>
      <c r="G32" s="31">
        <v>-0.16489999999999999</v>
      </c>
      <c r="H32" s="31">
        <v>-0.1008</v>
      </c>
      <c r="I32" s="31">
        <v>-9.7000000000000003E-3</v>
      </c>
      <c r="J32" s="31" t="s">
        <v>255</v>
      </c>
      <c r="K32" s="31">
        <v>0.15529999999999999</v>
      </c>
      <c r="L32" s="31">
        <v>0.18490000000000001</v>
      </c>
      <c r="M32" s="31">
        <v>0.16489999999999999</v>
      </c>
      <c r="N32" s="31">
        <v>0.1008</v>
      </c>
      <c r="O32" s="31">
        <v>9.7000000000000003E-3</v>
      </c>
    </row>
    <row r="33" spans="3:15" ht="15.5" x14ac:dyDescent="0.35">
      <c r="C33" s="31">
        <v>28</v>
      </c>
      <c r="D33" s="31">
        <v>-8.6900000000000005E-2</v>
      </c>
      <c r="E33" s="31" t="s">
        <v>317</v>
      </c>
      <c r="F33" s="31" t="s">
        <v>323</v>
      </c>
      <c r="G33" s="31">
        <v>-0.16339999999999999</v>
      </c>
      <c r="H33" s="31">
        <v>-9.8100000000000007E-2</v>
      </c>
      <c r="I33" s="31">
        <v>-6.4999999999999997E-3</v>
      </c>
      <c r="J33" s="31">
        <v>8.6900000000000005E-2</v>
      </c>
      <c r="K33" s="31" t="s">
        <v>246</v>
      </c>
      <c r="L33" s="31" t="s">
        <v>245</v>
      </c>
      <c r="M33" s="31">
        <v>0.16339999999999999</v>
      </c>
      <c r="N33" s="31">
        <v>9.8100000000000007E-2</v>
      </c>
      <c r="O33" s="31">
        <v>6.4999999999999997E-3</v>
      </c>
    </row>
    <row r="34" spans="3:15" ht="15.5" x14ac:dyDescent="0.35">
      <c r="C34" s="31">
        <v>29</v>
      </c>
      <c r="D34" s="31">
        <v>-8.9700000000000002E-2</v>
      </c>
      <c r="E34" s="31">
        <v>-0.15870000000000001</v>
      </c>
      <c r="F34" s="31">
        <v>-0.18509999999999999</v>
      </c>
      <c r="G34" s="31">
        <v>-0.16189999999999999</v>
      </c>
      <c r="H34" s="31">
        <v>-9.5299999999999996E-2</v>
      </c>
      <c r="I34" s="31">
        <v>-3.2000000000000002E-3</v>
      </c>
      <c r="J34" s="31">
        <v>8.9700000000000002E-2</v>
      </c>
      <c r="K34" s="31">
        <v>0.15870000000000001</v>
      </c>
      <c r="L34" s="31">
        <v>0.18509999999999999</v>
      </c>
      <c r="M34" s="31">
        <v>0.16189999999999999</v>
      </c>
      <c r="N34" s="31">
        <v>9.5299999999999996E-2</v>
      </c>
      <c r="O34" s="31">
        <v>3.2000000000000002E-3</v>
      </c>
    </row>
    <row r="35" spans="3:15" ht="15.5" x14ac:dyDescent="0.35">
      <c r="C35" s="31">
        <v>30</v>
      </c>
      <c r="D35" s="31">
        <v>-9.2600000000000002E-2</v>
      </c>
      <c r="E35" s="31">
        <v>-0.1603</v>
      </c>
      <c r="F35" s="31">
        <v>-0.18509999999999999</v>
      </c>
      <c r="G35" s="31">
        <v>-0.1603</v>
      </c>
      <c r="H35" s="31">
        <v>-9.2600000000000002E-2</v>
      </c>
      <c r="I35" s="31" t="s">
        <v>22</v>
      </c>
      <c r="J35" s="31">
        <v>9.2600000000000002E-2</v>
      </c>
      <c r="K35" s="31">
        <v>0.1603</v>
      </c>
      <c r="L35" s="31">
        <v>0.18509999999999999</v>
      </c>
      <c r="M35" s="31">
        <v>0.1603</v>
      </c>
      <c r="N35" s="31">
        <v>9.2600000000000002E-2</v>
      </c>
      <c r="O35" s="31" t="s">
        <v>22</v>
      </c>
    </row>
  </sheetData>
  <mergeCells count="1">
    <mergeCell ref="D3:O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D54C-65E1-42DA-B1B3-C98CBD21C55D}">
  <dimension ref="C3:O35"/>
  <sheetViews>
    <sheetView workbookViewId="0">
      <selection activeCell="B3" sqref="B3:O35"/>
    </sheetView>
  </sheetViews>
  <sheetFormatPr defaultRowHeight="14.5" x14ac:dyDescent="0.35"/>
  <sheetData>
    <row r="3" spans="3:15" x14ac:dyDescent="0.35">
      <c r="C3" s="110" t="s">
        <v>233</v>
      </c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2"/>
    </row>
    <row r="4" spans="3:15" x14ac:dyDescent="0.35">
      <c r="C4" s="26" t="s">
        <v>15</v>
      </c>
      <c r="D4" s="26" t="s">
        <v>16</v>
      </c>
      <c r="E4" s="26" t="s">
        <v>17</v>
      </c>
      <c r="F4" s="26" t="s">
        <v>18</v>
      </c>
      <c r="G4" s="26" t="s">
        <v>19</v>
      </c>
      <c r="H4" s="26" t="s">
        <v>20</v>
      </c>
      <c r="I4" s="26" t="s">
        <v>21</v>
      </c>
      <c r="J4" s="26" t="s">
        <v>36</v>
      </c>
      <c r="K4" s="27">
        <v>210</v>
      </c>
      <c r="L4" s="27">
        <v>240</v>
      </c>
      <c r="M4" s="27">
        <v>270</v>
      </c>
      <c r="N4" s="27">
        <v>300</v>
      </c>
      <c r="O4" s="27">
        <v>330</v>
      </c>
    </row>
    <row r="5" spans="3:15" x14ac:dyDescent="0.35">
      <c r="C5" s="28" t="s">
        <v>16</v>
      </c>
      <c r="D5" s="28" t="s">
        <v>22</v>
      </c>
      <c r="E5" s="28">
        <v>-5.7200000000000001E-2</v>
      </c>
      <c r="F5" s="28" t="s">
        <v>237</v>
      </c>
      <c r="G5" s="28">
        <v>-0.1143</v>
      </c>
      <c r="H5" s="28" t="s">
        <v>237</v>
      </c>
      <c r="I5" s="28">
        <v>-5.7200000000000001E-2</v>
      </c>
      <c r="J5" s="28" t="s">
        <v>22</v>
      </c>
      <c r="K5" s="28">
        <v>5.7200000000000001E-2</v>
      </c>
      <c r="L5" s="28" t="s">
        <v>238</v>
      </c>
      <c r="M5" s="28">
        <v>0.1143</v>
      </c>
      <c r="N5" s="28" t="s">
        <v>238</v>
      </c>
      <c r="O5" s="28">
        <v>5.7200000000000001E-2</v>
      </c>
    </row>
    <row r="6" spans="3:15" x14ac:dyDescent="0.35">
      <c r="C6" s="28" t="s">
        <v>42</v>
      </c>
      <c r="D6" s="28" t="s">
        <v>55</v>
      </c>
      <c r="E6" s="28">
        <v>-5.8900000000000001E-2</v>
      </c>
      <c r="F6" s="28" t="s">
        <v>239</v>
      </c>
      <c r="G6" s="28">
        <v>-0.1143</v>
      </c>
      <c r="H6" s="28" t="s">
        <v>240</v>
      </c>
      <c r="I6" s="28">
        <v>-5.5399999999999998E-2</v>
      </c>
      <c r="J6" s="28" t="s">
        <v>54</v>
      </c>
      <c r="K6" s="28">
        <v>5.8900000000000001E-2</v>
      </c>
      <c r="L6" s="28" t="s">
        <v>241</v>
      </c>
      <c r="M6" s="28">
        <v>0.1143</v>
      </c>
      <c r="N6" s="28" t="s">
        <v>242</v>
      </c>
      <c r="O6" s="28">
        <v>5.5399999999999998E-2</v>
      </c>
    </row>
    <row r="7" spans="3:15" x14ac:dyDescent="0.35">
      <c r="C7" s="28" t="s">
        <v>43</v>
      </c>
      <c r="D7" s="28" t="s">
        <v>247</v>
      </c>
      <c r="E7" s="28">
        <v>-6.0600000000000001E-2</v>
      </c>
      <c r="F7" s="28">
        <v>-0.1009</v>
      </c>
      <c r="G7" s="28">
        <v>-0.1143</v>
      </c>
      <c r="H7" s="28" t="s">
        <v>248</v>
      </c>
      <c r="I7" s="28">
        <v>-5.3699999999999998E-2</v>
      </c>
      <c r="J7" s="28" t="s">
        <v>249</v>
      </c>
      <c r="K7" s="28">
        <v>6.0600000000000001E-2</v>
      </c>
      <c r="L7" s="28">
        <v>0.1009</v>
      </c>
      <c r="M7" s="28">
        <v>0.1143</v>
      </c>
      <c r="N7" s="28" t="s">
        <v>250</v>
      </c>
      <c r="O7" s="28">
        <v>5.3699999999999998E-2</v>
      </c>
    </row>
    <row r="8" spans="3:15" x14ac:dyDescent="0.35">
      <c r="C8" s="28" t="s">
        <v>44</v>
      </c>
      <c r="D8" s="28" t="s">
        <v>58</v>
      </c>
      <c r="E8" s="28">
        <v>-6.2300000000000001E-2</v>
      </c>
      <c r="F8" s="28">
        <v>-0.1019</v>
      </c>
      <c r="G8" s="28">
        <v>-0.1142</v>
      </c>
      <c r="H8" s="28">
        <v>-9.5899999999999999E-2</v>
      </c>
      <c r="I8" s="28">
        <v>-5.1900000000000002E-2</v>
      </c>
      <c r="J8" s="28" t="s">
        <v>57</v>
      </c>
      <c r="K8" s="28">
        <v>6.2300000000000001E-2</v>
      </c>
      <c r="L8" s="28">
        <v>0.1019</v>
      </c>
      <c r="M8" s="28">
        <v>0.1142</v>
      </c>
      <c r="N8" s="28">
        <v>9.5899999999999999E-2</v>
      </c>
      <c r="O8" s="28">
        <v>5.1900000000000002E-2</v>
      </c>
    </row>
    <row r="9" spans="3:15" x14ac:dyDescent="0.35">
      <c r="C9" s="28" t="s">
        <v>45</v>
      </c>
      <c r="D9" s="28" t="s">
        <v>262</v>
      </c>
      <c r="E9" s="28">
        <v>-6.3899999999999998E-2</v>
      </c>
      <c r="F9" s="28">
        <v>-0.1028</v>
      </c>
      <c r="G9" s="28">
        <v>-0.11409999999999999</v>
      </c>
      <c r="H9" s="28">
        <v>-9.4799999999999995E-2</v>
      </c>
      <c r="I9" s="28">
        <v>-5.0099999999999999E-2</v>
      </c>
      <c r="J9" s="28" t="s">
        <v>263</v>
      </c>
      <c r="K9" s="28">
        <v>6.3899999999999998E-2</v>
      </c>
      <c r="L9" s="28">
        <v>0.1028</v>
      </c>
      <c r="M9" s="28">
        <v>0.11409999999999999</v>
      </c>
      <c r="N9" s="28">
        <v>9.4799999999999995E-2</v>
      </c>
      <c r="O9" s="28">
        <v>5.0099999999999999E-2</v>
      </c>
    </row>
    <row r="10" spans="3:15" x14ac:dyDescent="0.35">
      <c r="C10" s="28" t="s">
        <v>47</v>
      </c>
      <c r="D10" s="28" t="s">
        <v>264</v>
      </c>
      <c r="E10" s="28">
        <v>-6.5600000000000006E-2</v>
      </c>
      <c r="F10" s="28">
        <v>-0.1036</v>
      </c>
      <c r="G10" s="28">
        <v>-0.1139</v>
      </c>
      <c r="H10" s="28">
        <v>-9.3700000000000006E-2</v>
      </c>
      <c r="I10" s="28">
        <v>-4.8300000000000003E-2</v>
      </c>
      <c r="J10" s="28" t="s">
        <v>265</v>
      </c>
      <c r="K10" s="28">
        <v>6.5600000000000006E-2</v>
      </c>
      <c r="L10" s="28">
        <v>0.1036</v>
      </c>
      <c r="M10" s="28">
        <v>0.1139</v>
      </c>
      <c r="N10" s="28">
        <v>9.3700000000000006E-2</v>
      </c>
      <c r="O10" s="28">
        <v>4.8300000000000003E-2</v>
      </c>
    </row>
    <row r="11" spans="3:15" x14ac:dyDescent="0.35">
      <c r="C11" s="28" t="s">
        <v>50</v>
      </c>
      <c r="D11" s="28" t="s">
        <v>66</v>
      </c>
      <c r="E11" s="28">
        <v>-6.7199999999999996E-2</v>
      </c>
      <c r="F11" s="28">
        <v>-0.10440000000000001</v>
      </c>
      <c r="G11" s="28">
        <v>-0.1137</v>
      </c>
      <c r="H11" s="28">
        <v>-9.2499999999999999E-2</v>
      </c>
      <c r="I11" s="28">
        <v>-4.65E-2</v>
      </c>
      <c r="J11" s="28" t="s">
        <v>76</v>
      </c>
      <c r="K11" s="28">
        <v>6.7199999999999996E-2</v>
      </c>
      <c r="L11" s="28">
        <v>0.10440000000000001</v>
      </c>
      <c r="M11" s="28">
        <v>0.1137</v>
      </c>
      <c r="N11" s="28">
        <v>9.2499999999999999E-2</v>
      </c>
      <c r="O11" s="28">
        <v>4.65E-2</v>
      </c>
    </row>
    <row r="12" spans="3:15" x14ac:dyDescent="0.35">
      <c r="C12" s="28" t="s">
        <v>53</v>
      </c>
      <c r="D12" s="28">
        <v>-1.3899999999999999E-2</v>
      </c>
      <c r="E12" s="28">
        <v>-6.88E-2</v>
      </c>
      <c r="F12" s="28">
        <v>-0.1052</v>
      </c>
      <c r="G12" s="28">
        <v>-0.1135</v>
      </c>
      <c r="H12" s="28">
        <v>-9.1300000000000006E-2</v>
      </c>
      <c r="I12" s="28">
        <v>-4.4699999999999997E-2</v>
      </c>
      <c r="J12" s="28">
        <v>1.3899999999999999E-2</v>
      </c>
      <c r="K12" s="28">
        <v>6.88E-2</v>
      </c>
      <c r="L12" s="28">
        <v>0.1052</v>
      </c>
      <c r="M12" s="28">
        <v>0.1135</v>
      </c>
      <c r="N12" s="28">
        <v>9.1300000000000006E-2</v>
      </c>
      <c r="O12" s="28">
        <v>4.4699999999999997E-2</v>
      </c>
    </row>
    <row r="13" spans="3:15" x14ac:dyDescent="0.35">
      <c r="C13" s="28" t="s">
        <v>56</v>
      </c>
      <c r="D13" s="28">
        <v>-1.5900000000000001E-2</v>
      </c>
      <c r="E13" s="28">
        <v>-7.0400000000000004E-2</v>
      </c>
      <c r="F13" s="28" t="s">
        <v>273</v>
      </c>
      <c r="G13" s="28">
        <v>-0.1132</v>
      </c>
      <c r="H13" s="28">
        <v>-9.01E-2</v>
      </c>
      <c r="I13" s="28">
        <v>-4.2799999999999998E-2</v>
      </c>
      <c r="J13" s="28">
        <v>1.5900000000000001E-2</v>
      </c>
      <c r="K13" s="28">
        <v>7.0400000000000004E-2</v>
      </c>
      <c r="L13" s="28" t="s">
        <v>274</v>
      </c>
      <c r="M13" s="28">
        <v>0.1132</v>
      </c>
      <c r="N13" s="28">
        <v>9.01E-2</v>
      </c>
      <c r="O13" s="28">
        <v>4.2799999999999998E-2</v>
      </c>
    </row>
    <row r="14" spans="3:15" x14ac:dyDescent="0.35">
      <c r="C14" s="28" t="s">
        <v>59</v>
      </c>
      <c r="D14" s="28">
        <v>-1.7899999999999999E-2</v>
      </c>
      <c r="E14" s="28" t="s">
        <v>282</v>
      </c>
      <c r="F14" s="28">
        <v>-0.1067</v>
      </c>
      <c r="G14" s="28">
        <v>-0.1129</v>
      </c>
      <c r="H14" s="28">
        <v>-8.8900000000000007E-2</v>
      </c>
      <c r="I14" s="28" t="s">
        <v>283</v>
      </c>
      <c r="J14" s="28">
        <v>1.7899999999999999E-2</v>
      </c>
      <c r="K14" s="28" t="s">
        <v>284</v>
      </c>
      <c r="L14" s="28">
        <v>0.1067</v>
      </c>
      <c r="M14" s="28">
        <v>0.1129</v>
      </c>
      <c r="N14" s="28">
        <v>8.8900000000000007E-2</v>
      </c>
      <c r="O14" s="28" t="s">
        <v>285</v>
      </c>
    </row>
    <row r="15" spans="3:15" x14ac:dyDescent="0.35">
      <c r="C15" s="28" t="s">
        <v>62</v>
      </c>
      <c r="D15" s="28">
        <v>-1.9900000000000001E-2</v>
      </c>
      <c r="E15" s="28">
        <v>-7.3499999999999996E-2</v>
      </c>
      <c r="F15" s="28">
        <v>-0.1074</v>
      </c>
      <c r="G15" s="28">
        <v>-0.11260000000000001</v>
      </c>
      <c r="H15" s="28">
        <v>-8.7599999999999997E-2</v>
      </c>
      <c r="I15" s="28">
        <v>-3.9100000000000003E-2</v>
      </c>
      <c r="J15" s="28">
        <v>1.9900000000000001E-2</v>
      </c>
      <c r="K15" s="28">
        <v>7.3499999999999996E-2</v>
      </c>
      <c r="L15" s="28">
        <v>0.1074</v>
      </c>
      <c r="M15" s="28">
        <v>0.11260000000000001</v>
      </c>
      <c r="N15" s="28">
        <v>8.7599999999999997E-2</v>
      </c>
      <c r="O15" s="28">
        <v>3.9100000000000003E-2</v>
      </c>
    </row>
    <row r="16" spans="3:15" x14ac:dyDescent="0.35">
      <c r="C16" s="28" t="s">
        <v>63</v>
      </c>
      <c r="D16" s="28">
        <v>-2.18E-2</v>
      </c>
      <c r="E16" s="28" t="s">
        <v>291</v>
      </c>
      <c r="F16" s="28">
        <v>-0.1081</v>
      </c>
      <c r="G16" s="28">
        <v>-0.11219999999999999</v>
      </c>
      <c r="H16" s="28">
        <v>-8.6300000000000002E-2</v>
      </c>
      <c r="I16" s="28">
        <v>-3.7199999999999997E-2</v>
      </c>
      <c r="J16" s="28">
        <v>2.18E-2</v>
      </c>
      <c r="K16" s="28" t="s">
        <v>292</v>
      </c>
      <c r="L16" s="28">
        <v>0.1081</v>
      </c>
      <c r="M16" s="28">
        <v>0.11219999999999999</v>
      </c>
      <c r="N16" s="28">
        <v>8.6300000000000002E-2</v>
      </c>
      <c r="O16" s="28">
        <v>3.7199999999999997E-2</v>
      </c>
    </row>
    <row r="17" spans="3:15" x14ac:dyDescent="0.35">
      <c r="C17" s="28" t="s">
        <v>64</v>
      </c>
      <c r="D17" s="28">
        <v>-2.3800000000000002E-2</v>
      </c>
      <c r="E17" s="28">
        <v>-7.6499999999999999E-2</v>
      </c>
      <c r="F17" s="28">
        <v>-0.1087</v>
      </c>
      <c r="G17" s="28">
        <v>-0.1118</v>
      </c>
      <c r="H17" s="28" t="s">
        <v>299</v>
      </c>
      <c r="I17" s="28">
        <v>-3.5299999999999998E-2</v>
      </c>
      <c r="J17" s="28">
        <v>2.3800000000000002E-2</v>
      </c>
      <c r="K17" s="28">
        <v>7.6499999999999999E-2</v>
      </c>
      <c r="L17" s="28">
        <v>0.1087</v>
      </c>
      <c r="M17" s="28">
        <v>0.1118</v>
      </c>
      <c r="N17" s="28" t="s">
        <v>300</v>
      </c>
      <c r="O17" s="28">
        <v>3.5299999999999998E-2</v>
      </c>
    </row>
    <row r="18" spans="3:15" x14ac:dyDescent="0.35">
      <c r="C18" s="28" t="s">
        <v>68</v>
      </c>
      <c r="D18" s="28">
        <v>-2.5700000000000001E-2</v>
      </c>
      <c r="E18" s="28" t="s">
        <v>302</v>
      </c>
      <c r="F18" s="28">
        <v>-0.10929999999999999</v>
      </c>
      <c r="G18" s="28">
        <v>-0.1114</v>
      </c>
      <c r="H18" s="28">
        <v>-8.3599999999999994E-2</v>
      </c>
      <c r="I18" s="28">
        <v>-3.3399999999999999E-2</v>
      </c>
      <c r="J18" s="28">
        <v>2.5700000000000001E-2</v>
      </c>
      <c r="K18" s="28" t="s">
        <v>303</v>
      </c>
      <c r="L18" s="28">
        <v>0.10929999999999999</v>
      </c>
      <c r="M18" s="28">
        <v>0.1114</v>
      </c>
      <c r="N18" s="28">
        <v>8.3599999999999994E-2</v>
      </c>
      <c r="O18" s="28">
        <v>3.3399999999999999E-2</v>
      </c>
    </row>
    <row r="19" spans="3:15" x14ac:dyDescent="0.35">
      <c r="C19" s="28" t="s">
        <v>71</v>
      </c>
      <c r="D19" s="28">
        <v>-2.7699999999999999E-2</v>
      </c>
      <c r="E19" s="28">
        <v>-7.9399999999999998E-2</v>
      </c>
      <c r="F19" s="28">
        <v>-0.1099</v>
      </c>
      <c r="G19" s="28" t="s">
        <v>312</v>
      </c>
      <c r="H19" s="28">
        <v>-8.2199999999999995E-2</v>
      </c>
      <c r="I19" s="28">
        <v>-3.15E-2</v>
      </c>
      <c r="J19" s="28">
        <v>2.7699999999999999E-2</v>
      </c>
      <c r="K19" s="28">
        <v>7.9399999999999998E-2</v>
      </c>
      <c r="L19" s="28">
        <v>0.1099</v>
      </c>
      <c r="M19" s="28">
        <v>0.1109</v>
      </c>
      <c r="N19" s="28">
        <v>8.2199999999999995E-2</v>
      </c>
      <c r="O19" s="28">
        <v>3.15E-2</v>
      </c>
    </row>
    <row r="20" spans="3:15" x14ac:dyDescent="0.35">
      <c r="C20" s="28" t="s">
        <v>72</v>
      </c>
      <c r="D20" s="28">
        <v>-2.9600000000000001E-2</v>
      </c>
      <c r="E20" s="28">
        <v>-8.0799999999999997E-2</v>
      </c>
      <c r="F20" s="28">
        <v>-0.1104</v>
      </c>
      <c r="G20" s="28">
        <v>-0.1104</v>
      </c>
      <c r="H20" s="28">
        <v>-8.0799999999999997E-2</v>
      </c>
      <c r="I20" s="28">
        <v>-2.9600000000000001E-2</v>
      </c>
      <c r="J20" s="28">
        <v>2.9600000000000001E-2</v>
      </c>
      <c r="K20" s="28">
        <v>8.0799999999999997E-2</v>
      </c>
      <c r="L20" s="28">
        <v>0.1104</v>
      </c>
      <c r="M20" s="28">
        <v>0.1104</v>
      </c>
      <c r="N20" s="28">
        <v>8.0799999999999997E-2</v>
      </c>
      <c r="O20" s="28">
        <v>2.9600000000000001E-2</v>
      </c>
    </row>
    <row r="21" spans="3:15" x14ac:dyDescent="0.35">
      <c r="C21" s="28" t="s">
        <v>73</v>
      </c>
      <c r="D21" s="28">
        <v>-3.15E-2</v>
      </c>
      <c r="E21" s="28">
        <v>-8.2199999999999995E-2</v>
      </c>
      <c r="F21" s="28">
        <v>-0.1109</v>
      </c>
      <c r="G21" s="28">
        <v>-0.1099</v>
      </c>
      <c r="H21" s="28">
        <v>-7.9399999999999998E-2</v>
      </c>
      <c r="I21" s="28">
        <v>-2.7699999999999999E-2</v>
      </c>
      <c r="J21" s="28">
        <v>3.15E-2</v>
      </c>
      <c r="K21" s="28">
        <v>8.2199999999999995E-2</v>
      </c>
      <c r="L21" s="28" t="s">
        <v>313</v>
      </c>
      <c r="M21" s="28">
        <v>0.1099</v>
      </c>
      <c r="N21" s="28">
        <v>7.9399999999999998E-2</v>
      </c>
      <c r="O21" s="28">
        <v>2.7699999999999999E-2</v>
      </c>
    </row>
    <row r="22" spans="3:15" x14ac:dyDescent="0.35">
      <c r="C22" s="28" t="s">
        <v>74</v>
      </c>
      <c r="D22" s="28">
        <v>-3.3399999999999999E-2</v>
      </c>
      <c r="E22" s="28">
        <v>-8.3599999999999994E-2</v>
      </c>
      <c r="F22" s="28">
        <v>-0.1114</v>
      </c>
      <c r="G22" s="28">
        <v>-0.10929999999999999</v>
      </c>
      <c r="H22" s="28" t="s">
        <v>302</v>
      </c>
      <c r="I22" s="28">
        <v>-2.5700000000000001E-2</v>
      </c>
      <c r="J22" s="28">
        <v>3.3399999999999999E-2</v>
      </c>
      <c r="K22" s="28">
        <v>8.3599999999999994E-2</v>
      </c>
      <c r="L22" s="28">
        <v>0.1114</v>
      </c>
      <c r="M22" s="28">
        <v>0.10929999999999999</v>
      </c>
      <c r="N22" s="28" t="s">
        <v>303</v>
      </c>
      <c r="O22" s="28">
        <v>2.5700000000000001E-2</v>
      </c>
    </row>
    <row r="23" spans="3:15" x14ac:dyDescent="0.35">
      <c r="C23" s="28" t="s">
        <v>75</v>
      </c>
      <c r="D23" s="28">
        <v>-3.5299999999999998E-2</v>
      </c>
      <c r="E23" s="28" t="s">
        <v>299</v>
      </c>
      <c r="F23" s="28">
        <v>-0.1118</v>
      </c>
      <c r="G23" s="28">
        <v>-0.1087</v>
      </c>
      <c r="H23" s="28">
        <v>-7.6499999999999999E-2</v>
      </c>
      <c r="I23" s="28">
        <v>-2.3800000000000002E-2</v>
      </c>
      <c r="J23" s="28">
        <v>3.5299999999999998E-2</v>
      </c>
      <c r="K23" s="28" t="s">
        <v>300</v>
      </c>
      <c r="L23" s="28">
        <v>0.1118</v>
      </c>
      <c r="M23" s="28">
        <v>0.1087</v>
      </c>
      <c r="N23" s="28">
        <v>7.6499999999999999E-2</v>
      </c>
      <c r="O23" s="28">
        <v>2.3800000000000002E-2</v>
      </c>
    </row>
    <row r="24" spans="3:15" x14ac:dyDescent="0.35">
      <c r="C24" s="28" t="s">
        <v>77</v>
      </c>
      <c r="D24" s="28">
        <v>-3.7199999999999997E-2</v>
      </c>
      <c r="E24" s="28">
        <v>-8.6300000000000002E-2</v>
      </c>
      <c r="F24" s="28">
        <v>-0.11219999999999999</v>
      </c>
      <c r="G24" s="28">
        <v>-0.1081</v>
      </c>
      <c r="H24" s="28" t="s">
        <v>291</v>
      </c>
      <c r="I24" s="28">
        <v>-2.18E-2</v>
      </c>
      <c r="J24" s="28">
        <v>3.7199999999999997E-2</v>
      </c>
      <c r="K24" s="28">
        <v>8.6300000000000002E-2</v>
      </c>
      <c r="L24" s="28">
        <v>0.11219999999999999</v>
      </c>
      <c r="M24" s="28">
        <v>0.1081</v>
      </c>
      <c r="N24" s="28" t="s">
        <v>292</v>
      </c>
      <c r="O24" s="28">
        <v>2.18E-2</v>
      </c>
    </row>
    <row r="25" spans="3:15" x14ac:dyDescent="0.35">
      <c r="C25" s="28" t="s">
        <v>78</v>
      </c>
      <c r="D25" s="28">
        <v>-3.9100000000000003E-2</v>
      </c>
      <c r="E25" s="28">
        <v>-8.7599999999999997E-2</v>
      </c>
      <c r="F25" s="28">
        <v>-0.11260000000000001</v>
      </c>
      <c r="G25" s="28">
        <v>-0.1074</v>
      </c>
      <c r="H25" s="28">
        <v>-7.3499999999999996E-2</v>
      </c>
      <c r="I25" s="28">
        <v>-1.9900000000000001E-2</v>
      </c>
      <c r="J25" s="28">
        <v>3.9100000000000003E-2</v>
      </c>
      <c r="K25" s="28">
        <v>8.7599999999999997E-2</v>
      </c>
      <c r="L25" s="28">
        <v>0.11260000000000001</v>
      </c>
      <c r="M25" s="28">
        <v>0.1074</v>
      </c>
      <c r="N25" s="28">
        <v>7.3499999999999996E-2</v>
      </c>
      <c r="O25" s="28">
        <v>1.9900000000000001E-2</v>
      </c>
    </row>
    <row r="26" spans="3:15" x14ac:dyDescent="0.35">
      <c r="C26" s="28" t="s">
        <v>79</v>
      </c>
      <c r="D26" s="28" t="s">
        <v>283</v>
      </c>
      <c r="E26" s="28">
        <v>-8.8900000000000007E-2</v>
      </c>
      <c r="F26" s="28">
        <v>-0.1129</v>
      </c>
      <c r="G26" s="28">
        <v>-0.1067</v>
      </c>
      <c r="H26" s="28" t="s">
        <v>282</v>
      </c>
      <c r="I26" s="28">
        <v>-1.7899999999999999E-2</v>
      </c>
      <c r="J26" s="28" t="s">
        <v>285</v>
      </c>
      <c r="K26" s="28">
        <v>8.8900000000000007E-2</v>
      </c>
      <c r="L26" s="28">
        <v>0.1129</v>
      </c>
      <c r="M26" s="28">
        <v>0.1067</v>
      </c>
      <c r="N26" s="28" t="s">
        <v>284</v>
      </c>
      <c r="O26" s="28">
        <v>1.7899999999999999E-2</v>
      </c>
    </row>
    <row r="27" spans="3:15" x14ac:dyDescent="0.35">
      <c r="C27" s="28" t="s">
        <v>80</v>
      </c>
      <c r="D27" s="28">
        <v>-4.2799999999999998E-2</v>
      </c>
      <c r="E27" s="28">
        <v>-9.01E-2</v>
      </c>
      <c r="F27" s="28">
        <v>-0.1132</v>
      </c>
      <c r="G27" s="28" t="s">
        <v>273</v>
      </c>
      <c r="H27" s="28">
        <v>-7.0400000000000004E-2</v>
      </c>
      <c r="I27" s="28">
        <v>-1.5900000000000001E-2</v>
      </c>
      <c r="J27" s="28">
        <v>4.2799999999999998E-2</v>
      </c>
      <c r="K27" s="28">
        <v>9.01E-2</v>
      </c>
      <c r="L27" s="28">
        <v>0.1132</v>
      </c>
      <c r="M27" s="28" t="s">
        <v>274</v>
      </c>
      <c r="N27" s="28">
        <v>7.0400000000000004E-2</v>
      </c>
      <c r="O27" s="28">
        <v>1.5900000000000001E-2</v>
      </c>
    </row>
    <row r="28" spans="3:15" x14ac:dyDescent="0.35">
      <c r="C28" s="28" t="s">
        <v>81</v>
      </c>
      <c r="D28" s="28">
        <v>-4.4699999999999997E-2</v>
      </c>
      <c r="E28" s="28">
        <v>-9.1300000000000006E-2</v>
      </c>
      <c r="F28" s="28">
        <v>-0.1135</v>
      </c>
      <c r="G28" s="28">
        <v>-0.1052</v>
      </c>
      <c r="H28" s="28">
        <v>-6.88E-2</v>
      </c>
      <c r="I28" s="28">
        <v>-1.3899999999999999E-2</v>
      </c>
      <c r="J28" s="28">
        <v>4.4699999999999997E-2</v>
      </c>
      <c r="K28" s="28">
        <v>9.1300000000000006E-2</v>
      </c>
      <c r="L28" s="28">
        <v>0.1135</v>
      </c>
      <c r="M28" s="28">
        <v>0.1052</v>
      </c>
      <c r="N28" s="28">
        <v>6.88E-2</v>
      </c>
      <c r="O28" s="28">
        <v>1.3899999999999999E-2</v>
      </c>
    </row>
    <row r="29" spans="3:15" x14ac:dyDescent="0.35">
      <c r="C29" s="28" t="s">
        <v>82</v>
      </c>
      <c r="D29" s="28">
        <v>-4.65E-2</v>
      </c>
      <c r="E29" s="28">
        <v>-9.2499999999999999E-2</v>
      </c>
      <c r="F29" s="28">
        <v>-0.1137</v>
      </c>
      <c r="G29" s="28">
        <v>-0.10440000000000001</v>
      </c>
      <c r="H29" s="28">
        <v>-6.7199999999999996E-2</v>
      </c>
      <c r="I29" s="28" t="s">
        <v>66</v>
      </c>
      <c r="J29" s="28">
        <v>4.65E-2</v>
      </c>
      <c r="K29" s="28">
        <v>9.2499999999999999E-2</v>
      </c>
      <c r="L29" s="28">
        <v>0.1137</v>
      </c>
      <c r="M29" s="28">
        <v>0.10440000000000001</v>
      </c>
      <c r="N29" s="28">
        <v>6.7199999999999996E-2</v>
      </c>
      <c r="O29" s="28" t="s">
        <v>76</v>
      </c>
    </row>
    <row r="30" spans="3:15" x14ac:dyDescent="0.35">
      <c r="C30" s="28" t="s">
        <v>83</v>
      </c>
      <c r="D30" s="28">
        <v>-4.8300000000000003E-2</v>
      </c>
      <c r="E30" s="28">
        <v>-9.3700000000000006E-2</v>
      </c>
      <c r="F30" s="28">
        <v>-0.1139</v>
      </c>
      <c r="G30" s="28">
        <v>-0.1036</v>
      </c>
      <c r="H30" s="28">
        <v>-6.5600000000000006E-2</v>
      </c>
      <c r="I30" s="28" t="s">
        <v>264</v>
      </c>
      <c r="J30" s="28">
        <v>4.8300000000000003E-2</v>
      </c>
      <c r="K30" s="28">
        <v>9.3700000000000006E-2</v>
      </c>
      <c r="L30" s="28">
        <v>0.1139</v>
      </c>
      <c r="M30" s="28">
        <v>0.1036</v>
      </c>
      <c r="N30" s="28">
        <v>6.5600000000000006E-2</v>
      </c>
      <c r="O30" s="28" t="s">
        <v>265</v>
      </c>
    </row>
    <row r="31" spans="3:15" x14ac:dyDescent="0.35">
      <c r="C31" s="28" t="s">
        <v>84</v>
      </c>
      <c r="D31" s="28">
        <v>-5.0099999999999999E-2</v>
      </c>
      <c r="E31" s="28">
        <v>-9.4799999999999995E-2</v>
      </c>
      <c r="F31" s="28">
        <v>-0.11409999999999999</v>
      </c>
      <c r="G31" s="28">
        <v>-0.1028</v>
      </c>
      <c r="H31" s="28">
        <v>-6.3899999999999998E-2</v>
      </c>
      <c r="I31" s="28" t="s">
        <v>262</v>
      </c>
      <c r="J31" s="28">
        <v>5.0099999999999999E-2</v>
      </c>
      <c r="K31" s="28">
        <v>9.4799999999999995E-2</v>
      </c>
      <c r="L31" s="28">
        <v>0.11409999999999999</v>
      </c>
      <c r="M31" s="28">
        <v>0.1028</v>
      </c>
      <c r="N31" s="28">
        <v>6.3899999999999998E-2</v>
      </c>
      <c r="O31" s="28" t="s">
        <v>263</v>
      </c>
    </row>
    <row r="32" spans="3:15" x14ac:dyDescent="0.35">
      <c r="C32" s="28" t="s">
        <v>86</v>
      </c>
      <c r="D32" s="28">
        <v>-5.1900000000000002E-2</v>
      </c>
      <c r="E32" s="28">
        <v>-9.5899999999999999E-2</v>
      </c>
      <c r="F32" s="28">
        <v>-0.1142</v>
      </c>
      <c r="G32" s="28">
        <v>-0.1019</v>
      </c>
      <c r="H32" s="28">
        <v>-6.2300000000000001E-2</v>
      </c>
      <c r="I32" s="28" t="s">
        <v>58</v>
      </c>
      <c r="J32" s="28">
        <v>5.1900000000000002E-2</v>
      </c>
      <c r="K32" s="28">
        <v>9.5899999999999999E-2</v>
      </c>
      <c r="L32" s="28">
        <v>0.1142</v>
      </c>
      <c r="M32" s="28">
        <v>0.1019</v>
      </c>
      <c r="N32" s="28">
        <v>6.2300000000000001E-2</v>
      </c>
      <c r="O32" s="28" t="s">
        <v>57</v>
      </c>
    </row>
    <row r="33" spans="3:15" x14ac:dyDescent="0.35">
      <c r="C33" s="28" t="s">
        <v>87</v>
      </c>
      <c r="D33" s="28">
        <v>-5.3699999999999998E-2</v>
      </c>
      <c r="E33" s="28" t="s">
        <v>248</v>
      </c>
      <c r="F33" s="28">
        <v>-0.1143</v>
      </c>
      <c r="G33" s="28">
        <v>-0.1009</v>
      </c>
      <c r="H33" s="28">
        <v>-6.0600000000000001E-2</v>
      </c>
      <c r="I33" s="28" t="s">
        <v>247</v>
      </c>
      <c r="J33" s="28">
        <v>5.3699999999999998E-2</v>
      </c>
      <c r="K33" s="28" t="s">
        <v>250</v>
      </c>
      <c r="L33" s="28">
        <v>0.1143</v>
      </c>
      <c r="M33" s="28">
        <v>0.1009</v>
      </c>
      <c r="N33" s="28">
        <v>6.0600000000000001E-2</v>
      </c>
      <c r="O33" s="28" t="s">
        <v>249</v>
      </c>
    </row>
    <row r="34" spans="3:15" x14ac:dyDescent="0.35">
      <c r="C34" s="28" t="s">
        <v>88</v>
      </c>
      <c r="D34" s="28">
        <v>-5.5399999999999998E-2</v>
      </c>
      <c r="E34" s="28" t="s">
        <v>240</v>
      </c>
      <c r="F34" s="28">
        <v>-0.1143</v>
      </c>
      <c r="G34" s="28" t="s">
        <v>239</v>
      </c>
      <c r="H34" s="28">
        <v>-5.8900000000000001E-2</v>
      </c>
      <c r="I34" s="28" t="s">
        <v>55</v>
      </c>
      <c r="J34" s="28">
        <v>5.5399999999999998E-2</v>
      </c>
      <c r="K34" s="28" t="s">
        <v>242</v>
      </c>
      <c r="L34" s="28">
        <v>0.1143</v>
      </c>
      <c r="M34" s="28" t="s">
        <v>241</v>
      </c>
      <c r="N34" s="28">
        <v>5.8900000000000001E-2</v>
      </c>
      <c r="O34" s="28" t="s">
        <v>54</v>
      </c>
    </row>
    <row r="35" spans="3:15" x14ac:dyDescent="0.35">
      <c r="C35" s="28" t="s">
        <v>17</v>
      </c>
      <c r="D35" s="28">
        <v>-5.7200000000000001E-2</v>
      </c>
      <c r="E35" s="28" t="s">
        <v>237</v>
      </c>
      <c r="F35" s="28">
        <v>-0.1143</v>
      </c>
      <c r="G35" s="28" t="s">
        <v>237</v>
      </c>
      <c r="H35" s="28">
        <v>-5.7200000000000001E-2</v>
      </c>
      <c r="I35" s="28" t="s">
        <v>22</v>
      </c>
      <c r="J35" s="28">
        <v>5.7200000000000001E-2</v>
      </c>
      <c r="K35" s="28" t="s">
        <v>238</v>
      </c>
      <c r="L35" s="28">
        <v>0.1143</v>
      </c>
      <c r="M35" s="28" t="s">
        <v>238</v>
      </c>
      <c r="N35" s="28">
        <v>5.7200000000000001E-2</v>
      </c>
      <c r="O35" s="28" t="s">
        <v>22</v>
      </c>
    </row>
  </sheetData>
  <mergeCells count="1">
    <mergeCell ref="C3:O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45B2-3CB7-45D1-95D4-FB8B50BF1F8F}">
  <dimension ref="C2:O35"/>
  <sheetViews>
    <sheetView workbookViewId="0">
      <selection activeCell="B3" sqref="B3:O35"/>
    </sheetView>
  </sheetViews>
  <sheetFormatPr defaultRowHeight="14.5" x14ac:dyDescent="0.35"/>
  <sheetData>
    <row r="2" spans="3:15" ht="15" thickBot="1" x14ac:dyDescent="0.4"/>
    <row r="3" spans="3:15" ht="15.5" thickBot="1" x14ac:dyDescent="0.4">
      <c r="C3" s="99" t="s">
        <v>234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1"/>
    </row>
    <row r="4" spans="3:15" ht="15.5" thickBot="1" x14ac:dyDescent="0.4">
      <c r="C4" s="11" t="s">
        <v>15</v>
      </c>
      <c r="D4" s="11" t="s">
        <v>16</v>
      </c>
      <c r="E4" s="11" t="s">
        <v>17</v>
      </c>
      <c r="F4" s="11" t="s">
        <v>18</v>
      </c>
      <c r="G4" s="11" t="s">
        <v>19</v>
      </c>
      <c r="H4" s="11" t="s">
        <v>20</v>
      </c>
      <c r="I4" s="11" t="s">
        <v>21</v>
      </c>
      <c r="J4" s="11" t="s">
        <v>36</v>
      </c>
      <c r="K4" s="11" t="s">
        <v>37</v>
      </c>
      <c r="L4" s="11" t="s">
        <v>38</v>
      </c>
      <c r="M4" s="11" t="s">
        <v>39</v>
      </c>
      <c r="N4" s="11" t="s">
        <v>40</v>
      </c>
      <c r="O4" s="11" t="s">
        <v>41</v>
      </c>
    </row>
    <row r="5" spans="3:15" ht="16" thickBot="1" x14ac:dyDescent="0.4">
      <c r="C5" s="13">
        <v>0</v>
      </c>
      <c r="D5" s="13" t="s">
        <v>22</v>
      </c>
      <c r="E5" s="13">
        <v>2.9399999999999999E-2</v>
      </c>
      <c r="F5" s="13">
        <v>5.0900000000000001E-2</v>
      </c>
      <c r="G5" s="13">
        <v>5.8799999999999998E-2</v>
      </c>
      <c r="H5" s="13">
        <v>5.0900000000000001E-2</v>
      </c>
      <c r="I5" s="13">
        <v>2.9399999999999999E-2</v>
      </c>
      <c r="J5" s="13" t="s">
        <v>22</v>
      </c>
      <c r="K5" s="13">
        <v>-2.9399999999999999E-2</v>
      </c>
      <c r="L5" s="13">
        <v>-5.0900000000000001E-2</v>
      </c>
      <c r="M5" s="13">
        <v>-5.8799999999999998E-2</v>
      </c>
      <c r="N5" s="13">
        <v>-5.0900000000000001E-2</v>
      </c>
      <c r="O5" s="13">
        <v>-2.9399999999999999E-2</v>
      </c>
    </row>
    <row r="6" spans="3:15" ht="16" thickBot="1" x14ac:dyDescent="0.4">
      <c r="C6" s="13">
        <v>1</v>
      </c>
      <c r="D6" s="13" t="s">
        <v>243</v>
      </c>
      <c r="E6" s="13">
        <v>3.0300000000000001E-2</v>
      </c>
      <c r="F6" s="13">
        <v>5.1400000000000001E-2</v>
      </c>
      <c r="G6" s="13">
        <v>5.8799999999999998E-2</v>
      </c>
      <c r="H6" s="13">
        <v>5.04E-2</v>
      </c>
      <c r="I6" s="13">
        <v>2.8500000000000001E-2</v>
      </c>
      <c r="J6" s="13" t="s">
        <v>244</v>
      </c>
      <c r="K6" s="13">
        <v>-3.0300000000000001E-2</v>
      </c>
      <c r="L6" s="13">
        <v>-5.1400000000000001E-2</v>
      </c>
      <c r="M6" s="13">
        <v>-5.8799999999999998E-2</v>
      </c>
      <c r="N6" s="13">
        <v>-5.04E-2</v>
      </c>
      <c r="O6" s="13">
        <v>-2.8500000000000001E-2</v>
      </c>
    </row>
    <row r="7" spans="3:15" ht="16" thickBot="1" x14ac:dyDescent="0.4">
      <c r="C7" s="13">
        <v>2</v>
      </c>
      <c r="D7" s="13">
        <v>2.0999999999999999E-3</v>
      </c>
      <c r="E7" s="13">
        <v>3.1199999999999999E-2</v>
      </c>
      <c r="F7" s="13">
        <v>5.1900000000000002E-2</v>
      </c>
      <c r="G7" s="13">
        <v>5.8799999999999998E-2</v>
      </c>
      <c r="H7" s="13">
        <v>4.99E-2</v>
      </c>
      <c r="I7" s="13">
        <v>2.76E-2</v>
      </c>
      <c r="J7" s="13">
        <v>-2.0999999999999999E-3</v>
      </c>
      <c r="K7" s="13">
        <v>-3.1199999999999999E-2</v>
      </c>
      <c r="L7" s="13">
        <v>-5.1900000000000002E-2</v>
      </c>
      <c r="M7" s="13">
        <v>-5.8799999999999998E-2</v>
      </c>
      <c r="N7" s="13">
        <v>-4.99E-2</v>
      </c>
      <c r="O7" s="13">
        <v>-2.76E-2</v>
      </c>
    </row>
    <row r="8" spans="3:15" ht="16" thickBot="1" x14ac:dyDescent="0.4">
      <c r="C8" s="13">
        <v>3</v>
      </c>
      <c r="D8" s="13">
        <v>3.0999999999999999E-3</v>
      </c>
      <c r="E8" s="13" t="s">
        <v>256</v>
      </c>
      <c r="F8" s="13">
        <v>5.2400000000000002E-2</v>
      </c>
      <c r="G8" s="13">
        <v>5.8700000000000002E-2</v>
      </c>
      <c r="H8" s="13">
        <v>4.9299999999999997E-2</v>
      </c>
      <c r="I8" s="13">
        <v>2.6700000000000002E-2</v>
      </c>
      <c r="J8" s="13">
        <v>-3.0999999999999999E-3</v>
      </c>
      <c r="K8" s="13" t="s">
        <v>257</v>
      </c>
      <c r="L8" s="13">
        <v>-5.2400000000000002E-2</v>
      </c>
      <c r="M8" s="13">
        <v>-5.8700000000000002E-2</v>
      </c>
      <c r="N8" s="13">
        <v>-4.9299999999999997E-2</v>
      </c>
      <c r="O8" s="13">
        <v>-2.6700000000000002E-2</v>
      </c>
    </row>
    <row r="9" spans="3:15" ht="16" thickBot="1" x14ac:dyDescent="0.4">
      <c r="C9" s="13">
        <v>4</v>
      </c>
      <c r="D9" s="13">
        <v>4.1000000000000003E-3</v>
      </c>
      <c r="E9" s="13">
        <v>3.2899999999999999E-2</v>
      </c>
      <c r="F9" s="13">
        <v>5.28E-2</v>
      </c>
      <c r="G9" s="13">
        <v>5.8599999999999999E-2</v>
      </c>
      <c r="H9" s="13">
        <v>4.87E-2</v>
      </c>
      <c r="I9" s="13">
        <v>2.58E-2</v>
      </c>
      <c r="J9" s="13">
        <v>-4.1000000000000003E-3</v>
      </c>
      <c r="K9" s="13">
        <v>-3.2899999999999999E-2</v>
      </c>
      <c r="L9" s="13">
        <v>-5.28E-2</v>
      </c>
      <c r="M9" s="13">
        <v>-5.8599999999999999E-2</v>
      </c>
      <c r="N9" s="13">
        <v>-4.87E-2</v>
      </c>
      <c r="O9" s="13">
        <v>-2.58E-2</v>
      </c>
    </row>
    <row r="10" spans="3:15" ht="16" thickBot="1" x14ac:dyDescent="0.4">
      <c r="C10" s="13">
        <v>5</v>
      </c>
      <c r="D10" s="13">
        <v>5.1000000000000004E-3</v>
      </c>
      <c r="E10" s="13">
        <v>3.3700000000000001E-2</v>
      </c>
      <c r="F10" s="13">
        <v>5.33E-2</v>
      </c>
      <c r="G10" s="13">
        <v>5.8599999999999999E-2</v>
      </c>
      <c r="H10" s="13">
        <v>4.82E-2</v>
      </c>
      <c r="I10" s="13">
        <v>2.4799999999999999E-2</v>
      </c>
      <c r="J10" s="13">
        <v>-5.1000000000000004E-3</v>
      </c>
      <c r="K10" s="13">
        <v>-3.3700000000000001E-2</v>
      </c>
      <c r="L10" s="13">
        <v>-5.33E-2</v>
      </c>
      <c r="M10" s="13">
        <v>-5.8599999999999999E-2</v>
      </c>
      <c r="N10" s="13">
        <v>-4.82E-2</v>
      </c>
      <c r="O10" s="13">
        <v>-2.4799999999999999E-2</v>
      </c>
    </row>
    <row r="11" spans="3:15" ht="16" thickBot="1" x14ac:dyDescent="0.4">
      <c r="C11" s="13">
        <v>6</v>
      </c>
      <c r="D11" s="13">
        <v>6.1000000000000004E-3</v>
      </c>
      <c r="E11" s="13">
        <v>3.4599999999999999E-2</v>
      </c>
      <c r="F11" s="13">
        <v>5.3699999999999998E-2</v>
      </c>
      <c r="G11" s="13">
        <v>5.8500000000000003E-2</v>
      </c>
      <c r="H11" s="13">
        <v>4.7600000000000003E-2</v>
      </c>
      <c r="I11" s="13">
        <v>2.3900000000000001E-2</v>
      </c>
      <c r="J11" s="13">
        <v>-6.1000000000000004E-3</v>
      </c>
      <c r="K11" s="13">
        <v>-3.4599999999999999E-2</v>
      </c>
      <c r="L11" s="13">
        <v>-5.3699999999999998E-2</v>
      </c>
      <c r="M11" s="13">
        <v>-5.8500000000000003E-2</v>
      </c>
      <c r="N11" s="13">
        <v>-4.7600000000000003E-2</v>
      </c>
      <c r="O11" s="13">
        <v>-2.3900000000000001E-2</v>
      </c>
    </row>
    <row r="12" spans="3:15" ht="16" thickBot="1" x14ac:dyDescent="0.4">
      <c r="C12" s="13">
        <v>7</v>
      </c>
      <c r="D12" s="13">
        <v>7.1999999999999998E-3</v>
      </c>
      <c r="E12" s="13">
        <v>3.5400000000000001E-2</v>
      </c>
      <c r="F12" s="13">
        <v>5.4100000000000002E-2</v>
      </c>
      <c r="G12" s="13">
        <v>5.8400000000000001E-2</v>
      </c>
      <c r="H12" s="13" t="s">
        <v>268</v>
      </c>
      <c r="I12" s="13">
        <v>2.3E-2</v>
      </c>
      <c r="J12" s="13">
        <v>-7.1999999999999998E-3</v>
      </c>
      <c r="K12" s="13">
        <v>-3.5400000000000001E-2</v>
      </c>
      <c r="L12" s="13">
        <v>-5.4100000000000002E-2</v>
      </c>
      <c r="M12" s="13">
        <v>-5.8400000000000001E-2</v>
      </c>
      <c r="N12" s="13" t="s">
        <v>269</v>
      </c>
      <c r="O12" s="13" t="s">
        <v>270</v>
      </c>
    </row>
    <row r="13" spans="3:15" ht="16" thickBot="1" x14ac:dyDescent="0.4">
      <c r="C13" s="13">
        <v>8</v>
      </c>
      <c r="D13" s="13">
        <v>8.2000000000000007E-3</v>
      </c>
      <c r="E13" s="13">
        <v>3.6200000000000003E-2</v>
      </c>
      <c r="F13" s="13">
        <v>5.45E-2</v>
      </c>
      <c r="G13" s="13">
        <v>5.8200000000000002E-2</v>
      </c>
      <c r="H13" s="13">
        <v>4.6300000000000001E-2</v>
      </c>
      <c r="I13" s="13">
        <v>2.1999999999999999E-2</v>
      </c>
      <c r="J13" s="13">
        <v>-8.2000000000000007E-3</v>
      </c>
      <c r="K13" s="13">
        <v>-3.6200000000000003E-2</v>
      </c>
      <c r="L13" s="13">
        <v>-5.45E-2</v>
      </c>
      <c r="M13" s="13">
        <v>-5.8200000000000002E-2</v>
      </c>
      <c r="N13" s="13">
        <v>-4.6300000000000001E-2</v>
      </c>
      <c r="O13" s="13" t="s">
        <v>275</v>
      </c>
    </row>
    <row r="14" spans="3:15" ht="16" thickBot="1" x14ac:dyDescent="0.4">
      <c r="C14" s="13">
        <v>9</v>
      </c>
      <c r="D14" s="13">
        <v>9.1999999999999998E-3</v>
      </c>
      <c r="E14" s="13" t="s">
        <v>286</v>
      </c>
      <c r="F14" s="13">
        <v>5.4899999999999997E-2</v>
      </c>
      <c r="G14" s="13">
        <v>5.8099999999999999E-2</v>
      </c>
      <c r="H14" s="13">
        <v>4.5699999999999998E-2</v>
      </c>
      <c r="I14" s="13">
        <v>2.1100000000000001E-2</v>
      </c>
      <c r="J14" s="13">
        <v>-9.1999999999999998E-3</v>
      </c>
      <c r="K14" s="13" t="s">
        <v>287</v>
      </c>
      <c r="L14" s="13">
        <v>-5.4899999999999997E-2</v>
      </c>
      <c r="M14" s="13">
        <v>-5.8099999999999999E-2</v>
      </c>
      <c r="N14" s="13">
        <v>-4.5699999999999998E-2</v>
      </c>
      <c r="O14" s="13">
        <v>-2.1100000000000001E-2</v>
      </c>
    </row>
    <row r="15" spans="3:15" ht="16" thickBot="1" x14ac:dyDescent="0.4">
      <c r="C15" s="13">
        <v>10</v>
      </c>
      <c r="D15" s="13">
        <v>1.0200000000000001E-2</v>
      </c>
      <c r="E15" s="13">
        <v>3.78E-2</v>
      </c>
      <c r="F15" s="13">
        <v>5.5199999999999999E-2</v>
      </c>
      <c r="G15" s="13">
        <v>5.79E-2</v>
      </c>
      <c r="H15" s="13" t="s">
        <v>276</v>
      </c>
      <c r="I15" s="13">
        <v>2.01E-2</v>
      </c>
      <c r="J15" s="13">
        <v>-1.0200000000000001E-2</v>
      </c>
      <c r="K15" s="13">
        <v>-3.78E-2</v>
      </c>
      <c r="L15" s="13">
        <v>-5.5199999999999999E-2</v>
      </c>
      <c r="M15" s="13">
        <v>-5.79E-2</v>
      </c>
      <c r="N15" s="13" t="s">
        <v>277</v>
      </c>
      <c r="O15" s="13">
        <v>-2.01E-2</v>
      </c>
    </row>
    <row r="16" spans="3:15" ht="16" thickBot="1" x14ac:dyDescent="0.4">
      <c r="C16" s="13">
        <v>11</v>
      </c>
      <c r="D16" s="13">
        <v>1.12E-2</v>
      </c>
      <c r="E16" s="13">
        <v>3.8600000000000002E-2</v>
      </c>
      <c r="F16" s="13">
        <v>5.5599999999999997E-2</v>
      </c>
      <c r="G16" s="13">
        <v>5.7700000000000001E-2</v>
      </c>
      <c r="H16" s="13">
        <v>4.4400000000000002E-2</v>
      </c>
      <c r="I16" s="13">
        <v>1.9099999999999999E-2</v>
      </c>
      <c r="J16" s="13">
        <v>-1.12E-2</v>
      </c>
      <c r="K16" s="13">
        <v>-3.8600000000000002E-2</v>
      </c>
      <c r="L16" s="13">
        <v>-5.5599999999999997E-2</v>
      </c>
      <c r="M16" s="13">
        <v>-5.7700000000000001E-2</v>
      </c>
      <c r="N16" s="13">
        <v>-4.4400000000000002E-2</v>
      </c>
      <c r="O16" s="13">
        <v>-1.9099999999999999E-2</v>
      </c>
    </row>
    <row r="17" spans="3:15" ht="16" thickBot="1" x14ac:dyDescent="0.4">
      <c r="C17" s="13">
        <v>12</v>
      </c>
      <c r="D17" s="13">
        <v>1.2200000000000001E-2</v>
      </c>
      <c r="E17" s="13">
        <v>3.9300000000000002E-2</v>
      </c>
      <c r="F17" s="13">
        <v>5.5899999999999998E-2</v>
      </c>
      <c r="G17" s="13">
        <v>5.7500000000000002E-2</v>
      </c>
      <c r="H17" s="13">
        <v>4.3700000000000003E-2</v>
      </c>
      <c r="I17" s="13">
        <v>1.8200000000000001E-2</v>
      </c>
      <c r="J17" s="13">
        <v>-1.2200000000000001E-2</v>
      </c>
      <c r="K17" s="13">
        <v>-3.9300000000000002E-2</v>
      </c>
      <c r="L17" s="13">
        <v>-5.5899999999999998E-2</v>
      </c>
      <c r="M17" s="13">
        <v>-5.7500000000000002E-2</v>
      </c>
      <c r="N17" s="13">
        <v>-4.3700000000000003E-2</v>
      </c>
      <c r="O17" s="13">
        <v>-1.8200000000000001E-2</v>
      </c>
    </row>
    <row r="18" spans="3:15" ht="16" thickBot="1" x14ac:dyDescent="0.4">
      <c r="C18" s="13">
        <v>13</v>
      </c>
      <c r="D18" s="13">
        <v>1.32E-2</v>
      </c>
      <c r="E18" s="13">
        <v>4.0099999999999997E-2</v>
      </c>
      <c r="F18" s="13">
        <v>5.62E-2</v>
      </c>
      <c r="G18" s="13">
        <v>5.7299999999999997E-2</v>
      </c>
      <c r="H18" s="13" t="s">
        <v>304</v>
      </c>
      <c r="I18" s="13">
        <v>1.72E-2</v>
      </c>
      <c r="J18" s="13">
        <v>-1.32E-2</v>
      </c>
      <c r="K18" s="13">
        <v>-4.0099999999999997E-2</v>
      </c>
      <c r="L18" s="13">
        <v>-5.62E-2</v>
      </c>
      <c r="M18" s="13">
        <v>-5.7299999999999997E-2</v>
      </c>
      <c r="N18" s="13" t="s">
        <v>305</v>
      </c>
      <c r="O18" s="13">
        <v>-1.72E-2</v>
      </c>
    </row>
    <row r="19" spans="3:15" ht="16" thickBot="1" x14ac:dyDescent="0.4">
      <c r="C19" s="13">
        <v>14</v>
      </c>
      <c r="D19" s="13">
        <v>1.4200000000000001E-2</v>
      </c>
      <c r="E19" s="13">
        <v>4.0800000000000003E-2</v>
      </c>
      <c r="F19" s="13">
        <v>5.6500000000000002E-2</v>
      </c>
      <c r="G19" s="13" t="s">
        <v>251</v>
      </c>
      <c r="H19" s="13">
        <v>4.2299999999999997E-2</v>
      </c>
      <c r="I19" s="13">
        <v>1.6199999999999999E-2</v>
      </c>
      <c r="J19" s="13">
        <v>-1.4200000000000001E-2</v>
      </c>
      <c r="K19" s="13">
        <v>-4.0800000000000003E-2</v>
      </c>
      <c r="L19" s="13">
        <v>-5.6500000000000002E-2</v>
      </c>
      <c r="M19" s="13" t="s">
        <v>252</v>
      </c>
      <c r="N19" s="13">
        <v>-4.2299999999999997E-2</v>
      </c>
      <c r="O19" s="13">
        <v>-1.6199999999999999E-2</v>
      </c>
    </row>
    <row r="20" spans="3:15" ht="16" thickBot="1" x14ac:dyDescent="0.4">
      <c r="C20" s="13">
        <v>15</v>
      </c>
      <c r="D20" s="13">
        <v>1.52E-2</v>
      </c>
      <c r="E20" s="13">
        <v>4.1599999999999998E-2</v>
      </c>
      <c r="F20" s="13">
        <v>5.6800000000000003E-2</v>
      </c>
      <c r="G20" s="13">
        <v>5.6800000000000003E-2</v>
      </c>
      <c r="H20" s="13">
        <v>4.1599999999999998E-2</v>
      </c>
      <c r="I20" s="13">
        <v>1.52E-2</v>
      </c>
      <c r="J20" s="13">
        <v>-1.52E-2</v>
      </c>
      <c r="K20" s="13">
        <v>-4.1599999999999998E-2</v>
      </c>
      <c r="L20" s="13">
        <v>-5.6800000000000003E-2</v>
      </c>
      <c r="M20" s="13">
        <v>-5.6800000000000003E-2</v>
      </c>
      <c r="N20" s="13">
        <v>-4.1599999999999998E-2</v>
      </c>
      <c r="O20" s="13">
        <v>-1.52E-2</v>
      </c>
    </row>
    <row r="21" spans="3:15" ht="16" thickBot="1" x14ac:dyDescent="0.4">
      <c r="C21" s="13">
        <v>16</v>
      </c>
      <c r="D21" s="13">
        <v>1.6199999999999999E-2</v>
      </c>
      <c r="E21" s="13">
        <v>4.2299999999999997E-2</v>
      </c>
      <c r="F21" s="13" t="s">
        <v>251</v>
      </c>
      <c r="G21" s="13">
        <v>5.6500000000000002E-2</v>
      </c>
      <c r="H21" s="13">
        <v>4.0800000000000003E-2</v>
      </c>
      <c r="I21" s="13">
        <v>1.4200000000000001E-2</v>
      </c>
      <c r="J21" s="13">
        <v>-1.6199999999999999E-2</v>
      </c>
      <c r="K21" s="13">
        <v>-4.2299999999999997E-2</v>
      </c>
      <c r="L21" s="13" t="s">
        <v>252</v>
      </c>
      <c r="M21" s="13">
        <v>-5.6500000000000002E-2</v>
      </c>
      <c r="N21" s="13">
        <v>-4.0800000000000003E-2</v>
      </c>
      <c r="O21" s="13">
        <v>-1.4200000000000001E-2</v>
      </c>
    </row>
    <row r="22" spans="3:15" ht="16" thickBot="1" x14ac:dyDescent="0.4">
      <c r="C22" s="13">
        <v>17</v>
      </c>
      <c r="D22" s="13">
        <v>1.72E-2</v>
      </c>
      <c r="E22" s="13" t="s">
        <v>304</v>
      </c>
      <c r="F22" s="13">
        <v>5.7299999999999997E-2</v>
      </c>
      <c r="G22" s="13">
        <v>5.62E-2</v>
      </c>
      <c r="H22" s="13">
        <v>4.0099999999999997E-2</v>
      </c>
      <c r="I22" s="13">
        <v>1.32E-2</v>
      </c>
      <c r="J22" s="13">
        <v>-1.72E-2</v>
      </c>
      <c r="K22" s="13" t="s">
        <v>305</v>
      </c>
      <c r="L22" s="13">
        <v>-5.7299999999999997E-2</v>
      </c>
      <c r="M22" s="13">
        <v>-5.62E-2</v>
      </c>
      <c r="N22" s="13">
        <v>-4.0099999999999997E-2</v>
      </c>
      <c r="O22" s="13">
        <v>-1.32E-2</v>
      </c>
    </row>
    <row r="23" spans="3:15" ht="16" thickBot="1" x14ac:dyDescent="0.4">
      <c r="C23" s="13">
        <v>18</v>
      </c>
      <c r="D23" s="13">
        <v>1.8200000000000001E-2</v>
      </c>
      <c r="E23" s="13">
        <v>4.3700000000000003E-2</v>
      </c>
      <c r="F23" s="13">
        <v>5.7500000000000002E-2</v>
      </c>
      <c r="G23" s="13">
        <v>5.5899999999999998E-2</v>
      </c>
      <c r="H23" s="13">
        <v>3.9300000000000002E-2</v>
      </c>
      <c r="I23" s="13">
        <v>1.2200000000000001E-2</v>
      </c>
      <c r="J23" s="13">
        <v>-1.8200000000000001E-2</v>
      </c>
      <c r="K23" s="13">
        <v>-4.3700000000000003E-2</v>
      </c>
      <c r="L23" s="13">
        <v>-5.7500000000000002E-2</v>
      </c>
      <c r="M23" s="13">
        <v>-5.5899999999999998E-2</v>
      </c>
      <c r="N23" s="13">
        <v>-3.9300000000000002E-2</v>
      </c>
      <c r="O23" s="13">
        <v>-1.2200000000000001E-2</v>
      </c>
    </row>
    <row r="24" spans="3:15" ht="16" thickBot="1" x14ac:dyDescent="0.4">
      <c r="C24" s="13">
        <v>19</v>
      </c>
      <c r="D24" s="13">
        <v>1.9099999999999999E-2</v>
      </c>
      <c r="E24" s="13">
        <v>4.4400000000000002E-2</v>
      </c>
      <c r="F24" s="13">
        <v>5.7700000000000001E-2</v>
      </c>
      <c r="G24" s="13">
        <v>5.5599999999999997E-2</v>
      </c>
      <c r="H24" s="13">
        <v>3.8600000000000002E-2</v>
      </c>
      <c r="I24" s="13">
        <v>1.12E-2</v>
      </c>
      <c r="J24" s="13">
        <v>-1.9099999999999999E-2</v>
      </c>
      <c r="K24" s="13">
        <v>-4.4400000000000002E-2</v>
      </c>
      <c r="L24" s="13">
        <v>-5.7700000000000001E-2</v>
      </c>
      <c r="M24" s="13">
        <v>-5.5599999999999997E-2</v>
      </c>
      <c r="N24" s="13">
        <v>-3.8600000000000002E-2</v>
      </c>
      <c r="O24" s="13">
        <v>-1.12E-2</v>
      </c>
    </row>
    <row r="25" spans="3:15" ht="16" thickBot="1" x14ac:dyDescent="0.4">
      <c r="C25" s="13">
        <v>20</v>
      </c>
      <c r="D25" s="13">
        <v>2.01E-2</v>
      </c>
      <c r="E25" s="13" t="s">
        <v>276</v>
      </c>
      <c r="F25" s="13">
        <v>5.79E-2</v>
      </c>
      <c r="G25" s="13">
        <v>5.5199999999999999E-2</v>
      </c>
      <c r="H25" s="13">
        <v>3.78E-2</v>
      </c>
      <c r="I25" s="13">
        <v>1.0200000000000001E-2</v>
      </c>
      <c r="J25" s="13">
        <v>-2.01E-2</v>
      </c>
      <c r="K25" s="13" t="s">
        <v>277</v>
      </c>
      <c r="L25" s="13">
        <v>-5.79E-2</v>
      </c>
      <c r="M25" s="13">
        <v>-5.5199999999999999E-2</v>
      </c>
      <c r="N25" s="13">
        <v>-3.78E-2</v>
      </c>
      <c r="O25" s="13">
        <v>-1.0200000000000001E-2</v>
      </c>
    </row>
    <row r="26" spans="3:15" ht="16" thickBot="1" x14ac:dyDescent="0.4">
      <c r="C26" s="13">
        <v>21</v>
      </c>
      <c r="D26" s="13">
        <v>2.1100000000000001E-2</v>
      </c>
      <c r="E26" s="13">
        <v>4.5699999999999998E-2</v>
      </c>
      <c r="F26" s="13">
        <v>5.8099999999999999E-2</v>
      </c>
      <c r="G26" s="13">
        <v>5.4899999999999997E-2</v>
      </c>
      <c r="H26" s="13" t="s">
        <v>286</v>
      </c>
      <c r="I26" s="13">
        <v>9.1999999999999998E-3</v>
      </c>
      <c r="J26" s="13">
        <v>-2.1100000000000001E-2</v>
      </c>
      <c r="K26" s="13">
        <v>-4.5699999999999998E-2</v>
      </c>
      <c r="L26" s="13">
        <v>-5.8099999999999999E-2</v>
      </c>
      <c r="M26" s="13">
        <v>-5.4899999999999997E-2</v>
      </c>
      <c r="N26" s="13" t="s">
        <v>287</v>
      </c>
      <c r="O26" s="13">
        <v>-9.1999999999999998E-3</v>
      </c>
    </row>
    <row r="27" spans="3:15" ht="16" thickBot="1" x14ac:dyDescent="0.4">
      <c r="C27" s="13">
        <v>22</v>
      </c>
      <c r="D27" s="13" t="s">
        <v>315</v>
      </c>
      <c r="E27" s="13">
        <v>4.6300000000000001E-2</v>
      </c>
      <c r="F27" s="13">
        <v>5.8200000000000002E-2</v>
      </c>
      <c r="G27" s="13">
        <v>5.45E-2</v>
      </c>
      <c r="H27" s="13">
        <v>3.6200000000000003E-2</v>
      </c>
      <c r="I27" s="13">
        <v>8.2000000000000007E-3</v>
      </c>
      <c r="J27" s="13" t="s">
        <v>275</v>
      </c>
      <c r="K27" s="13">
        <v>-4.6300000000000001E-2</v>
      </c>
      <c r="L27" s="13">
        <v>-5.8200000000000002E-2</v>
      </c>
      <c r="M27" s="13">
        <v>-5.45E-2</v>
      </c>
      <c r="N27" s="13">
        <v>-3.6200000000000003E-2</v>
      </c>
      <c r="O27" s="13">
        <v>-8.2000000000000007E-3</v>
      </c>
    </row>
    <row r="28" spans="3:15" ht="16" thickBot="1" x14ac:dyDescent="0.4">
      <c r="C28" s="13">
        <v>23</v>
      </c>
      <c r="D28" s="13" t="s">
        <v>316</v>
      </c>
      <c r="E28" s="13" t="s">
        <v>268</v>
      </c>
      <c r="F28" s="13">
        <v>5.8400000000000001E-2</v>
      </c>
      <c r="G28" s="13">
        <v>5.4100000000000002E-2</v>
      </c>
      <c r="H28" s="13">
        <v>3.5400000000000001E-2</v>
      </c>
      <c r="I28" s="13">
        <v>7.1999999999999998E-3</v>
      </c>
      <c r="J28" s="13" t="s">
        <v>270</v>
      </c>
      <c r="K28" s="13" t="s">
        <v>269</v>
      </c>
      <c r="L28" s="13">
        <v>-5.8400000000000001E-2</v>
      </c>
      <c r="M28" s="13">
        <v>-5.4100000000000002E-2</v>
      </c>
      <c r="N28" s="13">
        <v>-3.5400000000000001E-2</v>
      </c>
      <c r="O28" s="13">
        <v>-7.1999999999999998E-3</v>
      </c>
    </row>
    <row r="29" spans="3:15" ht="16" thickBot="1" x14ac:dyDescent="0.4">
      <c r="C29" s="13">
        <v>24</v>
      </c>
      <c r="D29" s="13">
        <v>2.3900000000000001E-2</v>
      </c>
      <c r="E29" s="13">
        <v>4.7600000000000003E-2</v>
      </c>
      <c r="F29" s="13">
        <v>5.8500000000000003E-2</v>
      </c>
      <c r="G29" s="13">
        <v>5.3699999999999998E-2</v>
      </c>
      <c r="H29" s="13">
        <v>3.4599999999999999E-2</v>
      </c>
      <c r="I29" s="13">
        <v>6.1000000000000004E-3</v>
      </c>
      <c r="J29" s="13">
        <v>-2.3900000000000001E-2</v>
      </c>
      <c r="K29" s="13">
        <v>-4.7600000000000003E-2</v>
      </c>
      <c r="L29" s="13">
        <v>-5.8500000000000003E-2</v>
      </c>
      <c r="M29" s="13">
        <v>-5.3699999999999998E-2</v>
      </c>
      <c r="N29" s="13">
        <v>-3.4599999999999999E-2</v>
      </c>
      <c r="O29" s="13">
        <v>-6.1000000000000004E-3</v>
      </c>
    </row>
    <row r="30" spans="3:15" ht="16" thickBot="1" x14ac:dyDescent="0.4">
      <c r="C30" s="13">
        <v>25</v>
      </c>
      <c r="D30" s="13">
        <v>2.4799999999999999E-2</v>
      </c>
      <c r="E30" s="13">
        <v>4.82E-2</v>
      </c>
      <c r="F30" s="13">
        <v>5.8599999999999999E-2</v>
      </c>
      <c r="G30" s="13">
        <v>5.33E-2</v>
      </c>
      <c r="H30" s="13">
        <v>3.3700000000000001E-2</v>
      </c>
      <c r="I30" s="13">
        <v>5.1000000000000004E-3</v>
      </c>
      <c r="J30" s="13">
        <v>-2.4799999999999999E-2</v>
      </c>
      <c r="K30" s="13">
        <v>-4.82E-2</v>
      </c>
      <c r="L30" s="13">
        <v>-5.8599999999999999E-2</v>
      </c>
      <c r="M30" s="13">
        <v>-5.33E-2</v>
      </c>
      <c r="N30" s="13">
        <v>-3.3700000000000001E-2</v>
      </c>
      <c r="O30" s="13">
        <v>-5.1000000000000004E-3</v>
      </c>
    </row>
    <row r="31" spans="3:15" ht="16" thickBot="1" x14ac:dyDescent="0.4">
      <c r="C31" s="13">
        <v>26</v>
      </c>
      <c r="D31" s="13">
        <v>2.58E-2</v>
      </c>
      <c r="E31" s="13">
        <v>4.87E-2</v>
      </c>
      <c r="F31" s="13">
        <v>5.8599999999999999E-2</v>
      </c>
      <c r="G31" s="13">
        <v>5.28E-2</v>
      </c>
      <c r="H31" s="13">
        <v>3.2899999999999999E-2</v>
      </c>
      <c r="I31" s="13">
        <v>4.1000000000000003E-3</v>
      </c>
      <c r="J31" s="13">
        <v>-2.58E-2</v>
      </c>
      <c r="K31" s="13">
        <v>-4.87E-2</v>
      </c>
      <c r="L31" s="13">
        <v>-5.8599999999999999E-2</v>
      </c>
      <c r="M31" s="13">
        <v>-5.28E-2</v>
      </c>
      <c r="N31" s="13">
        <v>-3.2899999999999999E-2</v>
      </c>
      <c r="O31" s="13">
        <v>-4.1000000000000003E-3</v>
      </c>
    </row>
    <row r="32" spans="3:15" ht="16" thickBot="1" x14ac:dyDescent="0.4">
      <c r="C32" s="13">
        <v>27</v>
      </c>
      <c r="D32" s="13">
        <v>2.6700000000000002E-2</v>
      </c>
      <c r="E32" s="13">
        <v>4.9299999999999997E-2</v>
      </c>
      <c r="F32" s="13">
        <v>5.8700000000000002E-2</v>
      </c>
      <c r="G32" s="13">
        <v>5.2400000000000002E-2</v>
      </c>
      <c r="H32" s="13" t="s">
        <v>256</v>
      </c>
      <c r="I32" s="13">
        <v>3.0999999999999999E-3</v>
      </c>
      <c r="J32" s="13">
        <v>-2.6700000000000002E-2</v>
      </c>
      <c r="K32" s="13">
        <v>-4.9299999999999997E-2</v>
      </c>
      <c r="L32" s="13">
        <v>-5.8700000000000002E-2</v>
      </c>
      <c r="M32" s="13">
        <v>-5.2400000000000002E-2</v>
      </c>
      <c r="N32" s="13" t="s">
        <v>257</v>
      </c>
      <c r="O32" s="13">
        <v>-3.0999999999999999E-3</v>
      </c>
    </row>
    <row r="33" spans="3:15" ht="16" thickBot="1" x14ac:dyDescent="0.4">
      <c r="C33" s="13">
        <v>28</v>
      </c>
      <c r="D33" s="13">
        <v>2.76E-2</v>
      </c>
      <c r="E33" s="13">
        <v>4.99E-2</v>
      </c>
      <c r="F33" s="13">
        <v>5.8799999999999998E-2</v>
      </c>
      <c r="G33" s="13">
        <v>5.1900000000000002E-2</v>
      </c>
      <c r="H33" s="13">
        <v>3.1199999999999999E-2</v>
      </c>
      <c r="I33" s="13">
        <v>2.0999999999999999E-3</v>
      </c>
      <c r="J33" s="13">
        <v>-2.76E-2</v>
      </c>
      <c r="K33" s="13">
        <v>-4.99E-2</v>
      </c>
      <c r="L33" s="13">
        <v>-5.8799999999999998E-2</v>
      </c>
      <c r="M33" s="13">
        <v>-5.1900000000000002E-2</v>
      </c>
      <c r="N33" s="13">
        <v>-3.1199999999999999E-2</v>
      </c>
      <c r="O33" s="13">
        <v>-2.0999999999999999E-3</v>
      </c>
    </row>
    <row r="34" spans="3:15" ht="16" thickBot="1" x14ac:dyDescent="0.4">
      <c r="C34" s="13">
        <v>29</v>
      </c>
      <c r="D34" s="13">
        <v>2.8500000000000001E-2</v>
      </c>
      <c r="E34" s="13">
        <v>5.04E-2</v>
      </c>
      <c r="F34" s="13">
        <v>5.8799999999999998E-2</v>
      </c>
      <c r="G34" s="13">
        <v>5.1400000000000001E-2</v>
      </c>
      <c r="H34" s="13">
        <v>3.0300000000000001E-2</v>
      </c>
      <c r="I34" s="13" t="s">
        <v>243</v>
      </c>
      <c r="J34" s="13">
        <v>-2.8500000000000001E-2</v>
      </c>
      <c r="K34" s="13">
        <v>-5.04E-2</v>
      </c>
      <c r="L34" s="13">
        <v>-5.8799999999999998E-2</v>
      </c>
      <c r="M34" s="13">
        <v>-5.1400000000000001E-2</v>
      </c>
      <c r="N34" s="13">
        <v>-3.0300000000000001E-2</v>
      </c>
      <c r="O34" s="13" t="s">
        <v>244</v>
      </c>
    </row>
    <row r="35" spans="3:15" ht="16" thickBot="1" x14ac:dyDescent="0.4">
      <c r="C35" s="13">
        <v>30</v>
      </c>
      <c r="D35" s="13">
        <v>2.9399999999999999E-2</v>
      </c>
      <c r="E35" s="13">
        <v>5.0900000000000001E-2</v>
      </c>
      <c r="F35" s="13">
        <v>5.8799999999999998E-2</v>
      </c>
      <c r="G35" s="13">
        <v>5.0900000000000001E-2</v>
      </c>
      <c r="H35" s="13">
        <v>2.9399999999999999E-2</v>
      </c>
      <c r="I35" s="13" t="s">
        <v>22</v>
      </c>
      <c r="J35" s="13">
        <v>-2.9399999999999999E-2</v>
      </c>
      <c r="K35" s="13">
        <v>-5.0900000000000001E-2</v>
      </c>
      <c r="L35" s="13">
        <v>-5.8799999999999998E-2</v>
      </c>
      <c r="M35" s="13">
        <v>-5.0900000000000001E-2</v>
      </c>
      <c r="N35" s="13">
        <v>-2.9399999999999999E-2</v>
      </c>
      <c r="O35" s="13" t="s">
        <v>22</v>
      </c>
    </row>
  </sheetData>
  <mergeCells count="1">
    <mergeCell ref="C3:O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FED4-C736-4214-ABFD-6D2B97B0E087}">
  <dimension ref="B2:O35"/>
  <sheetViews>
    <sheetView workbookViewId="0">
      <selection activeCell="B3" sqref="B3:O35"/>
    </sheetView>
  </sheetViews>
  <sheetFormatPr defaultRowHeight="14.5" x14ac:dyDescent="0.35"/>
  <sheetData>
    <row r="2" spans="2:15" ht="15" thickBot="1" x14ac:dyDescent="0.4"/>
    <row r="3" spans="2:15" ht="15.5" thickBot="1" x14ac:dyDescent="0.4">
      <c r="B3" s="25"/>
      <c r="C3" s="99" t="s">
        <v>235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1"/>
    </row>
    <row r="4" spans="2:15" ht="15.5" thickBot="1" x14ac:dyDescent="0.4">
      <c r="B4" s="25"/>
      <c r="C4" s="11" t="s">
        <v>15</v>
      </c>
      <c r="D4" s="11" t="s">
        <v>16</v>
      </c>
      <c r="E4" s="11" t="s">
        <v>17</v>
      </c>
      <c r="F4" s="11" t="s">
        <v>18</v>
      </c>
      <c r="G4" s="11" t="s">
        <v>19</v>
      </c>
      <c r="H4" s="11" t="s">
        <v>20</v>
      </c>
      <c r="I4" s="11" t="s">
        <v>21</v>
      </c>
      <c r="J4" s="11" t="s">
        <v>36</v>
      </c>
      <c r="K4" s="11" t="s">
        <v>37</v>
      </c>
      <c r="L4" s="11" t="s">
        <v>38</v>
      </c>
      <c r="M4" s="11" t="s">
        <v>39</v>
      </c>
      <c r="N4" s="11" t="s">
        <v>40</v>
      </c>
      <c r="O4" s="11" t="s">
        <v>41</v>
      </c>
    </row>
    <row r="5" spans="2:15" ht="16" thickBot="1" x14ac:dyDescent="0.4">
      <c r="C5" s="13">
        <v>0</v>
      </c>
      <c r="D5" s="13" t="s">
        <v>22</v>
      </c>
      <c r="E5" s="13">
        <v>2.8500000000000001E-2</v>
      </c>
      <c r="F5" s="13">
        <v>4.9399999999999999E-2</v>
      </c>
      <c r="G5" s="13">
        <v>5.7099999999999998E-2</v>
      </c>
      <c r="H5" s="13">
        <v>4.9399999999999999E-2</v>
      </c>
      <c r="I5" s="13">
        <v>2.8500000000000001E-2</v>
      </c>
      <c r="J5" s="13" t="s">
        <v>22</v>
      </c>
      <c r="K5" s="13">
        <v>-2.8500000000000001E-2</v>
      </c>
      <c r="L5" s="13">
        <v>-4.9399999999999999E-2</v>
      </c>
      <c r="M5" s="13">
        <v>-5.7099999999999998E-2</v>
      </c>
      <c r="N5" s="13">
        <v>-4.9399999999999999E-2</v>
      </c>
      <c r="O5" s="13">
        <v>-2.8500000000000001E-2</v>
      </c>
    </row>
    <row r="6" spans="2:15" ht="16" thickBot="1" x14ac:dyDescent="0.4">
      <c r="C6" s="13">
        <v>1</v>
      </c>
      <c r="D6" s="13" t="s">
        <v>243</v>
      </c>
      <c r="E6" s="13">
        <v>2.9399999999999999E-2</v>
      </c>
      <c r="F6" s="13">
        <v>4.99E-2</v>
      </c>
      <c r="G6" s="13">
        <v>5.7099999999999998E-2</v>
      </c>
      <c r="H6" s="13">
        <v>4.8899999999999999E-2</v>
      </c>
      <c r="I6" s="13">
        <v>2.7699999999999999E-2</v>
      </c>
      <c r="J6" s="13" t="s">
        <v>244</v>
      </c>
      <c r="K6" s="13">
        <v>-2.9399999999999999E-2</v>
      </c>
      <c r="L6" s="13">
        <v>-4.99E-2</v>
      </c>
      <c r="M6" s="13">
        <v>-5.7099999999999998E-2</v>
      </c>
      <c r="N6" s="13">
        <v>-4.8899999999999999E-2</v>
      </c>
      <c r="O6" s="13">
        <v>-2.7699999999999999E-2</v>
      </c>
    </row>
    <row r="7" spans="2:15" ht="16" thickBot="1" x14ac:dyDescent="0.4">
      <c r="C7" s="13">
        <v>2</v>
      </c>
      <c r="D7" s="13" t="s">
        <v>54</v>
      </c>
      <c r="E7" s="13">
        <v>3.0200000000000001E-2</v>
      </c>
      <c r="F7" s="13">
        <v>5.04E-2</v>
      </c>
      <c r="G7" s="13" t="s">
        <v>251</v>
      </c>
      <c r="H7" s="13">
        <v>4.8399999999999999E-2</v>
      </c>
      <c r="I7" s="13">
        <v>2.6800000000000001E-2</v>
      </c>
      <c r="J7" s="13" t="s">
        <v>55</v>
      </c>
      <c r="K7" s="13">
        <v>-3.0200000000000001E-2</v>
      </c>
      <c r="L7" s="13">
        <v>-5.04E-2</v>
      </c>
      <c r="M7" s="13" t="s">
        <v>252</v>
      </c>
      <c r="N7" s="13">
        <v>-4.8399999999999999E-2</v>
      </c>
      <c r="O7" s="13">
        <v>-2.6800000000000001E-2</v>
      </c>
    </row>
    <row r="8" spans="2:15" ht="16" thickBot="1" x14ac:dyDescent="0.4">
      <c r="C8" s="13">
        <v>3</v>
      </c>
      <c r="D8" s="13" t="s">
        <v>258</v>
      </c>
      <c r="E8" s="13">
        <v>3.1099999999999999E-2</v>
      </c>
      <c r="F8" s="13">
        <v>5.0799999999999998E-2</v>
      </c>
      <c r="G8" s="13" t="s">
        <v>251</v>
      </c>
      <c r="H8" s="13">
        <v>4.7899999999999998E-2</v>
      </c>
      <c r="I8" s="13">
        <v>2.5899999999999999E-2</v>
      </c>
      <c r="J8" s="13" t="s">
        <v>259</v>
      </c>
      <c r="K8" s="13">
        <v>-3.1099999999999999E-2</v>
      </c>
      <c r="L8" s="13">
        <v>-5.0799999999999998E-2</v>
      </c>
      <c r="M8" s="13" t="s">
        <v>252</v>
      </c>
      <c r="N8" s="13">
        <v>-4.7899999999999998E-2</v>
      </c>
      <c r="O8" s="13">
        <v>-2.5899999999999999E-2</v>
      </c>
    </row>
    <row r="9" spans="2:15" ht="16" thickBot="1" x14ac:dyDescent="0.4">
      <c r="C9" s="13">
        <v>4</v>
      </c>
      <c r="D9" s="13" t="s">
        <v>249</v>
      </c>
      <c r="E9" s="13">
        <v>3.1899999999999998E-2</v>
      </c>
      <c r="F9" s="13">
        <v>5.1299999999999998E-2</v>
      </c>
      <c r="G9" s="13">
        <v>5.6899999999999999E-2</v>
      </c>
      <c r="H9" s="13">
        <v>4.7300000000000002E-2</v>
      </c>
      <c r="I9" s="13" t="s">
        <v>253</v>
      </c>
      <c r="J9" s="13" t="s">
        <v>247</v>
      </c>
      <c r="K9" s="13">
        <v>-3.1899999999999998E-2</v>
      </c>
      <c r="L9" s="13">
        <v>-5.1299999999999998E-2</v>
      </c>
      <c r="M9" s="13">
        <v>-5.6899999999999999E-2</v>
      </c>
      <c r="N9" s="13">
        <v>-4.7300000000000002E-2</v>
      </c>
      <c r="O9" s="13" t="s">
        <v>254</v>
      </c>
    </row>
    <row r="10" spans="2:15" ht="16" thickBot="1" x14ac:dyDescent="0.4">
      <c r="C10" s="13">
        <v>5</v>
      </c>
      <c r="D10" s="13" t="s">
        <v>65</v>
      </c>
      <c r="E10" s="13">
        <v>3.27E-2</v>
      </c>
      <c r="F10" s="13">
        <v>5.1700000000000003E-2</v>
      </c>
      <c r="G10" s="13">
        <v>5.6800000000000003E-2</v>
      </c>
      <c r="H10" s="13">
        <v>4.6699999999999998E-2</v>
      </c>
      <c r="I10" s="13">
        <v>2.41E-2</v>
      </c>
      <c r="J10" s="13" t="s">
        <v>67</v>
      </c>
      <c r="K10" s="13">
        <v>-3.27E-2</v>
      </c>
      <c r="L10" s="13">
        <v>-5.1700000000000003E-2</v>
      </c>
      <c r="M10" s="13">
        <v>-5.6800000000000003E-2</v>
      </c>
      <c r="N10" s="13">
        <v>-4.6699999999999998E-2</v>
      </c>
      <c r="O10" s="13">
        <v>-2.41E-2</v>
      </c>
    </row>
    <row r="11" spans="2:15" ht="16" thickBot="1" x14ac:dyDescent="0.4">
      <c r="C11" s="13">
        <v>6</v>
      </c>
      <c r="D11" s="13" t="s">
        <v>57</v>
      </c>
      <c r="E11" s="13">
        <v>3.3500000000000002E-2</v>
      </c>
      <c r="F11" s="13">
        <v>5.21E-2</v>
      </c>
      <c r="G11" s="13">
        <v>5.6800000000000003E-2</v>
      </c>
      <c r="H11" s="13">
        <v>4.6199999999999998E-2</v>
      </c>
      <c r="I11" s="13">
        <v>2.3199999999999998E-2</v>
      </c>
      <c r="J11" s="13" t="s">
        <v>58</v>
      </c>
      <c r="K11" s="13">
        <v>-3.3500000000000002E-2</v>
      </c>
      <c r="L11" s="13">
        <v>-5.21E-2</v>
      </c>
      <c r="M11" s="13">
        <v>-5.6800000000000003E-2</v>
      </c>
      <c r="N11" s="13">
        <v>-4.6199999999999998E-2</v>
      </c>
      <c r="O11" s="13">
        <v>-2.3199999999999998E-2</v>
      </c>
    </row>
    <row r="12" spans="2:15" ht="16" thickBot="1" x14ac:dyDescent="0.4">
      <c r="C12" s="13">
        <v>7</v>
      </c>
      <c r="D12" s="13" t="s">
        <v>271</v>
      </c>
      <c r="E12" s="13">
        <v>3.4299999999999997E-2</v>
      </c>
      <c r="F12" s="13">
        <v>5.2499999999999998E-2</v>
      </c>
      <c r="G12" s="13">
        <v>5.6599999999999998E-2</v>
      </c>
      <c r="H12" s="13">
        <v>4.5600000000000002E-2</v>
      </c>
      <c r="I12" s="13">
        <v>2.23E-2</v>
      </c>
      <c r="J12" s="13" t="s">
        <v>272</v>
      </c>
      <c r="K12" s="13">
        <v>-3.4299999999999997E-2</v>
      </c>
      <c r="L12" s="13">
        <v>-5.2499999999999998E-2</v>
      </c>
      <c r="M12" s="13">
        <v>-5.6599999999999998E-2</v>
      </c>
      <c r="N12" s="13">
        <v>-4.5600000000000002E-2</v>
      </c>
      <c r="O12" s="13">
        <v>-2.23E-2</v>
      </c>
    </row>
    <row r="13" spans="2:15" ht="16" thickBot="1" x14ac:dyDescent="0.4">
      <c r="C13" s="13">
        <v>8</v>
      </c>
      <c r="D13" s="13">
        <v>7.9000000000000008E-3</v>
      </c>
      <c r="E13" s="13">
        <v>3.5099999999999999E-2</v>
      </c>
      <c r="F13" s="13">
        <v>5.2900000000000003E-2</v>
      </c>
      <c r="G13" s="13">
        <v>5.6500000000000002E-2</v>
      </c>
      <c r="H13" s="13" t="s">
        <v>276</v>
      </c>
      <c r="I13" s="13">
        <v>2.1399999999999999E-2</v>
      </c>
      <c r="J13" s="13">
        <v>-7.9000000000000008E-3</v>
      </c>
      <c r="K13" s="13">
        <v>-3.5099999999999999E-2</v>
      </c>
      <c r="L13" s="13">
        <v>-5.2900000000000003E-2</v>
      </c>
      <c r="M13" s="13">
        <v>-5.6500000000000002E-2</v>
      </c>
      <c r="N13" s="13" t="s">
        <v>277</v>
      </c>
      <c r="O13" s="13">
        <v>-2.1399999999999999E-2</v>
      </c>
    </row>
    <row r="14" spans="2:15" ht="16" thickBot="1" x14ac:dyDescent="0.4">
      <c r="C14" s="13">
        <v>9</v>
      </c>
      <c r="D14" s="13">
        <v>8.8999999999999999E-3</v>
      </c>
      <c r="E14" s="13">
        <v>3.5900000000000001E-2</v>
      </c>
      <c r="F14" s="13">
        <v>5.33E-2</v>
      </c>
      <c r="G14" s="13">
        <v>5.6399999999999999E-2</v>
      </c>
      <c r="H14" s="13">
        <v>4.4299999999999999E-2</v>
      </c>
      <c r="I14" s="13">
        <v>2.0500000000000001E-2</v>
      </c>
      <c r="J14" s="13">
        <v>-8.8999999999999999E-3</v>
      </c>
      <c r="K14" s="13">
        <v>-3.5900000000000001E-2</v>
      </c>
      <c r="L14" s="13">
        <v>-5.33E-2</v>
      </c>
      <c r="M14" s="13">
        <v>-5.6399999999999999E-2</v>
      </c>
      <c r="N14" s="13">
        <v>-4.4299999999999999E-2</v>
      </c>
      <c r="O14" s="13">
        <v>-2.0500000000000001E-2</v>
      </c>
    </row>
    <row r="15" spans="2:15" ht="16" thickBot="1" x14ac:dyDescent="0.4">
      <c r="C15" s="13">
        <v>10</v>
      </c>
      <c r="D15" s="13">
        <v>9.9000000000000008E-3</v>
      </c>
      <c r="E15" s="13">
        <v>3.6700000000000003E-2</v>
      </c>
      <c r="F15" s="13">
        <v>5.3600000000000002E-2</v>
      </c>
      <c r="G15" s="13">
        <v>5.62E-2</v>
      </c>
      <c r="H15" s="13">
        <v>4.3700000000000003E-2</v>
      </c>
      <c r="I15" s="13">
        <v>1.95E-2</v>
      </c>
      <c r="J15" s="13">
        <v>-9.9000000000000008E-3</v>
      </c>
      <c r="K15" s="13">
        <v>-3.6700000000000003E-2</v>
      </c>
      <c r="L15" s="13">
        <v>-5.3600000000000002E-2</v>
      </c>
      <c r="M15" s="13">
        <v>-5.62E-2</v>
      </c>
      <c r="N15" s="13">
        <v>-4.3700000000000003E-2</v>
      </c>
      <c r="O15" s="13">
        <v>-1.95E-2</v>
      </c>
    </row>
    <row r="16" spans="2:15" ht="16" thickBot="1" x14ac:dyDescent="0.4">
      <c r="C16" s="13">
        <v>11</v>
      </c>
      <c r="D16" s="13">
        <v>1.09E-2</v>
      </c>
      <c r="E16" s="13">
        <v>3.7400000000000003E-2</v>
      </c>
      <c r="F16" s="13" t="s">
        <v>293</v>
      </c>
      <c r="G16" s="13" t="s">
        <v>294</v>
      </c>
      <c r="H16" s="13">
        <v>4.3099999999999999E-2</v>
      </c>
      <c r="I16" s="13">
        <v>1.8599999999999998E-2</v>
      </c>
      <c r="J16" s="13">
        <v>-1.09E-2</v>
      </c>
      <c r="K16" s="13">
        <v>-3.7400000000000003E-2</v>
      </c>
      <c r="L16" s="13" t="s">
        <v>295</v>
      </c>
      <c r="M16" s="13" t="s">
        <v>296</v>
      </c>
      <c r="N16" s="13">
        <v>-4.3099999999999999E-2</v>
      </c>
      <c r="O16" s="13">
        <v>-1.8599999999999998E-2</v>
      </c>
    </row>
    <row r="17" spans="3:15" ht="16" thickBot="1" x14ac:dyDescent="0.4">
      <c r="C17" s="13">
        <v>12</v>
      </c>
      <c r="D17" s="13">
        <v>1.1900000000000001E-2</v>
      </c>
      <c r="E17" s="13">
        <v>3.8199999999999998E-2</v>
      </c>
      <c r="F17" s="13">
        <v>5.4300000000000001E-2</v>
      </c>
      <c r="G17" s="13">
        <v>5.5800000000000002E-2</v>
      </c>
      <c r="H17" s="13">
        <v>4.24E-2</v>
      </c>
      <c r="I17" s="13">
        <v>1.7600000000000001E-2</v>
      </c>
      <c r="J17" s="13">
        <v>-1.1900000000000001E-2</v>
      </c>
      <c r="K17" s="13">
        <v>-3.8199999999999998E-2</v>
      </c>
      <c r="L17" s="13">
        <v>-5.4300000000000001E-2</v>
      </c>
      <c r="M17" s="13">
        <v>-5.5800000000000002E-2</v>
      </c>
      <c r="N17" s="13">
        <v>-4.24E-2</v>
      </c>
      <c r="O17" s="13">
        <v>-1.7600000000000001E-2</v>
      </c>
    </row>
    <row r="18" spans="3:15" ht="16" thickBot="1" x14ac:dyDescent="0.4">
      <c r="C18" s="13">
        <v>13</v>
      </c>
      <c r="D18" s="13">
        <v>1.2800000000000001E-2</v>
      </c>
      <c r="E18" s="13">
        <v>3.8899999999999997E-2</v>
      </c>
      <c r="F18" s="13">
        <v>5.4600000000000003E-2</v>
      </c>
      <c r="G18" s="13">
        <v>5.5599999999999997E-2</v>
      </c>
      <c r="H18" s="13">
        <v>4.1700000000000001E-2</v>
      </c>
      <c r="I18" s="13">
        <v>1.67E-2</v>
      </c>
      <c r="J18" s="13">
        <v>-1.2800000000000001E-2</v>
      </c>
      <c r="K18" s="13">
        <v>-3.8899999999999997E-2</v>
      </c>
      <c r="L18" s="13">
        <v>-5.4600000000000003E-2</v>
      </c>
      <c r="M18" s="13">
        <v>-5.5599999999999997E-2</v>
      </c>
      <c r="N18" s="13">
        <v>-4.1700000000000001E-2</v>
      </c>
      <c r="O18" s="13">
        <v>-1.67E-2</v>
      </c>
    </row>
    <row r="19" spans="3:15" ht="16" thickBot="1" x14ac:dyDescent="0.4">
      <c r="C19" s="13">
        <v>14</v>
      </c>
      <c r="D19" s="13">
        <v>1.38E-2</v>
      </c>
      <c r="E19" s="13">
        <v>3.9600000000000003E-2</v>
      </c>
      <c r="F19" s="13">
        <v>5.4899999999999997E-2</v>
      </c>
      <c r="G19" s="13">
        <v>5.5399999999999998E-2</v>
      </c>
      <c r="H19" s="13" t="s">
        <v>285</v>
      </c>
      <c r="I19" s="13">
        <v>1.5699999999999999E-2</v>
      </c>
      <c r="J19" s="13">
        <v>-1.38E-2</v>
      </c>
      <c r="K19" s="13">
        <v>-3.9600000000000003E-2</v>
      </c>
      <c r="L19" s="13">
        <v>-5.4899999999999997E-2</v>
      </c>
      <c r="M19" s="13">
        <v>-5.5399999999999998E-2</v>
      </c>
      <c r="N19" s="13" t="s">
        <v>283</v>
      </c>
      <c r="O19" s="13">
        <v>-1.5699999999999999E-2</v>
      </c>
    </row>
    <row r="20" spans="3:15" ht="16" thickBot="1" x14ac:dyDescent="0.4">
      <c r="C20" s="13">
        <v>15</v>
      </c>
      <c r="D20" s="13">
        <v>1.4800000000000001E-2</v>
      </c>
      <c r="E20" s="13">
        <v>4.0399999999999998E-2</v>
      </c>
      <c r="F20" s="13">
        <v>5.5100000000000003E-2</v>
      </c>
      <c r="G20" s="13">
        <v>5.5100000000000003E-2</v>
      </c>
      <c r="H20" s="13">
        <v>4.0399999999999998E-2</v>
      </c>
      <c r="I20" s="13">
        <v>1.4800000000000001E-2</v>
      </c>
      <c r="J20" s="13">
        <v>-1.4800000000000001E-2</v>
      </c>
      <c r="K20" s="13">
        <v>-4.0399999999999998E-2</v>
      </c>
      <c r="L20" s="13">
        <v>-5.5100000000000003E-2</v>
      </c>
      <c r="M20" s="13">
        <v>-5.5100000000000003E-2</v>
      </c>
      <c r="N20" s="13">
        <v>-4.0399999999999998E-2</v>
      </c>
      <c r="O20" s="13">
        <v>-1.4800000000000001E-2</v>
      </c>
    </row>
    <row r="21" spans="3:15" ht="16" thickBot="1" x14ac:dyDescent="0.4">
      <c r="C21" s="13">
        <v>16</v>
      </c>
      <c r="D21" s="13">
        <v>1.5699999999999999E-2</v>
      </c>
      <c r="E21" s="13" t="s">
        <v>285</v>
      </c>
      <c r="F21" s="13">
        <v>5.5399999999999998E-2</v>
      </c>
      <c r="G21" s="13">
        <v>5.4899999999999997E-2</v>
      </c>
      <c r="H21" s="13">
        <v>3.9600000000000003E-2</v>
      </c>
      <c r="I21" s="13">
        <v>1.38E-2</v>
      </c>
      <c r="J21" s="13">
        <v>-1.5699999999999999E-2</v>
      </c>
      <c r="K21" s="13" t="s">
        <v>283</v>
      </c>
      <c r="L21" s="13">
        <v>-5.5399999999999998E-2</v>
      </c>
      <c r="M21" s="13">
        <v>-5.4899999999999997E-2</v>
      </c>
      <c r="N21" s="13">
        <v>-3.9600000000000003E-2</v>
      </c>
      <c r="O21" s="13">
        <v>-1.38E-2</v>
      </c>
    </row>
    <row r="22" spans="3:15" ht="16" thickBot="1" x14ac:dyDescent="0.4">
      <c r="C22" s="13">
        <v>17</v>
      </c>
      <c r="D22" s="13">
        <v>1.67E-2</v>
      </c>
      <c r="E22" s="13">
        <v>4.1700000000000001E-2</v>
      </c>
      <c r="F22" s="13">
        <v>5.5599999999999997E-2</v>
      </c>
      <c r="G22" s="13">
        <v>5.4600000000000003E-2</v>
      </c>
      <c r="H22" s="13">
        <v>3.8899999999999997E-2</v>
      </c>
      <c r="I22" s="13">
        <v>1.2800000000000001E-2</v>
      </c>
      <c r="J22" s="13">
        <v>-1.67E-2</v>
      </c>
      <c r="K22" s="13">
        <v>-4.1700000000000001E-2</v>
      </c>
      <c r="L22" s="13">
        <v>-5.5599999999999997E-2</v>
      </c>
      <c r="M22" s="13">
        <v>-5.4600000000000003E-2</v>
      </c>
      <c r="N22" s="13">
        <v>-3.8899999999999997E-2</v>
      </c>
      <c r="O22" s="13">
        <v>-1.2800000000000001E-2</v>
      </c>
    </row>
    <row r="23" spans="3:15" ht="16" thickBot="1" x14ac:dyDescent="0.4">
      <c r="C23" s="13">
        <v>18</v>
      </c>
      <c r="D23" s="13">
        <v>1.7600000000000001E-2</v>
      </c>
      <c r="E23" s="13">
        <v>4.24E-2</v>
      </c>
      <c r="F23" s="13">
        <v>5.5800000000000002E-2</v>
      </c>
      <c r="G23" s="13">
        <v>5.4300000000000001E-2</v>
      </c>
      <c r="H23" s="13">
        <v>3.8199999999999998E-2</v>
      </c>
      <c r="I23" s="13">
        <v>1.1900000000000001E-2</v>
      </c>
      <c r="J23" s="13">
        <v>-1.7600000000000001E-2</v>
      </c>
      <c r="K23" s="13">
        <v>-4.24E-2</v>
      </c>
      <c r="L23" s="13">
        <v>-5.5800000000000002E-2</v>
      </c>
      <c r="M23" s="13">
        <v>-5.4300000000000001E-2</v>
      </c>
      <c r="N23" s="13">
        <v>-3.8199999999999998E-2</v>
      </c>
      <c r="O23" s="13">
        <v>-1.1900000000000001E-2</v>
      </c>
    </row>
    <row r="24" spans="3:15" ht="16" thickBot="1" x14ac:dyDescent="0.4">
      <c r="C24" s="13">
        <v>19</v>
      </c>
      <c r="D24" s="13">
        <v>1.8599999999999998E-2</v>
      </c>
      <c r="E24" s="13">
        <v>4.3099999999999999E-2</v>
      </c>
      <c r="F24" s="13" t="s">
        <v>294</v>
      </c>
      <c r="G24" s="13" t="s">
        <v>293</v>
      </c>
      <c r="H24" s="13">
        <v>3.7400000000000003E-2</v>
      </c>
      <c r="I24" s="13">
        <v>1.09E-2</v>
      </c>
      <c r="J24" s="13">
        <v>-1.8599999999999998E-2</v>
      </c>
      <c r="K24" s="13">
        <v>-4.3099999999999999E-2</v>
      </c>
      <c r="L24" s="13" t="s">
        <v>296</v>
      </c>
      <c r="M24" s="13" t="s">
        <v>295</v>
      </c>
      <c r="N24" s="13">
        <v>-3.7400000000000003E-2</v>
      </c>
      <c r="O24" s="13">
        <v>-1.09E-2</v>
      </c>
    </row>
    <row r="25" spans="3:15" ht="16" thickBot="1" x14ac:dyDescent="0.4">
      <c r="C25" s="13">
        <v>20</v>
      </c>
      <c r="D25" s="13">
        <v>1.95E-2</v>
      </c>
      <c r="E25" s="13">
        <v>4.3700000000000003E-2</v>
      </c>
      <c r="F25" s="13">
        <v>5.62E-2</v>
      </c>
      <c r="G25" s="13">
        <v>5.3600000000000002E-2</v>
      </c>
      <c r="H25" s="13">
        <v>3.6700000000000003E-2</v>
      </c>
      <c r="I25" s="13">
        <v>9.9000000000000008E-3</v>
      </c>
      <c r="J25" s="13">
        <v>-1.95E-2</v>
      </c>
      <c r="K25" s="13">
        <v>-4.3700000000000003E-2</v>
      </c>
      <c r="L25" s="13">
        <v>-5.62E-2</v>
      </c>
      <c r="M25" s="13">
        <v>-5.3600000000000002E-2</v>
      </c>
      <c r="N25" s="13">
        <v>-3.6700000000000003E-2</v>
      </c>
      <c r="O25" s="13">
        <v>-9.9000000000000008E-3</v>
      </c>
    </row>
    <row r="26" spans="3:15" ht="16" thickBot="1" x14ac:dyDescent="0.4">
      <c r="C26" s="13">
        <v>21</v>
      </c>
      <c r="D26" s="13">
        <v>2.0500000000000001E-2</v>
      </c>
      <c r="E26" s="13">
        <v>4.4299999999999999E-2</v>
      </c>
      <c r="F26" s="13">
        <v>5.6399999999999999E-2</v>
      </c>
      <c r="G26" s="13">
        <v>5.33E-2</v>
      </c>
      <c r="H26" s="13">
        <v>3.5900000000000001E-2</v>
      </c>
      <c r="I26" s="13">
        <v>8.8999999999999999E-3</v>
      </c>
      <c r="J26" s="13">
        <v>-2.0500000000000001E-2</v>
      </c>
      <c r="K26" s="13">
        <v>-4.4299999999999999E-2</v>
      </c>
      <c r="L26" s="13">
        <v>-5.6399999999999999E-2</v>
      </c>
      <c r="M26" s="13">
        <v>-5.33E-2</v>
      </c>
      <c r="N26" s="13">
        <v>-3.5900000000000001E-2</v>
      </c>
      <c r="O26" s="13">
        <v>-8.8999999999999999E-3</v>
      </c>
    </row>
    <row r="27" spans="3:15" ht="16" thickBot="1" x14ac:dyDescent="0.4">
      <c r="C27" s="13">
        <v>22</v>
      </c>
      <c r="D27" s="13">
        <v>2.1399999999999999E-2</v>
      </c>
      <c r="E27" s="13" t="s">
        <v>276</v>
      </c>
      <c r="F27" s="13">
        <v>5.6500000000000002E-2</v>
      </c>
      <c r="G27" s="13">
        <v>5.2900000000000003E-2</v>
      </c>
      <c r="H27" s="13">
        <v>3.5099999999999999E-2</v>
      </c>
      <c r="I27" s="13">
        <v>7.9000000000000008E-3</v>
      </c>
      <c r="J27" s="13">
        <v>-2.1399999999999999E-2</v>
      </c>
      <c r="K27" s="13" t="s">
        <v>277</v>
      </c>
      <c r="L27" s="13">
        <v>-5.6500000000000002E-2</v>
      </c>
      <c r="M27" s="13">
        <v>-5.2900000000000003E-2</v>
      </c>
      <c r="N27" s="13">
        <v>-3.5099999999999999E-2</v>
      </c>
      <c r="O27" s="13">
        <v>-7.9000000000000008E-3</v>
      </c>
    </row>
    <row r="28" spans="3:15" ht="16" thickBot="1" x14ac:dyDescent="0.4">
      <c r="C28" s="13">
        <v>23</v>
      </c>
      <c r="D28" s="13">
        <v>2.23E-2</v>
      </c>
      <c r="E28" s="13">
        <v>4.5600000000000002E-2</v>
      </c>
      <c r="F28" s="13">
        <v>5.6599999999999998E-2</v>
      </c>
      <c r="G28" s="13">
        <v>5.2499999999999998E-2</v>
      </c>
      <c r="H28" s="13">
        <v>3.4299999999999997E-2</v>
      </c>
      <c r="I28" s="13" t="s">
        <v>271</v>
      </c>
      <c r="J28" s="13">
        <v>-2.23E-2</v>
      </c>
      <c r="K28" s="13">
        <v>-4.5600000000000002E-2</v>
      </c>
      <c r="L28" s="13">
        <v>-5.6599999999999998E-2</v>
      </c>
      <c r="M28" s="13">
        <v>-5.2499999999999998E-2</v>
      </c>
      <c r="N28" s="13">
        <v>-3.4299999999999997E-2</v>
      </c>
      <c r="O28" s="13" t="s">
        <v>272</v>
      </c>
    </row>
    <row r="29" spans="3:15" ht="16" thickBot="1" x14ac:dyDescent="0.4">
      <c r="C29" s="13">
        <v>24</v>
      </c>
      <c r="D29" s="13">
        <v>2.3199999999999998E-2</v>
      </c>
      <c r="E29" s="13">
        <v>4.6199999999999998E-2</v>
      </c>
      <c r="F29" s="13">
        <v>5.6800000000000003E-2</v>
      </c>
      <c r="G29" s="13">
        <v>5.21E-2</v>
      </c>
      <c r="H29" s="13">
        <v>3.3500000000000002E-2</v>
      </c>
      <c r="I29" s="13" t="s">
        <v>57</v>
      </c>
      <c r="J29" s="13">
        <v>-2.3199999999999998E-2</v>
      </c>
      <c r="K29" s="13">
        <v>-4.6199999999999998E-2</v>
      </c>
      <c r="L29" s="13">
        <v>-5.6800000000000003E-2</v>
      </c>
      <c r="M29" s="13">
        <v>-5.21E-2</v>
      </c>
      <c r="N29" s="13">
        <v>-3.3500000000000002E-2</v>
      </c>
      <c r="O29" s="13" t="s">
        <v>58</v>
      </c>
    </row>
    <row r="30" spans="3:15" ht="16" thickBot="1" x14ac:dyDescent="0.4">
      <c r="C30" s="13">
        <v>25</v>
      </c>
      <c r="D30" s="13">
        <v>2.41E-2</v>
      </c>
      <c r="E30" s="13">
        <v>4.6699999999999998E-2</v>
      </c>
      <c r="F30" s="13">
        <v>5.6800000000000003E-2</v>
      </c>
      <c r="G30" s="13">
        <v>5.1700000000000003E-2</v>
      </c>
      <c r="H30" s="13">
        <v>3.27E-2</v>
      </c>
      <c r="I30" s="13" t="s">
        <v>65</v>
      </c>
      <c r="J30" s="13">
        <v>-2.41E-2</v>
      </c>
      <c r="K30" s="13">
        <v>-4.6699999999999998E-2</v>
      </c>
      <c r="L30" s="13">
        <v>-5.6800000000000003E-2</v>
      </c>
      <c r="M30" s="13">
        <v>-5.1700000000000003E-2</v>
      </c>
      <c r="N30" s="13">
        <v>-3.27E-2</v>
      </c>
      <c r="O30" s="13" t="s">
        <v>67</v>
      </c>
    </row>
    <row r="31" spans="3:15" ht="16" thickBot="1" x14ac:dyDescent="0.4">
      <c r="C31" s="13">
        <v>26</v>
      </c>
      <c r="D31" s="13" t="s">
        <v>253</v>
      </c>
      <c r="E31" s="13">
        <v>4.7300000000000002E-2</v>
      </c>
      <c r="F31" s="13">
        <v>5.6899999999999999E-2</v>
      </c>
      <c r="G31" s="13">
        <v>5.1299999999999998E-2</v>
      </c>
      <c r="H31" s="13">
        <v>3.1899999999999998E-2</v>
      </c>
      <c r="I31" s="13" t="s">
        <v>249</v>
      </c>
      <c r="J31" s="13" t="s">
        <v>254</v>
      </c>
      <c r="K31" s="13">
        <v>-4.7300000000000002E-2</v>
      </c>
      <c r="L31" s="13">
        <v>-5.6899999999999999E-2</v>
      </c>
      <c r="M31" s="13">
        <v>-5.1299999999999998E-2</v>
      </c>
      <c r="N31" s="13">
        <v>-3.1899999999999998E-2</v>
      </c>
      <c r="O31" s="13" t="s">
        <v>247</v>
      </c>
    </row>
    <row r="32" spans="3:15" ht="16" thickBot="1" x14ac:dyDescent="0.4">
      <c r="C32" s="13">
        <v>27</v>
      </c>
      <c r="D32" s="13">
        <v>2.5899999999999999E-2</v>
      </c>
      <c r="E32" s="13">
        <v>4.7899999999999998E-2</v>
      </c>
      <c r="F32" s="13" t="s">
        <v>251</v>
      </c>
      <c r="G32" s="13">
        <v>5.0799999999999998E-2</v>
      </c>
      <c r="H32" s="13">
        <v>3.1099999999999999E-2</v>
      </c>
      <c r="I32" s="13" t="s">
        <v>258</v>
      </c>
      <c r="J32" s="13">
        <v>-2.5899999999999999E-2</v>
      </c>
      <c r="K32" s="13">
        <v>-4.7899999999999998E-2</v>
      </c>
      <c r="L32" s="13" t="s">
        <v>252</v>
      </c>
      <c r="M32" s="13">
        <v>-5.0799999999999998E-2</v>
      </c>
      <c r="N32" s="13">
        <v>-3.1099999999999999E-2</v>
      </c>
      <c r="O32" s="13" t="s">
        <v>259</v>
      </c>
    </row>
    <row r="33" spans="3:15" ht="16" thickBot="1" x14ac:dyDescent="0.4">
      <c r="C33" s="13">
        <v>28</v>
      </c>
      <c r="D33" s="13">
        <v>2.6800000000000001E-2</v>
      </c>
      <c r="E33" s="13">
        <v>4.8399999999999999E-2</v>
      </c>
      <c r="F33" s="13" t="s">
        <v>251</v>
      </c>
      <c r="G33" s="13">
        <v>5.04E-2</v>
      </c>
      <c r="H33" s="13">
        <v>3.0200000000000001E-2</v>
      </c>
      <c r="I33" s="13" t="s">
        <v>54</v>
      </c>
      <c r="J33" s="13">
        <v>-2.6800000000000001E-2</v>
      </c>
      <c r="K33" s="13">
        <v>-4.8399999999999999E-2</v>
      </c>
      <c r="L33" s="13" t="s">
        <v>252</v>
      </c>
      <c r="M33" s="13">
        <v>-5.04E-2</v>
      </c>
      <c r="N33" s="13">
        <v>-3.0200000000000001E-2</v>
      </c>
      <c r="O33" s="13" t="s">
        <v>55</v>
      </c>
    </row>
    <row r="34" spans="3:15" ht="16" thickBot="1" x14ac:dyDescent="0.4">
      <c r="C34" s="13">
        <v>29</v>
      </c>
      <c r="D34" s="13">
        <v>2.7699999999999999E-2</v>
      </c>
      <c r="E34" s="13">
        <v>4.8899999999999999E-2</v>
      </c>
      <c r="F34" s="13">
        <v>5.7099999999999998E-2</v>
      </c>
      <c r="G34" s="13">
        <v>4.99E-2</v>
      </c>
      <c r="H34" s="13">
        <v>2.9399999999999999E-2</v>
      </c>
      <c r="I34" s="13" t="s">
        <v>243</v>
      </c>
      <c r="J34" s="13">
        <v>-2.7699999999999999E-2</v>
      </c>
      <c r="K34" s="13">
        <v>-4.8899999999999999E-2</v>
      </c>
      <c r="L34" s="13">
        <v>-5.7099999999999998E-2</v>
      </c>
      <c r="M34" s="13">
        <v>-4.99E-2</v>
      </c>
      <c r="N34" s="13">
        <v>-2.9399999999999999E-2</v>
      </c>
      <c r="O34" s="13" t="s">
        <v>244</v>
      </c>
    </row>
    <row r="35" spans="3:15" ht="16" thickBot="1" x14ac:dyDescent="0.4">
      <c r="C35" s="13">
        <v>30</v>
      </c>
      <c r="D35" s="13">
        <v>2.8500000000000001E-2</v>
      </c>
      <c r="E35" s="13">
        <v>4.9399999999999999E-2</v>
      </c>
      <c r="F35" s="13">
        <v>5.7099999999999998E-2</v>
      </c>
      <c r="G35" s="13">
        <v>4.9399999999999999E-2</v>
      </c>
      <c r="H35" s="13">
        <v>2.8500000000000001E-2</v>
      </c>
      <c r="I35" s="13" t="s">
        <v>22</v>
      </c>
      <c r="J35" s="13">
        <v>-2.8500000000000001E-2</v>
      </c>
      <c r="K35" s="13">
        <v>-4.9399999999999999E-2</v>
      </c>
      <c r="L35" s="13">
        <v>-5.7099999999999998E-2</v>
      </c>
      <c r="M35" s="13">
        <v>-4.9399999999999999E-2</v>
      </c>
      <c r="N35" s="13">
        <v>-2.8500000000000001E-2</v>
      </c>
      <c r="O35" s="13" t="s">
        <v>22</v>
      </c>
    </row>
  </sheetData>
  <mergeCells count="1">
    <mergeCell ref="C3:O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329E-A3BE-4CC2-B757-218AFB079F77}">
  <dimension ref="B2:O35"/>
  <sheetViews>
    <sheetView workbookViewId="0">
      <selection activeCell="B3" sqref="B3:O35"/>
    </sheetView>
  </sheetViews>
  <sheetFormatPr defaultRowHeight="14.5" x14ac:dyDescent="0.35"/>
  <sheetData>
    <row r="2" spans="2:15" ht="15" thickBot="1" x14ac:dyDescent="0.4"/>
    <row r="3" spans="2:15" ht="15.5" thickBot="1" x14ac:dyDescent="0.4">
      <c r="B3" s="25"/>
      <c r="C3" s="99" t="s">
        <v>236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1"/>
    </row>
    <row r="4" spans="2:15" ht="15.5" thickBot="1" x14ac:dyDescent="0.4">
      <c r="B4" s="25"/>
      <c r="C4" s="11" t="s">
        <v>15</v>
      </c>
      <c r="D4" s="11" t="s">
        <v>16</v>
      </c>
      <c r="E4" s="11" t="s">
        <v>17</v>
      </c>
      <c r="F4" s="11" t="s">
        <v>18</v>
      </c>
      <c r="G4" s="11" t="s">
        <v>19</v>
      </c>
      <c r="H4" s="11" t="s">
        <v>20</v>
      </c>
      <c r="I4" s="11" t="s">
        <v>21</v>
      </c>
      <c r="J4" s="11" t="s">
        <v>36</v>
      </c>
      <c r="K4" s="11" t="s">
        <v>37</v>
      </c>
      <c r="L4" s="11" t="s">
        <v>38</v>
      </c>
      <c r="M4" s="11" t="s">
        <v>39</v>
      </c>
      <c r="N4" s="11" t="s">
        <v>40</v>
      </c>
      <c r="O4" s="11" t="s">
        <v>41</v>
      </c>
    </row>
    <row r="5" spans="2:15" ht="16" thickBot="1" x14ac:dyDescent="0.4">
      <c r="C5" s="13">
        <v>0</v>
      </c>
      <c r="D5" s="13" t="s">
        <v>22</v>
      </c>
      <c r="E5" s="13">
        <v>2.6700000000000002E-2</v>
      </c>
      <c r="F5" s="13">
        <v>4.6199999999999998E-2</v>
      </c>
      <c r="G5" s="13">
        <v>5.33E-2</v>
      </c>
      <c r="H5" s="13">
        <v>4.6199999999999998E-2</v>
      </c>
      <c r="I5" s="13">
        <v>2.6700000000000002E-2</v>
      </c>
      <c r="J5" s="13" t="s">
        <v>22</v>
      </c>
      <c r="K5" s="13">
        <v>-2.6700000000000002E-2</v>
      </c>
      <c r="L5" s="13">
        <v>-4.6199999999999998E-2</v>
      </c>
      <c r="M5" s="13">
        <v>-5.33E-2</v>
      </c>
      <c r="N5" s="13">
        <v>-4.6199999999999998E-2</v>
      </c>
      <c r="O5" s="13">
        <v>-2.6700000000000002E-2</v>
      </c>
    </row>
    <row r="6" spans="2:15" ht="16" thickBot="1" x14ac:dyDescent="0.4">
      <c r="C6" s="13">
        <v>1</v>
      </c>
      <c r="D6" s="13">
        <v>8.9999999999999998E-4</v>
      </c>
      <c r="E6" s="13">
        <v>2.75E-2</v>
      </c>
      <c r="F6" s="13">
        <v>4.6600000000000003E-2</v>
      </c>
      <c r="G6" s="13">
        <v>5.33E-2</v>
      </c>
      <c r="H6" s="13">
        <v>4.5699999999999998E-2</v>
      </c>
      <c r="I6" s="13">
        <v>2.5899999999999999E-2</v>
      </c>
      <c r="J6" s="13">
        <v>-8.9999999999999998E-4</v>
      </c>
      <c r="K6" s="13">
        <v>-2.75E-2</v>
      </c>
      <c r="L6" s="13">
        <v>-4.6600000000000003E-2</v>
      </c>
      <c r="M6" s="13">
        <v>-5.33E-2</v>
      </c>
      <c r="N6" s="13">
        <v>-4.5699999999999998E-2</v>
      </c>
      <c r="O6" s="13">
        <v>-2.5899999999999999E-2</v>
      </c>
    </row>
    <row r="7" spans="2:15" ht="16" thickBot="1" x14ac:dyDescent="0.4">
      <c r="C7" s="13">
        <v>2</v>
      </c>
      <c r="D7" s="13">
        <v>1.9E-3</v>
      </c>
      <c r="E7" s="13">
        <v>2.8299999999999999E-2</v>
      </c>
      <c r="F7" s="13">
        <v>4.7100000000000003E-2</v>
      </c>
      <c r="G7" s="13">
        <v>5.33E-2</v>
      </c>
      <c r="H7" s="13">
        <v>4.5199999999999997E-2</v>
      </c>
      <c r="I7" s="13" t="s">
        <v>253</v>
      </c>
      <c r="J7" s="13">
        <v>-1.9E-3</v>
      </c>
      <c r="K7" s="13">
        <v>-2.8299999999999999E-2</v>
      </c>
      <c r="L7" s="13">
        <v>-4.7100000000000003E-2</v>
      </c>
      <c r="M7" s="13">
        <v>-5.33E-2</v>
      </c>
      <c r="N7" s="13">
        <v>-4.5199999999999997E-2</v>
      </c>
      <c r="O7" s="13" t="s">
        <v>254</v>
      </c>
    </row>
    <row r="8" spans="2:15" ht="16" thickBot="1" x14ac:dyDescent="0.4">
      <c r="C8" s="13">
        <v>3</v>
      </c>
      <c r="D8" s="13">
        <v>2.8E-3</v>
      </c>
      <c r="E8" s="13" t="s">
        <v>260</v>
      </c>
      <c r="F8" s="13">
        <v>4.7500000000000001E-2</v>
      </c>
      <c r="G8" s="13">
        <v>5.3199999999999997E-2</v>
      </c>
      <c r="H8" s="13">
        <v>4.4699999999999997E-2</v>
      </c>
      <c r="I8" s="13">
        <v>2.4199999999999999E-2</v>
      </c>
      <c r="J8" s="13">
        <v>-2.8E-3</v>
      </c>
      <c r="K8" s="13" t="s">
        <v>261</v>
      </c>
      <c r="L8" s="13">
        <v>-4.7500000000000001E-2</v>
      </c>
      <c r="M8" s="13">
        <v>-5.3199999999999997E-2</v>
      </c>
      <c r="N8" s="13">
        <v>-4.4699999999999997E-2</v>
      </c>
      <c r="O8" s="13">
        <v>-2.4199999999999999E-2</v>
      </c>
    </row>
    <row r="9" spans="2:15" ht="16" thickBot="1" x14ac:dyDescent="0.4">
      <c r="C9" s="13">
        <v>4</v>
      </c>
      <c r="D9" s="13">
        <v>3.7000000000000002E-3</v>
      </c>
      <c r="E9" s="13">
        <v>2.98E-2</v>
      </c>
      <c r="F9" s="13">
        <v>4.7899999999999998E-2</v>
      </c>
      <c r="G9" s="13">
        <v>5.3199999999999997E-2</v>
      </c>
      <c r="H9" s="13">
        <v>4.4200000000000003E-2</v>
      </c>
      <c r="I9" s="13">
        <v>2.3400000000000001E-2</v>
      </c>
      <c r="J9" s="13">
        <v>-3.7000000000000002E-3</v>
      </c>
      <c r="K9" s="13">
        <v>-2.98E-2</v>
      </c>
      <c r="L9" s="13">
        <v>-4.7899999999999998E-2</v>
      </c>
      <c r="M9" s="13">
        <v>-5.3199999999999997E-2</v>
      </c>
      <c r="N9" s="13">
        <v>-4.4200000000000003E-2</v>
      </c>
      <c r="O9" s="13">
        <v>-2.3400000000000001E-2</v>
      </c>
    </row>
    <row r="10" spans="2:15" ht="16" thickBot="1" x14ac:dyDescent="0.4">
      <c r="C10" s="13">
        <v>5</v>
      </c>
      <c r="D10" s="13">
        <v>4.5999999999999999E-3</v>
      </c>
      <c r="E10" s="13">
        <v>3.0599999999999999E-2</v>
      </c>
      <c r="F10" s="13">
        <v>4.8300000000000003E-2</v>
      </c>
      <c r="G10" s="13">
        <v>5.3100000000000001E-2</v>
      </c>
      <c r="H10" s="13">
        <v>4.3700000000000003E-2</v>
      </c>
      <c r="I10" s="13">
        <v>2.2499999999999999E-2</v>
      </c>
      <c r="J10" s="13">
        <v>-4.5999999999999999E-3</v>
      </c>
      <c r="K10" s="13">
        <v>-3.0599999999999999E-2</v>
      </c>
      <c r="L10" s="13">
        <v>-4.8300000000000003E-2</v>
      </c>
      <c r="M10" s="13">
        <v>-5.3100000000000001E-2</v>
      </c>
      <c r="N10" s="13">
        <v>-4.3700000000000003E-2</v>
      </c>
      <c r="O10" s="13">
        <v>-2.2499999999999999E-2</v>
      </c>
    </row>
    <row r="11" spans="2:15" ht="16" thickBot="1" x14ac:dyDescent="0.4">
      <c r="C11" s="13">
        <v>6</v>
      </c>
      <c r="D11" s="13">
        <v>5.5999999999999999E-3</v>
      </c>
      <c r="E11" s="13">
        <v>3.1300000000000001E-2</v>
      </c>
      <c r="F11" s="13">
        <v>4.87E-2</v>
      </c>
      <c r="G11" s="13" t="s">
        <v>266</v>
      </c>
      <c r="H11" s="13">
        <v>4.3099999999999999E-2</v>
      </c>
      <c r="I11" s="13">
        <v>2.1700000000000001E-2</v>
      </c>
      <c r="J11" s="13">
        <v>-5.5999999999999999E-3</v>
      </c>
      <c r="K11" s="13">
        <v>-3.1300000000000001E-2</v>
      </c>
      <c r="L11" s="13">
        <v>-4.87E-2</v>
      </c>
      <c r="M11" s="13" t="s">
        <v>267</v>
      </c>
      <c r="N11" s="13">
        <v>-4.3099999999999999E-2</v>
      </c>
      <c r="O11" s="13">
        <v>-2.1700000000000001E-2</v>
      </c>
    </row>
    <row r="12" spans="2:15" ht="16" thickBot="1" x14ac:dyDescent="0.4">
      <c r="C12" s="13">
        <v>7</v>
      </c>
      <c r="D12" s="13">
        <v>6.4999999999999997E-3</v>
      </c>
      <c r="E12" s="13">
        <v>3.2099999999999997E-2</v>
      </c>
      <c r="F12" s="13">
        <v>4.9099999999999998E-2</v>
      </c>
      <c r="G12" s="13">
        <v>5.2900000000000003E-2</v>
      </c>
      <c r="H12" s="13">
        <v>4.2599999999999999E-2</v>
      </c>
      <c r="I12" s="13">
        <v>2.0799999999999999E-2</v>
      </c>
      <c r="J12" s="13">
        <v>-6.4999999999999997E-3</v>
      </c>
      <c r="K12" s="13">
        <v>-3.2099999999999997E-2</v>
      </c>
      <c r="L12" s="13">
        <v>-4.9099999999999998E-2</v>
      </c>
      <c r="M12" s="13">
        <v>-5.2900000000000003E-2</v>
      </c>
      <c r="N12" s="13">
        <v>-4.2599999999999999E-2</v>
      </c>
      <c r="O12" s="13">
        <v>-2.0799999999999999E-2</v>
      </c>
    </row>
    <row r="13" spans="2:15" ht="16" thickBot="1" x14ac:dyDescent="0.4">
      <c r="C13" s="13">
        <v>8</v>
      </c>
      <c r="D13" s="13">
        <v>7.4000000000000003E-3</v>
      </c>
      <c r="E13" s="13">
        <v>3.2800000000000003E-2</v>
      </c>
      <c r="F13" s="13">
        <v>4.9399999999999999E-2</v>
      </c>
      <c r="G13" s="13">
        <v>5.28E-2</v>
      </c>
      <c r="H13" s="13" t="s">
        <v>278</v>
      </c>
      <c r="I13" s="13" t="s">
        <v>279</v>
      </c>
      <c r="J13" s="13">
        <v>-7.4000000000000003E-3</v>
      </c>
      <c r="K13" s="13">
        <v>-3.2800000000000003E-2</v>
      </c>
      <c r="L13" s="13">
        <v>-4.9399999999999999E-2</v>
      </c>
      <c r="M13" s="13">
        <v>-5.28E-2</v>
      </c>
      <c r="N13" s="13" t="s">
        <v>280</v>
      </c>
      <c r="O13" s="13" t="s">
        <v>281</v>
      </c>
    </row>
    <row r="14" spans="2:15" ht="16" thickBot="1" x14ac:dyDescent="0.4">
      <c r="C14" s="13">
        <v>9</v>
      </c>
      <c r="D14" s="13">
        <v>8.3000000000000001E-3</v>
      </c>
      <c r="E14" s="13">
        <v>3.3599999999999998E-2</v>
      </c>
      <c r="F14" s="13">
        <v>4.9799999999999997E-2</v>
      </c>
      <c r="G14" s="13">
        <v>5.2699999999999997E-2</v>
      </c>
      <c r="H14" s="13">
        <v>4.1399999999999999E-2</v>
      </c>
      <c r="I14" s="13">
        <v>1.9099999999999999E-2</v>
      </c>
      <c r="J14" s="13">
        <v>-8.3000000000000001E-3</v>
      </c>
      <c r="K14" s="13">
        <v>-3.3599999999999998E-2</v>
      </c>
      <c r="L14" s="13">
        <v>-4.9799999999999997E-2</v>
      </c>
      <c r="M14" s="13">
        <v>-5.2699999999999997E-2</v>
      </c>
      <c r="N14" s="13">
        <v>-4.1399999999999999E-2</v>
      </c>
      <c r="O14" s="13">
        <v>-1.9099999999999999E-2</v>
      </c>
    </row>
    <row r="15" spans="2:15" ht="16" thickBot="1" x14ac:dyDescent="0.4">
      <c r="C15" s="13">
        <v>10</v>
      </c>
      <c r="D15" s="13">
        <v>9.2999999999999992E-3</v>
      </c>
      <c r="E15" s="13">
        <v>3.4299999999999997E-2</v>
      </c>
      <c r="F15" s="13">
        <v>5.0099999999999999E-2</v>
      </c>
      <c r="G15" s="13">
        <v>5.2499999999999998E-2</v>
      </c>
      <c r="H15" s="13">
        <v>4.0800000000000003E-2</v>
      </c>
      <c r="I15" s="13">
        <v>1.8200000000000001E-2</v>
      </c>
      <c r="J15" s="13">
        <v>-9.2999999999999992E-3</v>
      </c>
      <c r="K15" s="13">
        <v>-3.4299999999999997E-2</v>
      </c>
      <c r="L15" s="13">
        <v>-5.0099999999999999E-2</v>
      </c>
      <c r="M15" s="13">
        <v>-5.2499999999999998E-2</v>
      </c>
      <c r="N15" s="13">
        <v>-4.0800000000000003E-2</v>
      </c>
      <c r="O15" s="13">
        <v>-1.8200000000000001E-2</v>
      </c>
    </row>
    <row r="16" spans="2:15" ht="16" thickBot="1" x14ac:dyDescent="0.4">
      <c r="C16" s="13">
        <v>11</v>
      </c>
      <c r="D16" s="13">
        <v>1.0200000000000001E-2</v>
      </c>
      <c r="E16" s="13" t="s">
        <v>297</v>
      </c>
      <c r="F16" s="13">
        <v>5.04E-2</v>
      </c>
      <c r="G16" s="13">
        <v>5.2299999999999999E-2</v>
      </c>
      <c r="H16" s="13">
        <v>4.02E-2</v>
      </c>
      <c r="I16" s="13">
        <v>1.7399999999999999E-2</v>
      </c>
      <c r="J16" s="13">
        <v>-1.0200000000000001E-2</v>
      </c>
      <c r="K16" s="13" t="s">
        <v>298</v>
      </c>
      <c r="L16" s="13">
        <v>-5.04E-2</v>
      </c>
      <c r="M16" s="13">
        <v>-5.2299999999999999E-2</v>
      </c>
      <c r="N16" s="13">
        <v>-4.02E-2</v>
      </c>
      <c r="O16" s="13">
        <v>-1.7399999999999999E-2</v>
      </c>
    </row>
    <row r="17" spans="3:15" ht="16" thickBot="1" x14ac:dyDescent="0.4">
      <c r="C17" s="13">
        <v>12</v>
      </c>
      <c r="D17" s="13">
        <v>1.11E-2</v>
      </c>
      <c r="E17" s="13">
        <v>3.5700000000000003E-2</v>
      </c>
      <c r="F17" s="13">
        <v>5.0700000000000002E-2</v>
      </c>
      <c r="G17" s="13">
        <v>5.2200000000000003E-2</v>
      </c>
      <c r="H17" s="13">
        <v>3.9600000000000003E-2</v>
      </c>
      <c r="I17" s="13">
        <v>1.6500000000000001E-2</v>
      </c>
      <c r="J17" s="13">
        <v>-1.11E-2</v>
      </c>
      <c r="K17" s="13">
        <v>-3.5700000000000003E-2</v>
      </c>
      <c r="L17" s="13">
        <v>-5.0700000000000002E-2</v>
      </c>
      <c r="M17" s="13">
        <v>-5.2200000000000003E-2</v>
      </c>
      <c r="N17" s="13">
        <v>-3.9600000000000003E-2</v>
      </c>
      <c r="O17" s="13">
        <v>-1.6500000000000001E-2</v>
      </c>
    </row>
    <row r="18" spans="3:15" ht="16" thickBot="1" x14ac:dyDescent="0.4">
      <c r="C18" s="13">
        <v>13</v>
      </c>
      <c r="D18" s="13" t="s">
        <v>76</v>
      </c>
      <c r="E18" s="13">
        <v>3.6400000000000002E-2</v>
      </c>
      <c r="F18" s="13" t="s">
        <v>306</v>
      </c>
      <c r="G18" s="13" t="s">
        <v>307</v>
      </c>
      <c r="H18" s="13" t="s">
        <v>308</v>
      </c>
      <c r="I18" s="13">
        <v>1.5599999999999999E-2</v>
      </c>
      <c r="J18" s="13" t="s">
        <v>66</v>
      </c>
      <c r="K18" s="13">
        <v>-3.6400000000000002E-2</v>
      </c>
      <c r="L18" s="13" t="s">
        <v>309</v>
      </c>
      <c r="M18" s="13" t="s">
        <v>310</v>
      </c>
      <c r="N18" s="13" t="s">
        <v>311</v>
      </c>
      <c r="O18" s="13">
        <v>-1.5599999999999999E-2</v>
      </c>
    </row>
    <row r="19" spans="3:15" ht="16" thickBot="1" x14ac:dyDescent="0.4">
      <c r="C19" s="13">
        <v>14</v>
      </c>
      <c r="D19" s="13">
        <v>1.29E-2</v>
      </c>
      <c r="E19" s="13" t="s">
        <v>286</v>
      </c>
      <c r="F19" s="13">
        <v>5.1299999999999998E-2</v>
      </c>
      <c r="G19" s="13">
        <v>5.1700000000000003E-2</v>
      </c>
      <c r="H19" s="13">
        <v>3.8399999999999997E-2</v>
      </c>
      <c r="I19" s="13">
        <v>1.47E-2</v>
      </c>
      <c r="J19" s="13">
        <v>-1.29E-2</v>
      </c>
      <c r="K19" s="13" t="s">
        <v>287</v>
      </c>
      <c r="L19" s="13">
        <v>-5.1299999999999998E-2</v>
      </c>
      <c r="M19" s="13">
        <v>-5.1700000000000003E-2</v>
      </c>
      <c r="N19" s="13">
        <v>-3.8399999999999997E-2</v>
      </c>
      <c r="O19" s="13">
        <v>-1.47E-2</v>
      </c>
    </row>
    <row r="20" spans="3:15" ht="16" thickBot="1" x14ac:dyDescent="0.4">
      <c r="C20" s="13">
        <v>15</v>
      </c>
      <c r="D20" s="13">
        <v>1.38E-2</v>
      </c>
      <c r="E20" s="13">
        <v>3.7699999999999997E-2</v>
      </c>
      <c r="F20" s="13">
        <v>5.1499999999999997E-2</v>
      </c>
      <c r="G20" s="13">
        <v>5.1499999999999997E-2</v>
      </c>
      <c r="H20" s="13">
        <v>3.7699999999999997E-2</v>
      </c>
      <c r="I20" s="13">
        <v>1.38E-2</v>
      </c>
      <c r="J20" s="13">
        <v>-1.38E-2</v>
      </c>
      <c r="K20" s="13">
        <v>-3.7699999999999997E-2</v>
      </c>
      <c r="L20" s="13">
        <v>-5.1499999999999997E-2</v>
      </c>
      <c r="M20" s="13">
        <v>-5.1499999999999997E-2</v>
      </c>
      <c r="N20" s="13">
        <v>-3.7699999999999997E-2</v>
      </c>
      <c r="O20" s="13">
        <v>-1.38E-2</v>
      </c>
    </row>
    <row r="21" spans="3:15" ht="16" thickBot="1" x14ac:dyDescent="0.4">
      <c r="C21" s="13">
        <v>16</v>
      </c>
      <c r="D21" s="13">
        <v>1.47E-2</v>
      </c>
      <c r="E21" s="13">
        <v>3.8399999999999997E-2</v>
      </c>
      <c r="F21" s="13">
        <v>5.1700000000000003E-2</v>
      </c>
      <c r="G21" s="13">
        <v>5.1299999999999998E-2</v>
      </c>
      <c r="H21" s="13" t="s">
        <v>286</v>
      </c>
      <c r="I21" s="13">
        <v>1.29E-2</v>
      </c>
      <c r="J21" s="13">
        <v>-1.47E-2</v>
      </c>
      <c r="K21" s="13">
        <v>-3.8399999999999997E-2</v>
      </c>
      <c r="L21" s="13">
        <v>-5.1700000000000003E-2</v>
      </c>
      <c r="M21" s="13">
        <v>-5.1299999999999998E-2</v>
      </c>
      <c r="N21" s="13" t="s">
        <v>287</v>
      </c>
      <c r="O21" s="13">
        <v>-1.29E-2</v>
      </c>
    </row>
    <row r="22" spans="3:15" ht="16" thickBot="1" x14ac:dyDescent="0.4">
      <c r="C22" s="13">
        <v>17</v>
      </c>
      <c r="D22" s="13">
        <v>1.5599999999999999E-2</v>
      </c>
      <c r="E22" s="13" t="s">
        <v>308</v>
      </c>
      <c r="F22" s="13" t="s">
        <v>307</v>
      </c>
      <c r="G22" s="13" t="s">
        <v>306</v>
      </c>
      <c r="H22" s="13">
        <v>3.6400000000000002E-2</v>
      </c>
      <c r="I22" s="13" t="s">
        <v>76</v>
      </c>
      <c r="J22" s="13">
        <v>-1.5599999999999999E-2</v>
      </c>
      <c r="K22" s="13" t="s">
        <v>311</v>
      </c>
      <c r="L22" s="13" t="s">
        <v>310</v>
      </c>
      <c r="M22" s="13" t="s">
        <v>309</v>
      </c>
      <c r="N22" s="13">
        <v>-3.6400000000000002E-2</v>
      </c>
      <c r="O22" s="13" t="s">
        <v>66</v>
      </c>
    </row>
    <row r="23" spans="3:15" ht="16" thickBot="1" x14ac:dyDescent="0.4">
      <c r="C23" s="13">
        <v>18</v>
      </c>
      <c r="D23" s="13">
        <v>1.6500000000000001E-2</v>
      </c>
      <c r="E23" s="13">
        <v>3.9600000000000003E-2</v>
      </c>
      <c r="F23" s="13">
        <v>5.2200000000000003E-2</v>
      </c>
      <c r="G23" s="13">
        <v>5.0700000000000002E-2</v>
      </c>
      <c r="H23" s="13">
        <v>3.5700000000000003E-2</v>
      </c>
      <c r="I23" s="13">
        <v>1.11E-2</v>
      </c>
      <c r="J23" s="13">
        <v>-1.6500000000000001E-2</v>
      </c>
      <c r="K23" s="13">
        <v>-3.9600000000000003E-2</v>
      </c>
      <c r="L23" s="13">
        <v>-5.2200000000000003E-2</v>
      </c>
      <c r="M23" s="13">
        <v>-5.0700000000000002E-2</v>
      </c>
      <c r="N23" s="13">
        <v>-3.5700000000000003E-2</v>
      </c>
      <c r="O23" s="13">
        <v>-1.11E-2</v>
      </c>
    </row>
    <row r="24" spans="3:15" ht="16" thickBot="1" x14ac:dyDescent="0.4">
      <c r="C24" s="13">
        <v>19</v>
      </c>
      <c r="D24" s="13">
        <v>1.7399999999999999E-2</v>
      </c>
      <c r="E24" s="13">
        <v>4.02E-2</v>
      </c>
      <c r="F24" s="13">
        <v>5.2299999999999999E-2</v>
      </c>
      <c r="G24" s="13">
        <v>5.04E-2</v>
      </c>
      <c r="H24" s="13" t="s">
        <v>297</v>
      </c>
      <c r="I24" s="13">
        <v>1.0200000000000001E-2</v>
      </c>
      <c r="J24" s="13">
        <v>-1.7399999999999999E-2</v>
      </c>
      <c r="K24" s="13">
        <v>-4.02E-2</v>
      </c>
      <c r="L24" s="13">
        <v>-5.2299999999999999E-2</v>
      </c>
      <c r="M24" s="13">
        <v>-5.04E-2</v>
      </c>
      <c r="N24" s="13" t="s">
        <v>298</v>
      </c>
      <c r="O24" s="13">
        <v>-1.0200000000000001E-2</v>
      </c>
    </row>
    <row r="25" spans="3:15" ht="16" thickBot="1" x14ac:dyDescent="0.4">
      <c r="C25" s="13">
        <v>20</v>
      </c>
      <c r="D25" s="13">
        <v>1.8200000000000001E-2</v>
      </c>
      <c r="E25" s="13">
        <v>4.0800000000000003E-2</v>
      </c>
      <c r="F25" s="13">
        <v>5.2499999999999998E-2</v>
      </c>
      <c r="G25" s="13">
        <v>5.0099999999999999E-2</v>
      </c>
      <c r="H25" s="13">
        <v>3.4299999999999997E-2</v>
      </c>
      <c r="I25" s="13">
        <v>9.2999999999999992E-3</v>
      </c>
      <c r="J25" s="13">
        <v>-1.8200000000000001E-2</v>
      </c>
      <c r="K25" s="13">
        <v>-4.0800000000000003E-2</v>
      </c>
      <c r="L25" s="13">
        <v>-5.2499999999999998E-2</v>
      </c>
      <c r="M25" s="13">
        <v>-5.0099999999999999E-2</v>
      </c>
      <c r="N25" s="13">
        <v>-3.4299999999999997E-2</v>
      </c>
      <c r="O25" s="13">
        <v>-9.2999999999999992E-3</v>
      </c>
    </row>
    <row r="26" spans="3:15" ht="16" thickBot="1" x14ac:dyDescent="0.4">
      <c r="C26" s="13">
        <v>21</v>
      </c>
      <c r="D26" s="13">
        <v>1.9099999999999999E-2</v>
      </c>
      <c r="E26" s="13">
        <v>4.1399999999999999E-2</v>
      </c>
      <c r="F26" s="13">
        <v>5.2699999999999997E-2</v>
      </c>
      <c r="G26" s="13">
        <v>4.9799999999999997E-2</v>
      </c>
      <c r="H26" s="13">
        <v>3.3599999999999998E-2</v>
      </c>
      <c r="I26" s="13">
        <v>8.3000000000000001E-3</v>
      </c>
      <c r="J26" s="13">
        <v>-1.9099999999999999E-2</v>
      </c>
      <c r="K26" s="13">
        <v>-4.1399999999999999E-2</v>
      </c>
      <c r="L26" s="13">
        <v>-5.2699999999999997E-2</v>
      </c>
      <c r="M26" s="13">
        <v>-4.9799999999999997E-2</v>
      </c>
      <c r="N26" s="13">
        <v>-3.3599999999999998E-2</v>
      </c>
      <c r="O26" s="13">
        <v>-8.3000000000000001E-3</v>
      </c>
    </row>
    <row r="27" spans="3:15" ht="16" thickBot="1" x14ac:dyDescent="0.4">
      <c r="C27" s="13">
        <v>22</v>
      </c>
      <c r="D27" s="13" t="s">
        <v>279</v>
      </c>
      <c r="E27" s="13" t="s">
        <v>278</v>
      </c>
      <c r="F27" s="13">
        <v>5.28E-2</v>
      </c>
      <c r="G27" s="13">
        <v>4.9399999999999999E-2</v>
      </c>
      <c r="H27" s="13">
        <v>3.2800000000000003E-2</v>
      </c>
      <c r="I27" s="13">
        <v>7.4000000000000003E-3</v>
      </c>
      <c r="J27" s="13" t="s">
        <v>281</v>
      </c>
      <c r="K27" s="13" t="s">
        <v>280</v>
      </c>
      <c r="L27" s="13">
        <v>-5.28E-2</v>
      </c>
      <c r="M27" s="13">
        <v>-4.9399999999999999E-2</v>
      </c>
      <c r="N27" s="13">
        <v>-3.2800000000000003E-2</v>
      </c>
      <c r="O27" s="13">
        <v>-7.4000000000000003E-3</v>
      </c>
    </row>
    <row r="28" spans="3:15" ht="16" thickBot="1" x14ac:dyDescent="0.4">
      <c r="C28" s="13">
        <v>23</v>
      </c>
      <c r="D28" s="13">
        <v>2.0799999999999999E-2</v>
      </c>
      <c r="E28" s="13">
        <v>4.2599999999999999E-2</v>
      </c>
      <c r="F28" s="13">
        <v>5.2900000000000003E-2</v>
      </c>
      <c r="G28" s="13">
        <v>4.9099999999999998E-2</v>
      </c>
      <c r="H28" s="13">
        <v>3.2099999999999997E-2</v>
      </c>
      <c r="I28" s="13">
        <v>6.4999999999999997E-3</v>
      </c>
      <c r="J28" s="13">
        <v>-2.0799999999999999E-2</v>
      </c>
      <c r="K28" s="13">
        <v>-4.2599999999999999E-2</v>
      </c>
      <c r="L28" s="13">
        <v>-5.2900000000000003E-2</v>
      </c>
      <c r="M28" s="13">
        <v>-4.9099999999999998E-2</v>
      </c>
      <c r="N28" s="13">
        <v>-3.2099999999999997E-2</v>
      </c>
      <c r="O28" s="13">
        <v>-6.4999999999999997E-3</v>
      </c>
    </row>
    <row r="29" spans="3:15" ht="16" thickBot="1" x14ac:dyDescent="0.4">
      <c r="C29" s="13">
        <v>24</v>
      </c>
      <c r="D29" s="13">
        <v>2.1700000000000001E-2</v>
      </c>
      <c r="E29" s="13">
        <v>4.3099999999999999E-2</v>
      </c>
      <c r="F29" s="13" t="s">
        <v>266</v>
      </c>
      <c r="G29" s="13">
        <v>4.87E-2</v>
      </c>
      <c r="H29" s="13">
        <v>3.1300000000000001E-2</v>
      </c>
      <c r="I29" s="13">
        <v>5.5999999999999999E-3</v>
      </c>
      <c r="J29" s="13">
        <v>-2.1700000000000001E-2</v>
      </c>
      <c r="K29" s="13">
        <v>-4.3099999999999999E-2</v>
      </c>
      <c r="L29" s="13" t="s">
        <v>267</v>
      </c>
      <c r="M29" s="13">
        <v>-4.87E-2</v>
      </c>
      <c r="N29" s="13">
        <v>-3.1300000000000001E-2</v>
      </c>
      <c r="O29" s="13">
        <v>-5.5999999999999999E-3</v>
      </c>
    </row>
    <row r="30" spans="3:15" ht="16" thickBot="1" x14ac:dyDescent="0.4">
      <c r="C30" s="13">
        <v>25</v>
      </c>
      <c r="D30" s="13">
        <v>2.2499999999999999E-2</v>
      </c>
      <c r="E30" s="13">
        <v>4.3700000000000003E-2</v>
      </c>
      <c r="F30" s="13">
        <v>5.3100000000000001E-2</v>
      </c>
      <c r="G30" s="13">
        <v>4.8300000000000003E-2</v>
      </c>
      <c r="H30" s="13">
        <v>3.0599999999999999E-2</v>
      </c>
      <c r="I30" s="13">
        <v>4.5999999999999999E-3</v>
      </c>
      <c r="J30" s="13">
        <v>-2.2499999999999999E-2</v>
      </c>
      <c r="K30" s="13">
        <v>-4.3700000000000003E-2</v>
      </c>
      <c r="L30" s="13">
        <v>-5.3100000000000001E-2</v>
      </c>
      <c r="M30" s="13">
        <v>-4.8300000000000003E-2</v>
      </c>
      <c r="N30" s="13">
        <v>-3.0599999999999999E-2</v>
      </c>
      <c r="O30" s="13">
        <v>-4.5999999999999999E-3</v>
      </c>
    </row>
    <row r="31" spans="3:15" ht="16" thickBot="1" x14ac:dyDescent="0.4">
      <c r="C31" s="13">
        <v>26</v>
      </c>
      <c r="D31" s="13">
        <v>2.3400000000000001E-2</v>
      </c>
      <c r="E31" s="13">
        <v>4.4200000000000003E-2</v>
      </c>
      <c r="F31" s="13">
        <v>5.3199999999999997E-2</v>
      </c>
      <c r="G31" s="13">
        <v>4.7899999999999998E-2</v>
      </c>
      <c r="H31" s="13">
        <v>2.98E-2</v>
      </c>
      <c r="I31" s="13">
        <v>3.7000000000000002E-3</v>
      </c>
      <c r="J31" s="13">
        <v>-2.3400000000000001E-2</v>
      </c>
      <c r="K31" s="13">
        <v>-4.4200000000000003E-2</v>
      </c>
      <c r="L31" s="13">
        <v>-5.3199999999999997E-2</v>
      </c>
      <c r="M31" s="13">
        <v>-4.7899999999999998E-2</v>
      </c>
      <c r="N31" s="13">
        <v>-2.98E-2</v>
      </c>
      <c r="O31" s="13">
        <v>-3.7000000000000002E-3</v>
      </c>
    </row>
    <row r="32" spans="3:15" ht="16" thickBot="1" x14ac:dyDescent="0.4">
      <c r="C32" s="13">
        <v>27</v>
      </c>
      <c r="D32" s="13">
        <v>2.4199999999999999E-2</v>
      </c>
      <c r="E32" s="13">
        <v>4.4699999999999997E-2</v>
      </c>
      <c r="F32" s="13">
        <v>5.3199999999999997E-2</v>
      </c>
      <c r="G32" s="13">
        <v>4.7500000000000001E-2</v>
      </c>
      <c r="H32" s="13" t="s">
        <v>260</v>
      </c>
      <c r="I32" s="13">
        <v>2.8E-3</v>
      </c>
      <c r="J32" s="13">
        <v>-2.4199999999999999E-2</v>
      </c>
      <c r="K32" s="13">
        <v>-4.4699999999999997E-2</v>
      </c>
      <c r="L32" s="13">
        <v>-5.3199999999999997E-2</v>
      </c>
      <c r="M32" s="13">
        <v>-4.7500000000000001E-2</v>
      </c>
      <c r="N32" s="13" t="s">
        <v>261</v>
      </c>
      <c r="O32" s="13">
        <v>-2.8E-3</v>
      </c>
    </row>
    <row r="33" spans="3:15" ht="16" thickBot="1" x14ac:dyDescent="0.4">
      <c r="C33" s="13">
        <v>28</v>
      </c>
      <c r="D33" s="13" t="s">
        <v>253</v>
      </c>
      <c r="E33" s="13">
        <v>4.5199999999999997E-2</v>
      </c>
      <c r="F33" s="13">
        <v>5.33E-2</v>
      </c>
      <c r="G33" s="13">
        <v>4.7100000000000003E-2</v>
      </c>
      <c r="H33" s="13">
        <v>2.8299999999999999E-2</v>
      </c>
      <c r="I33" s="13">
        <v>1.9E-3</v>
      </c>
      <c r="J33" s="13" t="s">
        <v>254</v>
      </c>
      <c r="K33" s="13">
        <v>-4.5199999999999997E-2</v>
      </c>
      <c r="L33" s="13">
        <v>-5.33E-2</v>
      </c>
      <c r="M33" s="13">
        <v>-4.7100000000000003E-2</v>
      </c>
      <c r="N33" s="13">
        <v>-2.8299999999999999E-2</v>
      </c>
      <c r="O33" s="13">
        <v>-1.9E-3</v>
      </c>
    </row>
    <row r="34" spans="3:15" ht="16" thickBot="1" x14ac:dyDescent="0.4">
      <c r="C34" s="13">
        <v>29</v>
      </c>
      <c r="D34" s="13">
        <v>2.5899999999999999E-2</v>
      </c>
      <c r="E34" s="13">
        <v>4.5699999999999998E-2</v>
      </c>
      <c r="F34" s="13">
        <v>5.33E-2</v>
      </c>
      <c r="G34" s="13">
        <v>4.6600000000000003E-2</v>
      </c>
      <c r="H34" s="13">
        <v>2.75E-2</v>
      </c>
      <c r="I34" s="13">
        <v>8.9999999999999998E-4</v>
      </c>
      <c r="J34" s="13">
        <v>-2.5899999999999999E-2</v>
      </c>
      <c r="K34" s="13">
        <v>-4.5699999999999998E-2</v>
      </c>
      <c r="L34" s="13">
        <v>-5.33E-2</v>
      </c>
      <c r="M34" s="13">
        <v>-4.6600000000000003E-2</v>
      </c>
      <c r="N34" s="13">
        <v>-2.75E-2</v>
      </c>
      <c r="O34" s="13">
        <v>-8.9999999999999998E-4</v>
      </c>
    </row>
    <row r="35" spans="3:15" ht="16" thickBot="1" x14ac:dyDescent="0.4">
      <c r="C35" s="13">
        <v>30</v>
      </c>
      <c r="D35" s="13">
        <v>2.6700000000000002E-2</v>
      </c>
      <c r="E35" s="13">
        <v>4.6199999999999998E-2</v>
      </c>
      <c r="F35" s="13">
        <v>5.33E-2</v>
      </c>
      <c r="G35" s="13">
        <v>4.6199999999999998E-2</v>
      </c>
      <c r="H35" s="13">
        <v>2.6700000000000002E-2</v>
      </c>
      <c r="I35" s="13" t="s">
        <v>22</v>
      </c>
      <c r="J35" s="13">
        <v>-2.6700000000000002E-2</v>
      </c>
      <c r="K35" s="13">
        <v>-4.6199999999999998E-2</v>
      </c>
      <c r="L35" s="13">
        <v>-5.33E-2</v>
      </c>
      <c r="M35" s="13">
        <v>-4.6199999999999998E-2</v>
      </c>
      <c r="N35" s="13">
        <v>-2.6700000000000002E-2</v>
      </c>
      <c r="O35" s="13" t="s">
        <v>22</v>
      </c>
    </row>
  </sheetData>
  <mergeCells count="1">
    <mergeCell ref="C3:O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3575-BFE3-4CCB-941F-BBF2E0A80407}">
  <dimension ref="B2:O35"/>
  <sheetViews>
    <sheetView workbookViewId="0">
      <selection activeCell="B3" sqref="B3:O36"/>
    </sheetView>
  </sheetViews>
  <sheetFormatPr defaultRowHeight="14.5" x14ac:dyDescent="0.35"/>
  <sheetData>
    <row r="2" spans="2:15" ht="15" thickBot="1" x14ac:dyDescent="0.4"/>
    <row r="3" spans="2:15" ht="15.5" thickBot="1" x14ac:dyDescent="0.4">
      <c r="B3" s="40"/>
      <c r="C3" s="66" t="s">
        <v>520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8"/>
    </row>
    <row r="4" spans="2:15" ht="15.5" thickBot="1" x14ac:dyDescent="0.4">
      <c r="B4" s="40"/>
      <c r="C4" s="41" t="s">
        <v>15</v>
      </c>
      <c r="D4" s="41" t="s">
        <v>16</v>
      </c>
      <c r="E4" s="41" t="s">
        <v>17</v>
      </c>
      <c r="F4" s="41" t="s">
        <v>18</v>
      </c>
      <c r="G4" s="41" t="s">
        <v>19</v>
      </c>
      <c r="H4" s="41" t="s">
        <v>20</v>
      </c>
      <c r="I4" s="41" t="s">
        <v>21</v>
      </c>
      <c r="J4" s="14">
        <v>180</v>
      </c>
      <c r="K4" s="14">
        <v>210</v>
      </c>
      <c r="L4" s="14">
        <v>240</v>
      </c>
      <c r="M4" s="14">
        <v>270</v>
      </c>
      <c r="N4" s="14">
        <v>300</v>
      </c>
      <c r="O4" s="14">
        <v>330</v>
      </c>
    </row>
    <row r="5" spans="2:15" ht="16" thickBot="1" x14ac:dyDescent="0.4">
      <c r="B5" s="42"/>
      <c r="C5" s="43" t="s">
        <v>16</v>
      </c>
      <c r="D5" s="43" t="s">
        <v>22</v>
      </c>
      <c r="E5" s="43">
        <v>2.5640999999999998</v>
      </c>
      <c r="F5" s="43">
        <v>4.4440999999999997</v>
      </c>
      <c r="G5" s="43">
        <v>5.1281999999999996</v>
      </c>
      <c r="H5" s="43">
        <v>4.4440999999999997</v>
      </c>
      <c r="I5" s="43">
        <v>2.5640999999999998</v>
      </c>
      <c r="J5" s="13" t="s">
        <v>22</v>
      </c>
      <c r="K5" s="13">
        <v>-2.5640999999999998</v>
      </c>
      <c r="L5" s="13">
        <v>-4.4440999999999997</v>
      </c>
      <c r="M5" s="13">
        <v>-5.1281999999999996</v>
      </c>
      <c r="N5" s="13">
        <v>-4.4440999999999997</v>
      </c>
      <c r="O5" s="13">
        <v>-2.5640999999999998</v>
      </c>
    </row>
    <row r="6" spans="2:15" ht="16" thickBot="1" x14ac:dyDescent="0.4">
      <c r="B6" s="42"/>
      <c r="C6" s="43" t="s">
        <v>42</v>
      </c>
      <c r="D6" s="43">
        <v>8.9499999999999996E-2</v>
      </c>
      <c r="E6" s="43">
        <v>2.6412</v>
      </c>
      <c r="F6" s="43">
        <v>4.4851999999999999</v>
      </c>
      <c r="G6" s="43">
        <v>5.1273999999999997</v>
      </c>
      <c r="H6" s="43">
        <v>4.3956999999999997</v>
      </c>
      <c r="I6" s="43">
        <v>2.4862000000000002</v>
      </c>
      <c r="J6" s="13">
        <v>-8.9499999999999996E-2</v>
      </c>
      <c r="K6" s="13">
        <v>-2.6412</v>
      </c>
      <c r="L6" s="13">
        <v>-4.4851999999999999</v>
      </c>
      <c r="M6" s="13">
        <v>-5.1273999999999997</v>
      </c>
      <c r="N6" s="13">
        <v>-4.3956999999999997</v>
      </c>
      <c r="O6" s="13">
        <v>-2.4862000000000002</v>
      </c>
    </row>
    <row r="7" spans="2:15" ht="16" thickBot="1" x14ac:dyDescent="0.4">
      <c r="B7" s="42"/>
      <c r="C7" s="43" t="s">
        <v>43</v>
      </c>
      <c r="D7" s="43" t="s">
        <v>521</v>
      </c>
      <c r="E7" s="43">
        <v>2.7174999999999998</v>
      </c>
      <c r="F7" s="43">
        <v>4.5278999999999998</v>
      </c>
      <c r="G7" s="43">
        <v>5.1250999999999998</v>
      </c>
      <c r="H7" s="43" t="s">
        <v>522</v>
      </c>
      <c r="I7" s="43">
        <v>2.4075000000000002</v>
      </c>
      <c r="J7" s="13" t="s">
        <v>523</v>
      </c>
      <c r="K7" s="13">
        <v>-2.7174999999999998</v>
      </c>
      <c r="L7" s="13">
        <v>-4.5278999999999998</v>
      </c>
      <c r="M7" s="13">
        <v>-5.1250999999999998</v>
      </c>
      <c r="N7" s="13" t="s">
        <v>524</v>
      </c>
      <c r="O7" s="13">
        <v>-2.4075000000000002</v>
      </c>
    </row>
    <row r="8" spans="2:15" ht="16" thickBot="1" x14ac:dyDescent="0.4">
      <c r="B8" s="42"/>
      <c r="C8" s="43" t="s">
        <v>44</v>
      </c>
      <c r="D8" s="43">
        <v>0.26840000000000003</v>
      </c>
      <c r="E8" s="43" t="s">
        <v>525</v>
      </c>
      <c r="F8" s="43">
        <v>4.5692000000000004</v>
      </c>
      <c r="G8" s="43">
        <v>5.1212</v>
      </c>
      <c r="H8" s="43">
        <v>4.3009000000000004</v>
      </c>
      <c r="I8" s="43">
        <v>2.3281000000000001</v>
      </c>
      <c r="J8" s="13">
        <v>-0.26840000000000003</v>
      </c>
      <c r="K8" s="13" t="s">
        <v>526</v>
      </c>
      <c r="L8" s="13">
        <v>-4.5692000000000004</v>
      </c>
      <c r="M8" s="13">
        <v>-5.1212</v>
      </c>
      <c r="N8" s="13">
        <v>-4.3009000000000004</v>
      </c>
      <c r="O8" s="13">
        <v>-2.3281000000000001</v>
      </c>
    </row>
    <row r="9" spans="2:15" ht="16" thickBot="1" x14ac:dyDescent="0.4">
      <c r="B9" s="42"/>
      <c r="C9" s="43" t="s">
        <v>45</v>
      </c>
      <c r="D9" s="43">
        <v>0.35770000000000002</v>
      </c>
      <c r="E9" s="43">
        <v>2.8675999999999999</v>
      </c>
      <c r="F9" s="43">
        <v>4.6092000000000004</v>
      </c>
      <c r="G9" s="43">
        <v>5.1157000000000004</v>
      </c>
      <c r="H9" s="43">
        <v>4.2515000000000001</v>
      </c>
      <c r="I9" s="43">
        <v>2.2481</v>
      </c>
      <c r="J9" s="13">
        <v>-0.35770000000000002</v>
      </c>
      <c r="K9" s="13">
        <v>-2.8675999999999999</v>
      </c>
      <c r="L9" s="13">
        <v>-4.6092000000000004</v>
      </c>
      <c r="M9" s="13">
        <v>-5.1157000000000004</v>
      </c>
      <c r="N9" s="13">
        <v>-4.2515000000000001</v>
      </c>
      <c r="O9" s="13">
        <v>-2.2481</v>
      </c>
    </row>
    <row r="10" spans="2:15" ht="16" thickBot="1" x14ac:dyDescent="0.4">
      <c r="B10" s="42"/>
      <c r="C10" s="43" t="s">
        <v>47</v>
      </c>
      <c r="D10" s="43" t="s">
        <v>527</v>
      </c>
      <c r="E10" s="43">
        <v>2.9413999999999998</v>
      </c>
      <c r="F10" s="43">
        <v>4.6477000000000004</v>
      </c>
      <c r="G10" s="43">
        <v>5.1086999999999998</v>
      </c>
      <c r="H10" s="43">
        <v>4.2008000000000001</v>
      </c>
      <c r="I10" s="43">
        <v>2.1673</v>
      </c>
      <c r="J10" s="13" t="s">
        <v>528</v>
      </c>
      <c r="K10" s="13">
        <v>-2.9413999999999998</v>
      </c>
      <c r="L10" s="13">
        <v>-4.6477000000000004</v>
      </c>
      <c r="M10" s="13">
        <v>-5.1086999999999998</v>
      </c>
      <c r="N10" s="13">
        <v>-4.2008000000000001</v>
      </c>
      <c r="O10" s="13">
        <v>-2.1673</v>
      </c>
    </row>
    <row r="11" spans="2:15" ht="16" thickBot="1" x14ac:dyDescent="0.4">
      <c r="B11" s="42"/>
      <c r="C11" s="43" t="s">
        <v>50</v>
      </c>
      <c r="D11" s="43" t="s">
        <v>529</v>
      </c>
      <c r="E11" s="43">
        <v>3.0143</v>
      </c>
      <c r="F11" s="43">
        <v>4.6848000000000001</v>
      </c>
      <c r="G11" s="43">
        <v>5.1001000000000003</v>
      </c>
      <c r="H11" s="43">
        <v>4.1487999999999996</v>
      </c>
      <c r="I11" s="43">
        <v>2.0857999999999999</v>
      </c>
      <c r="J11" s="13" t="s">
        <v>530</v>
      </c>
      <c r="K11" s="13">
        <v>-3.0143</v>
      </c>
      <c r="L11" s="13">
        <v>-4.6848000000000001</v>
      </c>
      <c r="M11" s="13">
        <v>-5.1001000000000003</v>
      </c>
      <c r="N11" s="13">
        <v>-4.1487999999999996</v>
      </c>
      <c r="O11" s="13">
        <v>-2.0857999999999999</v>
      </c>
    </row>
    <row r="12" spans="2:15" ht="16" thickBot="1" x14ac:dyDescent="0.4">
      <c r="B12" s="42"/>
      <c r="C12" s="43" t="s">
        <v>53</v>
      </c>
      <c r="D12" s="43" t="s">
        <v>531</v>
      </c>
      <c r="E12" s="43">
        <v>3.0861999999999998</v>
      </c>
      <c r="F12" s="43">
        <v>4.7205000000000004</v>
      </c>
      <c r="G12" s="43" t="s">
        <v>532</v>
      </c>
      <c r="H12" s="43">
        <v>4.0956000000000001</v>
      </c>
      <c r="I12" s="43">
        <v>2.0036999999999998</v>
      </c>
      <c r="J12" s="13" t="s">
        <v>533</v>
      </c>
      <c r="K12" s="13">
        <v>-3.0861999999999998</v>
      </c>
      <c r="L12" s="13">
        <v>-4.7205000000000004</v>
      </c>
      <c r="M12" s="13" t="s">
        <v>534</v>
      </c>
      <c r="N12" s="13">
        <v>-4.0956000000000001</v>
      </c>
      <c r="O12" s="13">
        <v>-2.0036999999999998</v>
      </c>
    </row>
    <row r="13" spans="2:15" ht="16" thickBot="1" x14ac:dyDescent="0.4">
      <c r="B13" s="42"/>
      <c r="C13" s="43" t="s">
        <v>56</v>
      </c>
      <c r="D13" s="43">
        <v>0.7137</v>
      </c>
      <c r="E13" s="43">
        <v>3.1572</v>
      </c>
      <c r="F13" s="43">
        <v>4.7548000000000004</v>
      </c>
      <c r="G13" s="43">
        <v>5.0782999999999996</v>
      </c>
      <c r="H13" s="43">
        <v>4.0411000000000001</v>
      </c>
      <c r="I13" s="43">
        <v>1.9211</v>
      </c>
      <c r="J13" s="13">
        <v>-0.7137</v>
      </c>
      <c r="K13" s="13">
        <v>-3.1572</v>
      </c>
      <c r="L13" s="13">
        <v>-4.7548000000000004</v>
      </c>
      <c r="M13" s="13">
        <v>-5.0782999999999996</v>
      </c>
      <c r="N13" s="13">
        <v>-4.0411000000000001</v>
      </c>
      <c r="O13" s="13">
        <v>-1.9211</v>
      </c>
    </row>
    <row r="14" spans="2:15" ht="16" thickBot="1" x14ac:dyDescent="0.4">
      <c r="B14" s="42"/>
      <c r="C14" s="43" t="s">
        <v>59</v>
      </c>
      <c r="D14" s="43">
        <v>0.80220000000000002</v>
      </c>
      <c r="E14" s="43">
        <v>3.2273000000000001</v>
      </c>
      <c r="F14" s="43">
        <v>4.7876000000000003</v>
      </c>
      <c r="G14" s="43">
        <v>5.0651000000000002</v>
      </c>
      <c r="H14" s="43">
        <v>3.9853999999999998</v>
      </c>
      <c r="I14" s="43">
        <v>1.8378000000000001</v>
      </c>
      <c r="J14" s="13">
        <v>-0.80220000000000002</v>
      </c>
      <c r="K14" s="13">
        <v>-3.2273000000000001</v>
      </c>
      <c r="L14" s="13">
        <v>-4.7876000000000003</v>
      </c>
      <c r="M14" s="13">
        <v>-5.0651000000000002</v>
      </c>
      <c r="N14" s="13">
        <v>-3.9853999999999998</v>
      </c>
      <c r="O14" s="13">
        <v>-1.8378000000000001</v>
      </c>
    </row>
    <row r="15" spans="2:15" ht="16" thickBot="1" x14ac:dyDescent="0.4">
      <c r="B15" s="42"/>
      <c r="C15" s="43" t="s">
        <v>62</v>
      </c>
      <c r="D15" s="43">
        <v>0.89049999999999996</v>
      </c>
      <c r="E15" s="43">
        <v>3.2963</v>
      </c>
      <c r="F15" s="43">
        <v>4.8189000000000002</v>
      </c>
      <c r="G15" s="43">
        <v>5.0503</v>
      </c>
      <c r="H15" s="43">
        <v>3.9283999999999999</v>
      </c>
      <c r="I15" s="43">
        <v>1.7539</v>
      </c>
      <c r="J15" s="13">
        <v>-0.89049999999999996</v>
      </c>
      <c r="K15" s="13">
        <v>-3.2963</v>
      </c>
      <c r="L15" s="13">
        <v>-4.8189000000000002</v>
      </c>
      <c r="M15" s="13">
        <v>-5.0503</v>
      </c>
      <c r="N15" s="13">
        <v>-3.9283999999999999</v>
      </c>
      <c r="O15" s="13">
        <v>-1.7539</v>
      </c>
    </row>
    <row r="16" spans="2:15" ht="16" thickBot="1" x14ac:dyDescent="0.4">
      <c r="B16" s="42"/>
      <c r="C16" s="43" t="s">
        <v>63</v>
      </c>
      <c r="D16" s="43">
        <v>0.97850000000000004</v>
      </c>
      <c r="E16" s="43">
        <v>3.3643999999999998</v>
      </c>
      <c r="F16" s="43">
        <v>4.8487999999999998</v>
      </c>
      <c r="G16" s="43" t="s">
        <v>535</v>
      </c>
      <c r="H16" s="43">
        <v>3.8702999999999999</v>
      </c>
      <c r="I16" s="43">
        <v>1.6696</v>
      </c>
      <c r="J16" s="13">
        <v>-0.97850000000000004</v>
      </c>
      <c r="K16" s="13">
        <v>-3.3643999999999998</v>
      </c>
      <c r="L16" s="13">
        <v>-4.8487999999999998</v>
      </c>
      <c r="M16" s="13" t="s">
        <v>536</v>
      </c>
      <c r="N16" s="13">
        <v>-3.8702999999999999</v>
      </c>
      <c r="O16" s="13">
        <v>-1.6696</v>
      </c>
    </row>
    <row r="17" spans="2:15" ht="16" thickBot="1" x14ac:dyDescent="0.4">
      <c r="B17" s="42"/>
      <c r="C17" s="43" t="s">
        <v>64</v>
      </c>
      <c r="D17" s="43">
        <v>1.0662</v>
      </c>
      <c r="E17" s="43">
        <v>3.4314</v>
      </c>
      <c r="F17" s="43">
        <v>4.8772000000000002</v>
      </c>
      <c r="G17" s="43">
        <v>5.0160999999999998</v>
      </c>
      <c r="H17" s="43" t="s">
        <v>537</v>
      </c>
      <c r="I17" s="43">
        <v>1.5847</v>
      </c>
      <c r="J17" s="13">
        <v>-1.0662</v>
      </c>
      <c r="K17" s="13">
        <v>-3.4314</v>
      </c>
      <c r="L17" s="13">
        <v>-4.8772000000000002</v>
      </c>
      <c r="M17" s="13">
        <v>-5.0160999999999998</v>
      </c>
      <c r="N17" s="13" t="s">
        <v>538</v>
      </c>
      <c r="O17" s="13">
        <v>-1.5847</v>
      </c>
    </row>
    <row r="18" spans="2:15" ht="16" thickBot="1" x14ac:dyDescent="0.4">
      <c r="B18" s="42"/>
      <c r="C18" s="43" t="s">
        <v>68</v>
      </c>
      <c r="D18" s="43">
        <v>1.1536</v>
      </c>
      <c r="E18" s="43">
        <v>3.4973999999999998</v>
      </c>
      <c r="F18" s="43">
        <v>4.9040999999999997</v>
      </c>
      <c r="G18" s="43">
        <v>4.9968000000000004</v>
      </c>
      <c r="H18" s="43">
        <v>3.7505000000000002</v>
      </c>
      <c r="I18" s="43">
        <v>1.4993000000000001</v>
      </c>
      <c r="J18" s="13">
        <v>-1.1536</v>
      </c>
      <c r="K18" s="13">
        <v>-3.4973999999999998</v>
      </c>
      <c r="L18" s="13">
        <v>-4.9040999999999997</v>
      </c>
      <c r="M18" s="13">
        <v>-4.9968000000000004</v>
      </c>
      <c r="N18" s="13">
        <v>-3.7505000000000002</v>
      </c>
      <c r="O18" s="13">
        <v>-1.4993000000000001</v>
      </c>
    </row>
    <row r="19" spans="2:15" ht="16" thickBot="1" x14ac:dyDescent="0.4">
      <c r="B19" s="42"/>
      <c r="C19" s="43" t="s">
        <v>71</v>
      </c>
      <c r="D19" s="43">
        <v>1.2405999999999999</v>
      </c>
      <c r="E19" s="43">
        <v>3.5623</v>
      </c>
      <c r="F19" s="43">
        <v>4.9295</v>
      </c>
      <c r="G19" s="43">
        <v>4.9759000000000002</v>
      </c>
      <c r="H19" s="43">
        <v>3.6888999999999998</v>
      </c>
      <c r="I19" s="43">
        <v>1.4135</v>
      </c>
      <c r="J19" s="13">
        <v>-1.2405999999999999</v>
      </c>
      <c r="K19" s="13">
        <v>-3.5623</v>
      </c>
      <c r="L19" s="13">
        <v>-4.9295</v>
      </c>
      <c r="M19" s="13">
        <v>-4.9759000000000002</v>
      </c>
      <c r="N19" s="13">
        <v>-3.6888999999999998</v>
      </c>
      <c r="O19" s="13">
        <v>-1.4135</v>
      </c>
    </row>
    <row r="20" spans="2:15" ht="16" thickBot="1" x14ac:dyDescent="0.4">
      <c r="B20" s="42"/>
      <c r="C20" s="43" t="s">
        <v>72</v>
      </c>
      <c r="D20" s="43">
        <v>1.3272999999999999</v>
      </c>
      <c r="E20" s="43">
        <v>3.6261999999999999</v>
      </c>
      <c r="F20" s="43">
        <v>4.9535</v>
      </c>
      <c r="G20" s="43">
        <v>4.9535</v>
      </c>
      <c r="H20" s="43">
        <v>3.6261999999999999</v>
      </c>
      <c r="I20" s="43">
        <v>1.3272999999999999</v>
      </c>
      <c r="J20" s="13">
        <v>-1.3272999999999999</v>
      </c>
      <c r="K20" s="13">
        <v>-3.6261999999999999</v>
      </c>
      <c r="L20" s="13">
        <v>-4.9535</v>
      </c>
      <c r="M20" s="13">
        <v>-4.9535</v>
      </c>
      <c r="N20" s="13">
        <v>-3.6261999999999999</v>
      </c>
      <c r="O20" s="13">
        <v>-1.3272999999999999</v>
      </c>
    </row>
    <row r="21" spans="2:15" ht="16" thickBot="1" x14ac:dyDescent="0.4">
      <c r="B21" s="42"/>
      <c r="C21" s="43" t="s">
        <v>73</v>
      </c>
      <c r="D21" s="43">
        <v>1.4135</v>
      </c>
      <c r="E21" s="43">
        <v>3.6888999999999998</v>
      </c>
      <c r="F21" s="43">
        <v>4.9759000000000002</v>
      </c>
      <c r="G21" s="43">
        <v>4.9295</v>
      </c>
      <c r="H21" s="43">
        <v>3.5623</v>
      </c>
      <c r="I21" s="43">
        <v>1.2405999999999999</v>
      </c>
      <c r="J21" s="13">
        <v>-1.4135</v>
      </c>
      <c r="K21" s="13">
        <v>-3.6888999999999998</v>
      </c>
      <c r="L21" s="13">
        <v>-4.9759000000000002</v>
      </c>
      <c r="M21" s="13">
        <v>-4.9295</v>
      </c>
      <c r="N21" s="13">
        <v>-3.5623</v>
      </c>
      <c r="O21" s="13">
        <v>-1.2405999999999999</v>
      </c>
    </row>
    <row r="22" spans="2:15" ht="16" thickBot="1" x14ac:dyDescent="0.4">
      <c r="B22" s="42"/>
      <c r="C22" s="43" t="s">
        <v>74</v>
      </c>
      <c r="D22" s="43">
        <v>1.4993000000000001</v>
      </c>
      <c r="E22" s="43">
        <v>3.7505000000000002</v>
      </c>
      <c r="F22" s="43">
        <v>4.9968000000000004</v>
      </c>
      <c r="G22" s="43">
        <v>4.9040999999999997</v>
      </c>
      <c r="H22" s="43">
        <v>3.4973999999999998</v>
      </c>
      <c r="I22" s="43">
        <v>1.1536</v>
      </c>
      <c r="J22" s="13">
        <v>-1.4993000000000001</v>
      </c>
      <c r="K22" s="13">
        <v>-3.7505000000000002</v>
      </c>
      <c r="L22" s="13">
        <v>-4.9968000000000004</v>
      </c>
      <c r="M22" s="13">
        <v>-4.9040999999999997</v>
      </c>
      <c r="N22" s="13">
        <v>-3.4973999999999998</v>
      </c>
      <c r="O22" s="13">
        <v>-1.1536</v>
      </c>
    </row>
    <row r="23" spans="2:15" ht="16" thickBot="1" x14ac:dyDescent="0.4">
      <c r="B23" s="42"/>
      <c r="C23" s="43" t="s">
        <v>75</v>
      </c>
      <c r="D23" s="43">
        <v>1.5847</v>
      </c>
      <c r="E23" s="43" t="s">
        <v>537</v>
      </c>
      <c r="F23" s="43">
        <v>5.0160999999999998</v>
      </c>
      <c r="G23" s="43">
        <v>4.8772000000000002</v>
      </c>
      <c r="H23" s="43">
        <v>3.4314</v>
      </c>
      <c r="I23" s="43">
        <v>1.0662</v>
      </c>
      <c r="J23" s="13">
        <v>-1.5847</v>
      </c>
      <c r="K23" s="13" t="s">
        <v>538</v>
      </c>
      <c r="L23" s="13">
        <v>-5.0160999999999998</v>
      </c>
      <c r="M23" s="13">
        <v>-4.8772000000000002</v>
      </c>
      <c r="N23" s="13">
        <v>-3.4314</v>
      </c>
      <c r="O23" s="13">
        <v>-1.0662</v>
      </c>
    </row>
    <row r="24" spans="2:15" ht="16" thickBot="1" x14ac:dyDescent="0.4">
      <c r="B24" s="42"/>
      <c r="C24" s="43" t="s">
        <v>77</v>
      </c>
      <c r="D24" s="43">
        <v>1.6696</v>
      </c>
      <c r="E24" s="43">
        <v>3.8702999999999999</v>
      </c>
      <c r="F24" s="43" t="s">
        <v>535</v>
      </c>
      <c r="G24" s="43">
        <v>4.8487999999999998</v>
      </c>
      <c r="H24" s="43">
        <v>3.3643999999999998</v>
      </c>
      <c r="I24" s="43">
        <v>0.97850000000000004</v>
      </c>
      <c r="J24" s="13">
        <v>-1.6696</v>
      </c>
      <c r="K24" s="13">
        <v>-3.8702999999999999</v>
      </c>
      <c r="L24" s="13" t="s">
        <v>536</v>
      </c>
      <c r="M24" s="13">
        <v>-4.8487999999999998</v>
      </c>
      <c r="N24" s="13">
        <v>-3.3643999999999998</v>
      </c>
      <c r="O24" s="13">
        <v>-0.97850000000000004</v>
      </c>
    </row>
    <row r="25" spans="2:15" ht="16" thickBot="1" x14ac:dyDescent="0.4">
      <c r="B25" s="42"/>
      <c r="C25" s="43" t="s">
        <v>78</v>
      </c>
      <c r="D25" s="43">
        <v>1.7539</v>
      </c>
      <c r="E25" s="43">
        <v>3.9283999999999999</v>
      </c>
      <c r="F25" s="43">
        <v>5.0503</v>
      </c>
      <c r="G25" s="43">
        <v>4.8189000000000002</v>
      </c>
      <c r="H25" s="43">
        <v>3.2963</v>
      </c>
      <c r="I25" s="43">
        <v>0.89049999999999996</v>
      </c>
      <c r="J25" s="13">
        <v>-1.7539</v>
      </c>
      <c r="K25" s="13">
        <v>-3.9283999999999999</v>
      </c>
      <c r="L25" s="13">
        <v>-5.0503</v>
      </c>
      <c r="M25" s="13">
        <v>-4.8189000000000002</v>
      </c>
      <c r="N25" s="13">
        <v>-3.2963</v>
      </c>
      <c r="O25" s="13">
        <v>-0.89049999999999996</v>
      </c>
    </row>
    <row r="26" spans="2:15" ht="16" thickBot="1" x14ac:dyDescent="0.4">
      <c r="B26" s="42"/>
      <c r="C26" s="43" t="s">
        <v>79</v>
      </c>
      <c r="D26" s="43">
        <v>1.8378000000000001</v>
      </c>
      <c r="E26" s="43">
        <v>3.9853999999999998</v>
      </c>
      <c r="F26" s="43">
        <v>5.0651000000000002</v>
      </c>
      <c r="G26" s="43">
        <v>4.7876000000000003</v>
      </c>
      <c r="H26" s="43">
        <v>3.2273000000000001</v>
      </c>
      <c r="I26" s="43">
        <v>0.80220000000000002</v>
      </c>
      <c r="J26" s="13">
        <v>-1.8378000000000001</v>
      </c>
      <c r="K26" s="13">
        <v>-3.9853999999999998</v>
      </c>
      <c r="L26" s="13">
        <v>-5.0651000000000002</v>
      </c>
      <c r="M26" s="13">
        <v>-4.7876000000000003</v>
      </c>
      <c r="N26" s="13">
        <v>-3.2273000000000001</v>
      </c>
      <c r="O26" s="13">
        <v>-0.80220000000000002</v>
      </c>
    </row>
    <row r="27" spans="2:15" ht="16" thickBot="1" x14ac:dyDescent="0.4">
      <c r="B27" s="42"/>
      <c r="C27" s="43" t="s">
        <v>80</v>
      </c>
      <c r="D27" s="43">
        <v>1.9211</v>
      </c>
      <c r="E27" s="43">
        <v>4.0411000000000001</v>
      </c>
      <c r="F27" s="43">
        <v>5.0782999999999996</v>
      </c>
      <c r="G27" s="43">
        <v>4.7548000000000004</v>
      </c>
      <c r="H27" s="43">
        <v>3.1572</v>
      </c>
      <c r="I27" s="43">
        <v>0.7137</v>
      </c>
      <c r="J27" s="13">
        <v>-1.9211</v>
      </c>
      <c r="K27" s="13">
        <v>-4.0411000000000001</v>
      </c>
      <c r="L27" s="13">
        <v>-5.0782999999999996</v>
      </c>
      <c r="M27" s="13">
        <v>-4.7548000000000004</v>
      </c>
      <c r="N27" s="13">
        <v>-3.1572</v>
      </c>
      <c r="O27" s="13">
        <v>-0.7137</v>
      </c>
    </row>
    <row r="28" spans="2:15" ht="16" thickBot="1" x14ac:dyDescent="0.4">
      <c r="B28" s="42"/>
      <c r="C28" s="43" t="s">
        <v>81</v>
      </c>
      <c r="D28" s="43">
        <v>2.0036999999999998</v>
      </c>
      <c r="E28" s="43">
        <v>4.0956000000000001</v>
      </c>
      <c r="F28" s="43" t="s">
        <v>532</v>
      </c>
      <c r="G28" s="43">
        <v>4.7205000000000004</v>
      </c>
      <c r="H28" s="43">
        <v>3.0861999999999998</v>
      </c>
      <c r="I28" s="43" t="s">
        <v>531</v>
      </c>
      <c r="J28" s="13">
        <v>-2.0036999999999998</v>
      </c>
      <c r="K28" s="13">
        <v>-4.0956000000000001</v>
      </c>
      <c r="L28" s="13" t="s">
        <v>534</v>
      </c>
      <c r="M28" s="13">
        <v>-4.7205000000000004</v>
      </c>
      <c r="N28" s="13">
        <v>-3.0861999999999998</v>
      </c>
      <c r="O28" s="13" t="s">
        <v>533</v>
      </c>
    </row>
    <row r="29" spans="2:15" ht="16" thickBot="1" x14ac:dyDescent="0.4">
      <c r="B29" s="42"/>
      <c r="C29" s="43" t="s">
        <v>82</v>
      </c>
      <c r="D29" s="43">
        <v>2.0857999999999999</v>
      </c>
      <c r="E29" s="43">
        <v>4.1487999999999996</v>
      </c>
      <c r="F29" s="43">
        <v>5.1001000000000003</v>
      </c>
      <c r="G29" s="43">
        <v>4.6848000000000001</v>
      </c>
      <c r="H29" s="43">
        <v>3.0143</v>
      </c>
      <c r="I29" s="43" t="s">
        <v>529</v>
      </c>
      <c r="J29" s="13">
        <v>-2.0857999999999999</v>
      </c>
      <c r="K29" s="13">
        <v>-4.1487999999999996</v>
      </c>
      <c r="L29" s="13">
        <v>-5.1001000000000003</v>
      </c>
      <c r="M29" s="13">
        <v>-4.6848000000000001</v>
      </c>
      <c r="N29" s="13">
        <v>-3.0143</v>
      </c>
      <c r="O29" s="13" t="s">
        <v>530</v>
      </c>
    </row>
    <row r="30" spans="2:15" ht="16" thickBot="1" x14ac:dyDescent="0.4">
      <c r="B30" s="42"/>
      <c r="C30" s="43" t="s">
        <v>83</v>
      </c>
      <c r="D30" s="43">
        <v>2.1673</v>
      </c>
      <c r="E30" s="43">
        <v>4.2008000000000001</v>
      </c>
      <c r="F30" s="43">
        <v>5.1086999999999998</v>
      </c>
      <c r="G30" s="43">
        <v>4.6477000000000004</v>
      </c>
      <c r="H30" s="43">
        <v>2.9413999999999998</v>
      </c>
      <c r="I30" s="43" t="s">
        <v>527</v>
      </c>
      <c r="J30" s="13">
        <v>-2.1673</v>
      </c>
      <c r="K30" s="13">
        <v>-4.2008000000000001</v>
      </c>
      <c r="L30" s="13">
        <v>-5.1086999999999998</v>
      </c>
      <c r="M30" s="13">
        <v>-4.6477000000000004</v>
      </c>
      <c r="N30" s="13">
        <v>-2.9413999999999998</v>
      </c>
      <c r="O30" s="13" t="s">
        <v>528</v>
      </c>
    </row>
    <row r="31" spans="2:15" ht="16" thickBot="1" x14ac:dyDescent="0.4">
      <c r="B31" s="42"/>
      <c r="C31" s="43" t="s">
        <v>84</v>
      </c>
      <c r="D31" s="43">
        <v>2.2481</v>
      </c>
      <c r="E31" s="43">
        <v>4.2515000000000001</v>
      </c>
      <c r="F31" s="43">
        <v>5.1157000000000004</v>
      </c>
      <c r="G31" s="43">
        <v>4.6092000000000004</v>
      </c>
      <c r="H31" s="43">
        <v>2.8675999999999999</v>
      </c>
      <c r="I31" s="43">
        <v>0.35770000000000002</v>
      </c>
      <c r="J31" s="13">
        <v>-2.2481</v>
      </c>
      <c r="K31" s="13">
        <v>-4.2515000000000001</v>
      </c>
      <c r="L31" s="13">
        <v>-5.1157000000000004</v>
      </c>
      <c r="M31" s="13">
        <v>-4.6092000000000004</v>
      </c>
      <c r="N31" s="13">
        <v>-2.8675999999999999</v>
      </c>
      <c r="O31" s="13">
        <v>-0.35770000000000002</v>
      </c>
    </row>
    <row r="32" spans="2:15" ht="16" thickBot="1" x14ac:dyDescent="0.4">
      <c r="B32" s="42"/>
      <c r="C32" s="43" t="s">
        <v>86</v>
      </c>
      <c r="D32" s="43">
        <v>2.3281000000000001</v>
      </c>
      <c r="E32" s="43">
        <v>4.3009000000000004</v>
      </c>
      <c r="F32" s="43">
        <v>5.1212</v>
      </c>
      <c r="G32" s="43">
        <v>4.5692000000000004</v>
      </c>
      <c r="H32" s="43" t="s">
        <v>525</v>
      </c>
      <c r="I32" s="43">
        <v>0.26840000000000003</v>
      </c>
      <c r="J32" s="13">
        <v>-2.3281000000000001</v>
      </c>
      <c r="K32" s="13">
        <v>-4.3009000000000004</v>
      </c>
      <c r="L32" s="13">
        <v>-5.1212</v>
      </c>
      <c r="M32" s="13">
        <v>-4.5692000000000004</v>
      </c>
      <c r="N32" s="13" t="s">
        <v>526</v>
      </c>
      <c r="O32" s="13">
        <v>-0.26840000000000003</v>
      </c>
    </row>
    <row r="33" spans="2:15" ht="16" thickBot="1" x14ac:dyDescent="0.4">
      <c r="B33" s="42"/>
      <c r="C33" s="43" t="s">
        <v>87</v>
      </c>
      <c r="D33" s="43">
        <v>2.4075000000000002</v>
      </c>
      <c r="E33" s="43" t="s">
        <v>522</v>
      </c>
      <c r="F33" s="43">
        <v>5.1250999999999998</v>
      </c>
      <c r="G33" s="43">
        <v>4.5278999999999998</v>
      </c>
      <c r="H33" s="43">
        <v>2.7174999999999998</v>
      </c>
      <c r="I33" s="43" t="s">
        <v>521</v>
      </c>
      <c r="J33" s="13">
        <v>-2.4075000000000002</v>
      </c>
      <c r="K33" s="13" t="s">
        <v>524</v>
      </c>
      <c r="L33" s="13">
        <v>-5.1250999999999998</v>
      </c>
      <c r="M33" s="13">
        <v>-4.5278999999999998</v>
      </c>
      <c r="N33" s="13">
        <v>-2.7174999999999998</v>
      </c>
      <c r="O33" s="13" t="s">
        <v>523</v>
      </c>
    </row>
    <row r="34" spans="2:15" ht="16" thickBot="1" x14ac:dyDescent="0.4">
      <c r="B34" s="42"/>
      <c r="C34" s="43" t="s">
        <v>88</v>
      </c>
      <c r="D34" s="43">
        <v>2.4862000000000002</v>
      </c>
      <c r="E34" s="43">
        <v>4.3956999999999997</v>
      </c>
      <c r="F34" s="43">
        <v>5.1273999999999997</v>
      </c>
      <c r="G34" s="43">
        <v>4.4851999999999999</v>
      </c>
      <c r="H34" s="43">
        <v>2.6412</v>
      </c>
      <c r="I34" s="43">
        <v>8.9499999999999996E-2</v>
      </c>
      <c r="J34" s="13">
        <v>-2.4862000000000002</v>
      </c>
      <c r="K34" s="13">
        <v>-4.3956999999999997</v>
      </c>
      <c r="L34" s="13">
        <v>-5.1273999999999997</v>
      </c>
      <c r="M34" s="13">
        <v>-4.4851999999999999</v>
      </c>
      <c r="N34" s="13">
        <v>-2.6412</v>
      </c>
      <c r="O34" s="13">
        <v>-8.9499999999999996E-2</v>
      </c>
    </row>
    <row r="35" spans="2:15" ht="16" thickBot="1" x14ac:dyDescent="0.4">
      <c r="B35" s="42"/>
      <c r="C35" s="43" t="s">
        <v>17</v>
      </c>
      <c r="D35" s="43">
        <v>2.5640999999999998</v>
      </c>
      <c r="E35" s="43">
        <v>4.4440999999999997</v>
      </c>
      <c r="F35" s="43">
        <v>5.1281999999999996</v>
      </c>
      <c r="G35" s="43">
        <v>4.4440999999999997</v>
      </c>
      <c r="H35" s="43">
        <v>2.5640999999999998</v>
      </c>
      <c r="I35" s="43" t="s">
        <v>22</v>
      </c>
      <c r="J35" s="13">
        <v>-2.5640999999999998</v>
      </c>
      <c r="K35" s="13">
        <v>-4.4440999999999997</v>
      </c>
      <c r="L35" s="13">
        <v>-5.1281999999999996</v>
      </c>
      <c r="M35" s="13">
        <v>-4.4440999999999997</v>
      </c>
      <c r="N35" s="13">
        <v>-2.5640999999999998</v>
      </c>
      <c r="O35" s="13" t="s">
        <v>22</v>
      </c>
    </row>
  </sheetData>
  <mergeCells count="1">
    <mergeCell ref="C3:O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4B17-E906-428B-A57D-1BDBB0A9D616}">
  <dimension ref="B2:O35"/>
  <sheetViews>
    <sheetView workbookViewId="0">
      <selection activeCell="B3" sqref="B3:O35"/>
    </sheetView>
  </sheetViews>
  <sheetFormatPr defaultRowHeight="14.5" x14ac:dyDescent="0.35"/>
  <sheetData>
    <row r="2" spans="2:15" ht="15" thickBot="1" x14ac:dyDescent="0.4"/>
    <row r="3" spans="2:15" ht="16" thickBot="1" x14ac:dyDescent="0.4">
      <c r="B3" s="15"/>
      <c r="C3" s="102" t="s">
        <v>539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4"/>
    </row>
    <row r="4" spans="2:15" ht="16" thickBot="1" x14ac:dyDescent="0.4">
      <c r="B4" s="44"/>
      <c r="C4" s="41" t="s">
        <v>15</v>
      </c>
      <c r="D4" s="41" t="s">
        <v>16</v>
      </c>
      <c r="E4" s="41" t="s">
        <v>17</v>
      </c>
      <c r="F4" s="41" t="s">
        <v>18</v>
      </c>
      <c r="G4" s="41" t="s">
        <v>19</v>
      </c>
      <c r="H4" s="41" t="s">
        <v>20</v>
      </c>
      <c r="I4" s="41" t="s">
        <v>21</v>
      </c>
      <c r="J4" s="14" t="s">
        <v>36</v>
      </c>
      <c r="K4" s="14" t="s">
        <v>37</v>
      </c>
      <c r="L4" s="14" t="s">
        <v>38</v>
      </c>
      <c r="M4" s="14" t="s">
        <v>39</v>
      </c>
      <c r="N4" s="14" t="s">
        <v>40</v>
      </c>
      <c r="O4" s="14" t="s">
        <v>41</v>
      </c>
    </row>
    <row r="5" spans="2:15" ht="16" thickBot="1" x14ac:dyDescent="0.4">
      <c r="B5" s="29"/>
      <c r="C5" s="43" t="s">
        <v>16</v>
      </c>
      <c r="D5" s="43" t="s">
        <v>22</v>
      </c>
      <c r="E5" s="43">
        <v>0.14030000000000001</v>
      </c>
      <c r="F5" s="43" t="s">
        <v>540</v>
      </c>
      <c r="G5" s="43">
        <v>0.28060000000000002</v>
      </c>
      <c r="H5" s="43" t="s">
        <v>540</v>
      </c>
      <c r="I5" s="43">
        <v>0.14030000000000001</v>
      </c>
      <c r="J5" s="13" t="s">
        <v>22</v>
      </c>
      <c r="K5" s="13">
        <v>-0.14030000000000001</v>
      </c>
      <c r="L5" s="13" t="s">
        <v>541</v>
      </c>
      <c r="M5" s="13">
        <v>-0.28060000000000002</v>
      </c>
      <c r="N5" s="13" t="s">
        <v>541</v>
      </c>
      <c r="O5" s="13">
        <v>-0.14030000000000001</v>
      </c>
    </row>
    <row r="6" spans="2:15" ht="16" thickBot="1" x14ac:dyDescent="0.4">
      <c r="B6" s="29"/>
      <c r="C6" s="43" t="s">
        <v>42</v>
      </c>
      <c r="D6" s="43">
        <v>4.8999999999999998E-3</v>
      </c>
      <c r="E6" s="43">
        <v>0.14449999999999999</v>
      </c>
      <c r="F6" s="43">
        <v>0.24540000000000001</v>
      </c>
      <c r="G6" s="43">
        <v>0.28060000000000002</v>
      </c>
      <c r="H6" s="43">
        <v>0.24049999999999999</v>
      </c>
      <c r="I6" s="43" t="s">
        <v>542</v>
      </c>
      <c r="J6" s="13">
        <v>-4.8999999999999998E-3</v>
      </c>
      <c r="K6" s="13">
        <v>-0.14449999999999999</v>
      </c>
      <c r="L6" s="13">
        <v>-0.24540000000000001</v>
      </c>
      <c r="M6" s="13">
        <v>-0.28060000000000002</v>
      </c>
      <c r="N6" s="13">
        <v>-0.24049999999999999</v>
      </c>
      <c r="O6" s="13" t="s">
        <v>543</v>
      </c>
    </row>
    <row r="7" spans="2:15" ht="16" thickBot="1" x14ac:dyDescent="0.4">
      <c r="B7" s="29"/>
      <c r="C7" s="43" t="s">
        <v>43</v>
      </c>
      <c r="D7" s="43">
        <v>9.7999999999999997E-3</v>
      </c>
      <c r="E7" s="43">
        <v>0.1487</v>
      </c>
      <c r="F7" s="43">
        <v>0.24779999999999999</v>
      </c>
      <c r="G7" s="43">
        <v>0.28039999999999998</v>
      </c>
      <c r="H7" s="43" t="s">
        <v>544</v>
      </c>
      <c r="I7" s="43">
        <v>0.13170000000000001</v>
      </c>
      <c r="J7" s="13">
        <v>-9.7999999999999997E-3</v>
      </c>
      <c r="K7" s="13">
        <v>-0.1487</v>
      </c>
      <c r="L7" s="13">
        <v>-0.24779999999999999</v>
      </c>
      <c r="M7" s="13">
        <v>-0.28039999999999998</v>
      </c>
      <c r="N7" s="13" t="s">
        <v>545</v>
      </c>
      <c r="O7" s="13">
        <v>-0.13170000000000001</v>
      </c>
    </row>
    <row r="8" spans="2:15" ht="16" thickBot="1" x14ac:dyDescent="0.4">
      <c r="B8" s="29"/>
      <c r="C8" s="43" t="s">
        <v>44</v>
      </c>
      <c r="D8" s="43">
        <v>1.47E-2</v>
      </c>
      <c r="E8" s="43">
        <v>0.15279999999999999</v>
      </c>
      <c r="F8" s="43" t="s">
        <v>546</v>
      </c>
      <c r="G8" s="43">
        <v>0.2802</v>
      </c>
      <c r="H8" s="43">
        <v>0.23530000000000001</v>
      </c>
      <c r="I8" s="43">
        <v>0.12740000000000001</v>
      </c>
      <c r="J8" s="13">
        <v>-1.47E-2</v>
      </c>
      <c r="K8" s="13">
        <v>-0.15279999999999999</v>
      </c>
      <c r="L8" s="13" t="s">
        <v>547</v>
      </c>
      <c r="M8" s="13">
        <v>-0.2802</v>
      </c>
      <c r="N8" s="13">
        <v>-0.23530000000000001</v>
      </c>
      <c r="O8" s="13">
        <v>-0.12740000000000001</v>
      </c>
    </row>
    <row r="9" spans="2:15" ht="16" thickBot="1" x14ac:dyDescent="0.4">
      <c r="B9" s="29"/>
      <c r="C9" s="43" t="s">
        <v>45</v>
      </c>
      <c r="D9" s="43">
        <v>1.9599999999999999E-2</v>
      </c>
      <c r="E9" s="43">
        <v>0.15690000000000001</v>
      </c>
      <c r="F9" s="43">
        <v>0.25219999999999998</v>
      </c>
      <c r="G9" s="43">
        <v>0.27989999999999998</v>
      </c>
      <c r="H9" s="43">
        <v>0.2326</v>
      </c>
      <c r="I9" s="43" t="s">
        <v>548</v>
      </c>
      <c r="J9" s="13">
        <v>-1.9599999999999999E-2</v>
      </c>
      <c r="K9" s="13">
        <v>-0.15690000000000001</v>
      </c>
      <c r="L9" s="13">
        <v>-0.25219999999999998</v>
      </c>
      <c r="M9" s="13">
        <v>-0.27989999999999998</v>
      </c>
      <c r="N9" s="13">
        <v>-0.2326</v>
      </c>
      <c r="O9" s="13" t="s">
        <v>549</v>
      </c>
    </row>
    <row r="10" spans="2:15" ht="16" thickBot="1" x14ac:dyDescent="0.4">
      <c r="B10" s="29"/>
      <c r="C10" s="43" t="s">
        <v>47</v>
      </c>
      <c r="D10" s="43">
        <v>2.4500000000000001E-2</v>
      </c>
      <c r="E10" s="43">
        <v>0.16089999999999999</v>
      </c>
      <c r="F10" s="43">
        <v>0.25430000000000003</v>
      </c>
      <c r="G10" s="43">
        <v>0.27950000000000003</v>
      </c>
      <c r="H10" s="43">
        <v>0.22989999999999999</v>
      </c>
      <c r="I10" s="43">
        <v>0.1186</v>
      </c>
      <c r="J10" s="13">
        <v>-2.4500000000000001E-2</v>
      </c>
      <c r="K10" s="13">
        <v>-0.16089999999999999</v>
      </c>
      <c r="L10" s="13">
        <v>-0.25430000000000003</v>
      </c>
      <c r="M10" s="13">
        <v>-0.27950000000000003</v>
      </c>
      <c r="N10" s="13">
        <v>-0.22989999999999999</v>
      </c>
      <c r="O10" s="13">
        <v>-0.1186</v>
      </c>
    </row>
    <row r="11" spans="2:15" ht="16" thickBot="1" x14ac:dyDescent="0.4">
      <c r="B11" s="29"/>
      <c r="C11" s="43" t="s">
        <v>50</v>
      </c>
      <c r="D11" s="43">
        <v>2.93E-2</v>
      </c>
      <c r="E11" s="43">
        <v>0.16489999999999999</v>
      </c>
      <c r="F11" s="43">
        <v>0.25629999999999997</v>
      </c>
      <c r="G11" s="43">
        <v>0.27910000000000001</v>
      </c>
      <c r="H11" s="43" t="s">
        <v>550</v>
      </c>
      <c r="I11" s="43">
        <v>0.11409999999999999</v>
      </c>
      <c r="J11" s="13">
        <v>-2.93E-2</v>
      </c>
      <c r="K11" s="13">
        <v>-0.16489999999999999</v>
      </c>
      <c r="L11" s="13">
        <v>-0.25629999999999997</v>
      </c>
      <c r="M11" s="13">
        <v>-0.27910000000000001</v>
      </c>
      <c r="N11" s="13" t="s">
        <v>551</v>
      </c>
      <c r="O11" s="13">
        <v>-0.11409999999999999</v>
      </c>
    </row>
    <row r="12" spans="2:15" ht="16" thickBot="1" x14ac:dyDescent="0.4">
      <c r="B12" s="29"/>
      <c r="C12" s="43" t="s">
        <v>53</v>
      </c>
      <c r="D12" s="43">
        <v>3.4200000000000001E-2</v>
      </c>
      <c r="E12" s="43">
        <v>0.16889999999999999</v>
      </c>
      <c r="F12" s="43">
        <v>0.25829999999999997</v>
      </c>
      <c r="G12" s="43">
        <v>0.27850000000000003</v>
      </c>
      <c r="H12" s="43">
        <v>0.22409999999999999</v>
      </c>
      <c r="I12" s="43">
        <v>0.1096</v>
      </c>
      <c r="J12" s="13">
        <v>-3.4200000000000001E-2</v>
      </c>
      <c r="K12" s="13">
        <v>-0.16889999999999999</v>
      </c>
      <c r="L12" s="13">
        <v>-0.25829999999999997</v>
      </c>
      <c r="M12" s="13">
        <v>-0.27850000000000003</v>
      </c>
      <c r="N12" s="13">
        <v>-0.22409999999999999</v>
      </c>
      <c r="O12" s="13">
        <v>-0.1096</v>
      </c>
    </row>
    <row r="13" spans="2:15" ht="16" thickBot="1" x14ac:dyDescent="0.4">
      <c r="B13" s="29"/>
      <c r="C13" s="43" t="s">
        <v>56</v>
      </c>
      <c r="D13" s="43">
        <v>3.9100000000000003E-2</v>
      </c>
      <c r="E13" s="43">
        <v>0.17280000000000001</v>
      </c>
      <c r="F13" s="43">
        <v>0.26019999999999999</v>
      </c>
      <c r="G13" s="43">
        <v>0.27789999999999998</v>
      </c>
      <c r="H13" s="43">
        <v>0.22109999999999999</v>
      </c>
      <c r="I13" s="43">
        <v>0.1051</v>
      </c>
      <c r="J13" s="13">
        <v>-3.9100000000000003E-2</v>
      </c>
      <c r="K13" s="13">
        <v>-0.17280000000000001</v>
      </c>
      <c r="L13" s="13">
        <v>-0.26019999999999999</v>
      </c>
      <c r="M13" s="13">
        <v>-0.27789999999999998</v>
      </c>
      <c r="N13" s="13">
        <v>-0.22109999999999999</v>
      </c>
      <c r="O13" s="13">
        <v>-0.1051</v>
      </c>
    </row>
    <row r="14" spans="2:15" ht="16" thickBot="1" x14ac:dyDescent="0.4">
      <c r="B14" s="29"/>
      <c r="C14" s="43" t="s">
        <v>59</v>
      </c>
      <c r="D14" s="43">
        <v>4.3900000000000002E-2</v>
      </c>
      <c r="E14" s="43">
        <v>0.17660000000000001</v>
      </c>
      <c r="F14" s="43" t="s">
        <v>552</v>
      </c>
      <c r="G14" s="43">
        <v>0.2772</v>
      </c>
      <c r="H14" s="43">
        <v>0.21809999999999999</v>
      </c>
      <c r="I14" s="43">
        <v>0.10059999999999999</v>
      </c>
      <c r="J14" s="13">
        <v>-4.3900000000000002E-2</v>
      </c>
      <c r="K14" s="13">
        <v>-0.17660000000000001</v>
      </c>
      <c r="L14" s="13" t="s">
        <v>553</v>
      </c>
      <c r="M14" s="13">
        <v>-0.2772</v>
      </c>
      <c r="N14" s="13">
        <v>-0.21809999999999999</v>
      </c>
      <c r="O14" s="13">
        <v>-0.10059999999999999</v>
      </c>
    </row>
    <row r="15" spans="2:15" ht="16" thickBot="1" x14ac:dyDescent="0.4">
      <c r="B15" s="29"/>
      <c r="C15" s="43" t="s">
        <v>62</v>
      </c>
      <c r="D15" s="43">
        <v>4.87E-2</v>
      </c>
      <c r="E15" s="43">
        <v>0.1804</v>
      </c>
      <c r="F15" s="43">
        <v>0.26369999999999999</v>
      </c>
      <c r="G15" s="43">
        <v>0.27629999999999999</v>
      </c>
      <c r="H15" s="43" t="s">
        <v>554</v>
      </c>
      <c r="I15" s="43" t="s">
        <v>555</v>
      </c>
      <c r="J15" s="13">
        <v>-4.87E-2</v>
      </c>
      <c r="K15" s="13">
        <v>-0.1804</v>
      </c>
      <c r="L15" s="13">
        <v>-0.26369999999999999</v>
      </c>
      <c r="M15" s="13">
        <v>-0.27629999999999999</v>
      </c>
      <c r="N15" s="13" t="s">
        <v>556</v>
      </c>
      <c r="O15" s="13" t="s">
        <v>557</v>
      </c>
    </row>
    <row r="16" spans="2:15" ht="16" thickBot="1" x14ac:dyDescent="0.4">
      <c r="B16" s="29"/>
      <c r="C16" s="43" t="s">
        <v>63</v>
      </c>
      <c r="D16" s="43">
        <v>5.3499999999999999E-2</v>
      </c>
      <c r="E16" s="43">
        <v>0.18410000000000001</v>
      </c>
      <c r="F16" s="43">
        <v>0.26529999999999998</v>
      </c>
      <c r="G16" s="43">
        <v>0.27550000000000002</v>
      </c>
      <c r="H16" s="43">
        <v>0.21179999999999999</v>
      </c>
      <c r="I16" s="43">
        <v>9.1399999999999995E-2</v>
      </c>
      <c r="J16" s="13">
        <v>-5.3499999999999999E-2</v>
      </c>
      <c r="K16" s="13">
        <v>-0.18410000000000001</v>
      </c>
      <c r="L16" s="13">
        <v>-0.26529999999999998</v>
      </c>
      <c r="M16" s="13">
        <v>-0.27550000000000002</v>
      </c>
      <c r="N16" s="13">
        <v>-0.21179999999999999</v>
      </c>
      <c r="O16" s="13">
        <v>-9.1399999999999995E-2</v>
      </c>
    </row>
    <row r="17" spans="2:15" ht="16" thickBot="1" x14ac:dyDescent="0.4">
      <c r="B17" s="29"/>
      <c r="C17" s="43" t="s">
        <v>64</v>
      </c>
      <c r="D17" s="43">
        <v>5.8299999999999998E-2</v>
      </c>
      <c r="E17" s="43">
        <v>0.18779999999999999</v>
      </c>
      <c r="F17" s="43">
        <v>0.26690000000000003</v>
      </c>
      <c r="G17" s="43">
        <v>0.27450000000000002</v>
      </c>
      <c r="H17" s="43">
        <v>0.20849999999999999</v>
      </c>
      <c r="I17" s="43">
        <v>8.6699999999999999E-2</v>
      </c>
      <c r="J17" s="13">
        <v>-5.8299999999999998E-2</v>
      </c>
      <c r="K17" s="13">
        <v>-0.18779999999999999</v>
      </c>
      <c r="L17" s="13">
        <v>-0.26690000000000003</v>
      </c>
      <c r="M17" s="13">
        <v>-0.27450000000000002</v>
      </c>
      <c r="N17" s="13">
        <v>-0.20849999999999999</v>
      </c>
      <c r="O17" s="13">
        <v>-8.6699999999999999E-2</v>
      </c>
    </row>
    <row r="18" spans="2:15" ht="16" thickBot="1" x14ac:dyDescent="0.4">
      <c r="B18" s="29"/>
      <c r="C18" s="43" t="s">
        <v>68</v>
      </c>
      <c r="D18" s="43">
        <v>6.3100000000000003E-2</v>
      </c>
      <c r="E18" s="43">
        <v>0.19139999999999999</v>
      </c>
      <c r="F18" s="43">
        <v>0.26829999999999998</v>
      </c>
      <c r="G18" s="43">
        <v>0.27339999999999998</v>
      </c>
      <c r="H18" s="43">
        <v>0.20519999999999999</v>
      </c>
      <c r="I18" s="43" t="s">
        <v>558</v>
      </c>
      <c r="J18" s="13">
        <v>-6.3100000000000003E-2</v>
      </c>
      <c r="K18" s="13">
        <v>-0.19139999999999999</v>
      </c>
      <c r="L18" s="13">
        <v>-0.26829999999999998</v>
      </c>
      <c r="M18" s="13">
        <v>-0.27339999999999998</v>
      </c>
      <c r="N18" s="13">
        <v>-0.20519999999999999</v>
      </c>
      <c r="O18" s="13" t="s">
        <v>559</v>
      </c>
    </row>
    <row r="19" spans="2:15" ht="16" thickBot="1" x14ac:dyDescent="0.4">
      <c r="B19" s="29"/>
      <c r="C19" s="43" t="s">
        <v>71</v>
      </c>
      <c r="D19" s="43">
        <v>6.7900000000000002E-2</v>
      </c>
      <c r="E19" s="43">
        <v>0.19489999999999999</v>
      </c>
      <c r="F19" s="43">
        <v>0.2697</v>
      </c>
      <c r="G19" s="43">
        <v>0.27229999999999999</v>
      </c>
      <c r="H19" s="43">
        <v>0.2019</v>
      </c>
      <c r="I19" s="43">
        <v>7.7299999999999994E-2</v>
      </c>
      <c r="J19" s="13">
        <v>-6.7900000000000002E-2</v>
      </c>
      <c r="K19" s="13">
        <v>-0.19489999999999999</v>
      </c>
      <c r="L19" s="13">
        <v>-0.2697</v>
      </c>
      <c r="M19" s="13">
        <v>-0.27229999999999999</v>
      </c>
      <c r="N19" s="13">
        <v>-0.2019</v>
      </c>
      <c r="O19" s="13">
        <v>-7.7299999999999994E-2</v>
      </c>
    </row>
    <row r="20" spans="2:15" ht="16" thickBot="1" x14ac:dyDescent="0.4">
      <c r="B20" s="29"/>
      <c r="C20" s="43" t="s">
        <v>72</v>
      </c>
      <c r="D20" s="43">
        <v>7.2599999999999998E-2</v>
      </c>
      <c r="E20" s="43">
        <v>0.19839999999999999</v>
      </c>
      <c r="F20" s="43" t="s">
        <v>560</v>
      </c>
      <c r="G20" s="43" t="s">
        <v>560</v>
      </c>
      <c r="H20" s="43">
        <v>0.19839999999999999</v>
      </c>
      <c r="I20" s="43">
        <v>7.2599999999999998E-2</v>
      </c>
      <c r="J20" s="13">
        <v>-7.2599999999999998E-2</v>
      </c>
      <c r="K20" s="13">
        <v>-0.19839999999999999</v>
      </c>
      <c r="L20" s="13" t="s">
        <v>561</v>
      </c>
      <c r="M20" s="13" t="s">
        <v>561</v>
      </c>
      <c r="N20" s="13">
        <v>-0.19839999999999999</v>
      </c>
      <c r="O20" s="13">
        <v>-7.2599999999999998E-2</v>
      </c>
    </row>
    <row r="21" spans="2:15" ht="16" thickBot="1" x14ac:dyDescent="0.4">
      <c r="B21" s="29"/>
      <c r="C21" s="43" t="s">
        <v>73</v>
      </c>
      <c r="D21" s="43">
        <v>7.7299999999999994E-2</v>
      </c>
      <c r="E21" s="43">
        <v>0.2019</v>
      </c>
      <c r="F21" s="43">
        <v>0.27229999999999999</v>
      </c>
      <c r="G21" s="43">
        <v>0.2697</v>
      </c>
      <c r="H21" s="43">
        <v>0.19489999999999999</v>
      </c>
      <c r="I21" s="43">
        <v>6.7900000000000002E-2</v>
      </c>
      <c r="J21" s="13">
        <v>-7.7299999999999994E-2</v>
      </c>
      <c r="K21" s="13">
        <v>-0.2019</v>
      </c>
      <c r="L21" s="13">
        <v>-0.27229999999999999</v>
      </c>
      <c r="M21" s="13">
        <v>-0.2697</v>
      </c>
      <c r="N21" s="13">
        <v>-0.19489999999999999</v>
      </c>
      <c r="O21" s="13">
        <v>-6.7900000000000002E-2</v>
      </c>
    </row>
    <row r="22" spans="2:15" ht="16" thickBot="1" x14ac:dyDescent="0.4">
      <c r="B22" s="29"/>
      <c r="C22" s="43" t="s">
        <v>74</v>
      </c>
      <c r="D22" s="43" t="s">
        <v>558</v>
      </c>
      <c r="E22" s="43">
        <v>0.20519999999999999</v>
      </c>
      <c r="F22" s="43">
        <v>0.27339999999999998</v>
      </c>
      <c r="G22" s="43">
        <v>0.26829999999999998</v>
      </c>
      <c r="H22" s="43">
        <v>0.19139999999999999</v>
      </c>
      <c r="I22" s="43">
        <v>6.3100000000000003E-2</v>
      </c>
      <c r="J22" s="13" t="s">
        <v>559</v>
      </c>
      <c r="K22" s="13">
        <v>-0.20519999999999999</v>
      </c>
      <c r="L22" s="13">
        <v>-0.27339999999999998</v>
      </c>
      <c r="M22" s="13">
        <v>-0.26829999999999998</v>
      </c>
      <c r="N22" s="13">
        <v>-0.19139999999999999</v>
      </c>
      <c r="O22" s="13">
        <v>-6.3100000000000003E-2</v>
      </c>
    </row>
    <row r="23" spans="2:15" ht="16" thickBot="1" x14ac:dyDescent="0.4">
      <c r="B23" s="29"/>
      <c r="C23" s="43" t="s">
        <v>75</v>
      </c>
      <c r="D23" s="43">
        <v>8.6699999999999999E-2</v>
      </c>
      <c r="E23" s="43">
        <v>0.20849999999999999</v>
      </c>
      <c r="F23" s="43">
        <v>0.27450000000000002</v>
      </c>
      <c r="G23" s="43">
        <v>0.26690000000000003</v>
      </c>
      <c r="H23" s="43">
        <v>0.18779999999999999</v>
      </c>
      <c r="I23" s="43">
        <v>5.8299999999999998E-2</v>
      </c>
      <c r="J23" s="13">
        <v>-8.6699999999999999E-2</v>
      </c>
      <c r="K23" s="13">
        <v>-0.20849999999999999</v>
      </c>
      <c r="L23" s="13">
        <v>-0.27450000000000002</v>
      </c>
      <c r="M23" s="13">
        <v>-0.26690000000000003</v>
      </c>
      <c r="N23" s="13">
        <v>-0.18779999999999999</v>
      </c>
      <c r="O23" s="13">
        <v>-5.8299999999999998E-2</v>
      </c>
    </row>
    <row r="24" spans="2:15" ht="16" thickBot="1" x14ac:dyDescent="0.4">
      <c r="B24" s="29"/>
      <c r="C24" s="43" t="s">
        <v>77</v>
      </c>
      <c r="D24" s="43">
        <v>9.1399999999999995E-2</v>
      </c>
      <c r="E24" s="43">
        <v>0.21179999999999999</v>
      </c>
      <c r="F24" s="43">
        <v>0.27550000000000002</v>
      </c>
      <c r="G24" s="43">
        <v>0.26529999999999998</v>
      </c>
      <c r="H24" s="43">
        <v>0.18410000000000001</v>
      </c>
      <c r="I24" s="43">
        <v>5.3499999999999999E-2</v>
      </c>
      <c r="J24" s="13">
        <v>-9.1399999999999995E-2</v>
      </c>
      <c r="K24" s="13">
        <v>-0.21179999999999999</v>
      </c>
      <c r="L24" s="13">
        <v>-0.27550000000000002</v>
      </c>
      <c r="M24" s="13">
        <v>-0.26529999999999998</v>
      </c>
      <c r="N24" s="13">
        <v>-0.18410000000000001</v>
      </c>
      <c r="O24" s="13">
        <v>-5.3499999999999999E-2</v>
      </c>
    </row>
    <row r="25" spans="2:15" ht="16" thickBot="1" x14ac:dyDescent="0.4">
      <c r="B25" s="29"/>
      <c r="C25" s="43" t="s">
        <v>78</v>
      </c>
      <c r="D25" s="43" t="s">
        <v>555</v>
      </c>
      <c r="E25" s="43" t="s">
        <v>554</v>
      </c>
      <c r="F25" s="43">
        <v>0.27629999999999999</v>
      </c>
      <c r="G25" s="43">
        <v>0.26369999999999999</v>
      </c>
      <c r="H25" s="43">
        <v>0.1804</v>
      </c>
      <c r="I25" s="43">
        <v>4.87E-2</v>
      </c>
      <c r="J25" s="13" t="s">
        <v>557</v>
      </c>
      <c r="K25" s="13" t="s">
        <v>556</v>
      </c>
      <c r="L25" s="13">
        <v>-0.27629999999999999</v>
      </c>
      <c r="M25" s="13">
        <v>-0.26369999999999999</v>
      </c>
      <c r="N25" s="13">
        <v>-0.1804</v>
      </c>
      <c r="O25" s="13">
        <v>-4.87E-2</v>
      </c>
    </row>
    <row r="26" spans="2:15" ht="16" thickBot="1" x14ac:dyDescent="0.4">
      <c r="B26" s="29"/>
      <c r="C26" s="43" t="s">
        <v>79</v>
      </c>
      <c r="D26" s="43">
        <v>0.10059999999999999</v>
      </c>
      <c r="E26" s="43">
        <v>0.21809999999999999</v>
      </c>
      <c r="F26" s="43">
        <v>0.2772</v>
      </c>
      <c r="G26" s="43" t="s">
        <v>552</v>
      </c>
      <c r="H26" s="43">
        <v>0.17660000000000001</v>
      </c>
      <c r="I26" s="43">
        <v>4.3900000000000002E-2</v>
      </c>
      <c r="J26" s="13">
        <v>-0.10059999999999999</v>
      </c>
      <c r="K26" s="13">
        <v>-0.21809999999999999</v>
      </c>
      <c r="L26" s="13">
        <v>-0.2772</v>
      </c>
      <c r="M26" s="13" t="s">
        <v>553</v>
      </c>
      <c r="N26" s="13">
        <v>-0.17660000000000001</v>
      </c>
      <c r="O26" s="13">
        <v>-4.3900000000000002E-2</v>
      </c>
    </row>
    <row r="27" spans="2:15" ht="16" thickBot="1" x14ac:dyDescent="0.4">
      <c r="B27" s="29"/>
      <c r="C27" s="43" t="s">
        <v>80</v>
      </c>
      <c r="D27" s="43">
        <v>0.1051</v>
      </c>
      <c r="E27" s="43">
        <v>0.22109999999999999</v>
      </c>
      <c r="F27" s="43">
        <v>0.27789999999999998</v>
      </c>
      <c r="G27" s="43">
        <v>0.26019999999999999</v>
      </c>
      <c r="H27" s="43">
        <v>0.17280000000000001</v>
      </c>
      <c r="I27" s="43">
        <v>3.9100000000000003E-2</v>
      </c>
      <c r="J27" s="13">
        <v>-0.1051</v>
      </c>
      <c r="K27" s="13">
        <v>-0.22109999999999999</v>
      </c>
      <c r="L27" s="13">
        <v>-0.27789999999999998</v>
      </c>
      <c r="M27" s="13">
        <v>-0.26019999999999999</v>
      </c>
      <c r="N27" s="13">
        <v>-0.17280000000000001</v>
      </c>
      <c r="O27" s="13">
        <v>-3.9100000000000003E-2</v>
      </c>
    </row>
    <row r="28" spans="2:15" ht="16" thickBot="1" x14ac:dyDescent="0.4">
      <c r="B28" s="29"/>
      <c r="C28" s="43" t="s">
        <v>81</v>
      </c>
      <c r="D28" s="43">
        <v>0.1096</v>
      </c>
      <c r="E28" s="43">
        <v>0.22409999999999999</v>
      </c>
      <c r="F28" s="43">
        <v>0.27850000000000003</v>
      </c>
      <c r="G28" s="43">
        <v>0.25829999999999997</v>
      </c>
      <c r="H28" s="43">
        <v>0.16889999999999999</v>
      </c>
      <c r="I28" s="43">
        <v>3.4200000000000001E-2</v>
      </c>
      <c r="J28" s="13">
        <v>-0.1096</v>
      </c>
      <c r="K28" s="13">
        <v>-0.22409999999999999</v>
      </c>
      <c r="L28" s="13">
        <v>-0.27850000000000003</v>
      </c>
      <c r="M28" s="13">
        <v>-0.25829999999999997</v>
      </c>
      <c r="N28" s="13">
        <v>-0.16889999999999999</v>
      </c>
      <c r="O28" s="13">
        <v>-3.4200000000000001E-2</v>
      </c>
    </row>
    <row r="29" spans="2:15" ht="16" thickBot="1" x14ac:dyDescent="0.4">
      <c r="B29" s="29"/>
      <c r="C29" s="43" t="s">
        <v>82</v>
      </c>
      <c r="D29" s="43">
        <v>0.11409999999999999</v>
      </c>
      <c r="E29" s="43" t="s">
        <v>550</v>
      </c>
      <c r="F29" s="43">
        <v>0.27910000000000001</v>
      </c>
      <c r="G29" s="43">
        <v>0.25629999999999997</v>
      </c>
      <c r="H29" s="43">
        <v>0.16489999999999999</v>
      </c>
      <c r="I29" s="43">
        <v>2.93E-2</v>
      </c>
      <c r="J29" s="13">
        <v>-0.11409999999999999</v>
      </c>
      <c r="K29" s="13" t="s">
        <v>551</v>
      </c>
      <c r="L29" s="13">
        <v>-0.27910000000000001</v>
      </c>
      <c r="M29" s="13">
        <v>-0.25629999999999997</v>
      </c>
      <c r="N29" s="13">
        <v>-0.16489999999999999</v>
      </c>
      <c r="O29" s="13">
        <v>-2.93E-2</v>
      </c>
    </row>
    <row r="30" spans="2:15" ht="16" thickBot="1" x14ac:dyDescent="0.4">
      <c r="B30" s="29"/>
      <c r="C30" s="43" t="s">
        <v>83</v>
      </c>
      <c r="D30" s="43">
        <v>0.1186</v>
      </c>
      <c r="E30" s="43">
        <v>0.22989999999999999</v>
      </c>
      <c r="F30" s="43">
        <v>0.27950000000000003</v>
      </c>
      <c r="G30" s="43">
        <v>0.25430000000000003</v>
      </c>
      <c r="H30" s="43">
        <v>0.16089999999999999</v>
      </c>
      <c r="I30" s="43">
        <v>2.4500000000000001E-2</v>
      </c>
      <c r="J30" s="13">
        <v>-0.1186</v>
      </c>
      <c r="K30" s="13">
        <v>-0.22989999999999999</v>
      </c>
      <c r="L30" s="13">
        <v>-0.27950000000000003</v>
      </c>
      <c r="M30" s="13">
        <v>-0.25430000000000003</v>
      </c>
      <c r="N30" s="13">
        <v>-0.16089999999999999</v>
      </c>
      <c r="O30" s="13">
        <v>-2.4500000000000001E-2</v>
      </c>
    </row>
    <row r="31" spans="2:15" ht="16" thickBot="1" x14ac:dyDescent="0.4">
      <c r="B31" s="29"/>
      <c r="C31" s="43" t="s">
        <v>84</v>
      </c>
      <c r="D31" s="43" t="s">
        <v>548</v>
      </c>
      <c r="E31" s="43">
        <v>0.2326</v>
      </c>
      <c r="F31" s="43">
        <v>0.27989999999999998</v>
      </c>
      <c r="G31" s="43">
        <v>0.25219999999999998</v>
      </c>
      <c r="H31" s="43">
        <v>0.15690000000000001</v>
      </c>
      <c r="I31" s="43">
        <v>1.9599999999999999E-2</v>
      </c>
      <c r="J31" s="13" t="s">
        <v>549</v>
      </c>
      <c r="K31" s="13">
        <v>-0.2326</v>
      </c>
      <c r="L31" s="13">
        <v>-0.27989999999999998</v>
      </c>
      <c r="M31" s="13">
        <v>-0.25219999999999998</v>
      </c>
      <c r="N31" s="13">
        <v>-0.15690000000000001</v>
      </c>
      <c r="O31" s="13">
        <v>-1.9599999999999999E-2</v>
      </c>
    </row>
    <row r="32" spans="2:15" ht="16" thickBot="1" x14ac:dyDescent="0.4">
      <c r="B32" s="29"/>
      <c r="C32" s="43" t="s">
        <v>86</v>
      </c>
      <c r="D32" s="43">
        <v>0.12740000000000001</v>
      </c>
      <c r="E32" s="43">
        <v>0.23530000000000001</v>
      </c>
      <c r="F32" s="43">
        <v>0.2802</v>
      </c>
      <c r="G32" s="43" t="s">
        <v>546</v>
      </c>
      <c r="H32" s="43">
        <v>0.15279999999999999</v>
      </c>
      <c r="I32" s="43">
        <v>1.47E-2</v>
      </c>
      <c r="J32" s="13">
        <v>-0.12740000000000001</v>
      </c>
      <c r="K32" s="13">
        <v>-0.23530000000000001</v>
      </c>
      <c r="L32" s="13">
        <v>-0.2802</v>
      </c>
      <c r="M32" s="13" t="s">
        <v>547</v>
      </c>
      <c r="N32" s="13">
        <v>-0.15279999999999999</v>
      </c>
      <c r="O32" s="13">
        <v>-1.47E-2</v>
      </c>
    </row>
    <row r="33" spans="2:15" ht="16" thickBot="1" x14ac:dyDescent="0.4">
      <c r="B33" s="29"/>
      <c r="C33" s="43" t="s">
        <v>87</v>
      </c>
      <c r="D33" s="43">
        <v>0.13170000000000001</v>
      </c>
      <c r="E33" s="43" t="s">
        <v>544</v>
      </c>
      <c r="F33" s="43">
        <v>0.28039999999999998</v>
      </c>
      <c r="G33" s="43">
        <v>0.24779999999999999</v>
      </c>
      <c r="H33" s="43">
        <v>0.1487</v>
      </c>
      <c r="I33" s="43">
        <v>9.7999999999999997E-3</v>
      </c>
      <c r="J33" s="13">
        <v>-0.13170000000000001</v>
      </c>
      <c r="K33" s="13" t="s">
        <v>545</v>
      </c>
      <c r="L33" s="13">
        <v>-0.28039999999999998</v>
      </c>
      <c r="M33" s="13">
        <v>-0.24779999999999999</v>
      </c>
      <c r="N33" s="13">
        <v>-0.1487</v>
      </c>
      <c r="O33" s="13">
        <v>-9.7999999999999997E-3</v>
      </c>
    </row>
    <row r="34" spans="2:15" ht="16" thickBot="1" x14ac:dyDescent="0.4">
      <c r="B34" s="29"/>
      <c r="C34" s="43" t="s">
        <v>88</v>
      </c>
      <c r="D34" s="43" t="s">
        <v>542</v>
      </c>
      <c r="E34" s="43">
        <v>0.24049999999999999</v>
      </c>
      <c r="F34" s="43">
        <v>0.28060000000000002</v>
      </c>
      <c r="G34" s="43">
        <v>0.24540000000000001</v>
      </c>
      <c r="H34" s="43">
        <v>0.14449999999999999</v>
      </c>
      <c r="I34" s="43">
        <v>4.8999999999999998E-3</v>
      </c>
      <c r="J34" s="13" t="s">
        <v>543</v>
      </c>
      <c r="K34" s="13">
        <v>-0.24049999999999999</v>
      </c>
      <c r="L34" s="13">
        <v>-0.28060000000000002</v>
      </c>
      <c r="M34" s="13">
        <v>-0.24540000000000001</v>
      </c>
      <c r="N34" s="13">
        <v>-0.14449999999999999</v>
      </c>
      <c r="O34" s="13">
        <v>-4.8999999999999998E-3</v>
      </c>
    </row>
    <row r="35" spans="2:15" ht="16" thickBot="1" x14ac:dyDescent="0.4">
      <c r="B35" s="29"/>
      <c r="C35" s="43" t="s">
        <v>17</v>
      </c>
      <c r="D35" s="43">
        <v>0.14030000000000001</v>
      </c>
      <c r="E35" s="43" t="s">
        <v>540</v>
      </c>
      <c r="F35" s="43">
        <v>0.28060000000000002</v>
      </c>
      <c r="G35" s="43" t="s">
        <v>540</v>
      </c>
      <c r="H35" s="43">
        <v>0.14030000000000001</v>
      </c>
      <c r="I35" s="43" t="s">
        <v>22</v>
      </c>
      <c r="J35" s="13">
        <v>-0.14030000000000001</v>
      </c>
      <c r="K35" s="13" t="s">
        <v>541</v>
      </c>
      <c r="L35" s="13">
        <v>-0.28060000000000002</v>
      </c>
      <c r="M35" s="13" t="s">
        <v>541</v>
      </c>
      <c r="N35" s="13">
        <v>-0.14030000000000001</v>
      </c>
      <c r="O35" s="13" t="s">
        <v>22</v>
      </c>
    </row>
  </sheetData>
  <mergeCells count="1">
    <mergeCell ref="C3:O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360C-B3FF-4B30-AB87-FB6DCE2B390E}">
  <dimension ref="B2:O35"/>
  <sheetViews>
    <sheetView workbookViewId="0">
      <selection activeCell="B3" sqref="B3:O35"/>
    </sheetView>
  </sheetViews>
  <sheetFormatPr defaultRowHeight="14.5" x14ac:dyDescent="0.35"/>
  <sheetData>
    <row r="2" spans="2:15" ht="15" thickBot="1" x14ac:dyDescent="0.4"/>
    <row r="3" spans="2:15" ht="15.5" thickBot="1" x14ac:dyDescent="0.4">
      <c r="B3" s="25"/>
      <c r="C3" s="105" t="s">
        <v>562</v>
      </c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7"/>
    </row>
    <row r="4" spans="2:15" ht="15.5" thickBot="1" x14ac:dyDescent="0.4">
      <c r="B4" s="25"/>
      <c r="C4" s="11" t="s">
        <v>15</v>
      </c>
      <c r="D4" s="11" t="s">
        <v>16</v>
      </c>
      <c r="E4" s="11" t="s">
        <v>17</v>
      </c>
      <c r="F4" s="11" t="s">
        <v>18</v>
      </c>
      <c r="G4" s="11" t="s">
        <v>19</v>
      </c>
      <c r="H4" s="11" t="s">
        <v>20</v>
      </c>
      <c r="I4" s="11" t="s">
        <v>21</v>
      </c>
      <c r="J4" s="11">
        <v>180</v>
      </c>
      <c r="K4" s="11">
        <v>210</v>
      </c>
      <c r="L4" s="11">
        <v>240</v>
      </c>
      <c r="M4" s="11">
        <v>270</v>
      </c>
      <c r="N4" s="11">
        <v>300</v>
      </c>
      <c r="O4" s="11">
        <v>330</v>
      </c>
    </row>
    <row r="5" spans="2:15" ht="16" thickBot="1" x14ac:dyDescent="0.4">
      <c r="C5" s="13" t="s">
        <v>16</v>
      </c>
      <c r="D5" s="13" t="s">
        <v>22</v>
      </c>
      <c r="E5" s="13">
        <v>0.13880000000000001</v>
      </c>
      <c r="F5" s="13">
        <v>0.24049999999999999</v>
      </c>
      <c r="G5" s="13">
        <v>0.2777</v>
      </c>
      <c r="H5" s="13">
        <v>0.24049999999999999</v>
      </c>
      <c r="I5" s="13">
        <v>0.13880000000000001</v>
      </c>
      <c r="J5" s="13" t="s">
        <v>22</v>
      </c>
      <c r="K5" s="13">
        <v>-0.13880000000000001</v>
      </c>
      <c r="L5" s="13">
        <v>-0.24049999999999999</v>
      </c>
      <c r="M5" s="13">
        <v>-0.2777</v>
      </c>
      <c r="N5" s="13">
        <v>-0.24049999999999999</v>
      </c>
      <c r="O5" s="13">
        <v>-0.13880000000000001</v>
      </c>
    </row>
    <row r="6" spans="2:15" ht="16" thickBot="1" x14ac:dyDescent="0.4">
      <c r="C6" s="13" t="s">
        <v>42</v>
      </c>
      <c r="D6" s="13">
        <v>4.7999999999999996E-3</v>
      </c>
      <c r="E6" s="13" t="s">
        <v>563</v>
      </c>
      <c r="F6" s="13">
        <v>0.2429</v>
      </c>
      <c r="G6" s="13">
        <v>0.2777</v>
      </c>
      <c r="H6" s="13" t="s">
        <v>544</v>
      </c>
      <c r="I6" s="13">
        <v>0.1346</v>
      </c>
      <c r="J6" s="13">
        <v>-4.7999999999999996E-3</v>
      </c>
      <c r="K6" s="13" t="s">
        <v>564</v>
      </c>
      <c r="L6" s="13">
        <v>-0.2429</v>
      </c>
      <c r="M6" s="13">
        <v>-0.2777</v>
      </c>
      <c r="N6" s="13">
        <v>-0.23799999999999999</v>
      </c>
      <c r="O6" s="13">
        <v>-0.1346</v>
      </c>
    </row>
    <row r="7" spans="2:15" ht="16" thickBot="1" x14ac:dyDescent="0.4">
      <c r="C7" s="13" t="s">
        <v>43</v>
      </c>
      <c r="D7" s="13">
        <v>9.7000000000000003E-3</v>
      </c>
      <c r="E7" s="13">
        <v>0.1472</v>
      </c>
      <c r="F7" s="13">
        <v>0.2452</v>
      </c>
      <c r="G7" s="13">
        <v>0.27750000000000002</v>
      </c>
      <c r="H7" s="13">
        <v>0.23549999999999999</v>
      </c>
      <c r="I7" s="13">
        <v>0.13039999999999999</v>
      </c>
      <c r="J7" s="13">
        <v>-9.7000000000000003E-3</v>
      </c>
      <c r="K7" s="13">
        <v>-0.1472</v>
      </c>
      <c r="L7" s="13">
        <v>-0.2452</v>
      </c>
      <c r="M7" s="13">
        <v>-0.27750000000000002</v>
      </c>
      <c r="N7" s="13">
        <v>-0.23549999999999999</v>
      </c>
      <c r="O7" s="13">
        <v>-0.13039999999999999</v>
      </c>
    </row>
    <row r="8" spans="2:15" ht="16" thickBot="1" x14ac:dyDescent="0.4">
      <c r="C8" s="13" t="s">
        <v>44</v>
      </c>
      <c r="D8" s="13">
        <v>1.4500000000000001E-2</v>
      </c>
      <c r="E8" s="13">
        <v>0.1512</v>
      </c>
      <c r="F8" s="13">
        <v>0.24740000000000001</v>
      </c>
      <c r="G8" s="13">
        <v>0.27729999999999999</v>
      </c>
      <c r="H8" s="13">
        <v>0.2329</v>
      </c>
      <c r="I8" s="13">
        <v>0.12609999999999999</v>
      </c>
      <c r="J8" s="13">
        <v>-1.4500000000000001E-2</v>
      </c>
      <c r="K8" s="13">
        <v>-0.1512</v>
      </c>
      <c r="L8" s="13">
        <v>-0.24740000000000001</v>
      </c>
      <c r="M8" s="13">
        <v>-0.27729999999999999</v>
      </c>
      <c r="N8" s="13">
        <v>-0.2329</v>
      </c>
      <c r="O8" s="13">
        <v>-0.12609999999999999</v>
      </c>
    </row>
    <row r="9" spans="2:15" ht="16" thickBot="1" x14ac:dyDescent="0.4">
      <c r="C9" s="13" t="s">
        <v>45</v>
      </c>
      <c r="D9" s="13">
        <v>1.9400000000000001E-2</v>
      </c>
      <c r="E9" s="13">
        <v>0.15529999999999999</v>
      </c>
      <c r="F9" s="13">
        <v>0.24959999999999999</v>
      </c>
      <c r="G9" s="13">
        <v>0.27700000000000002</v>
      </c>
      <c r="H9" s="13">
        <v>0.23019999999999999</v>
      </c>
      <c r="I9" s="13">
        <v>0.1217</v>
      </c>
      <c r="J9" s="13">
        <v>-1.9400000000000001E-2</v>
      </c>
      <c r="K9" s="13">
        <v>-0.15529999999999999</v>
      </c>
      <c r="L9" s="13">
        <v>-0.24959999999999999</v>
      </c>
      <c r="M9" s="13">
        <v>-0.27700000000000002</v>
      </c>
      <c r="N9" s="13">
        <v>-0.23019999999999999</v>
      </c>
      <c r="O9" s="13">
        <v>-0.1217</v>
      </c>
    </row>
    <row r="10" spans="2:15" ht="16" thickBot="1" x14ac:dyDescent="0.4">
      <c r="C10" s="13" t="s">
        <v>47</v>
      </c>
      <c r="D10" s="13">
        <v>2.4199999999999999E-2</v>
      </c>
      <c r="E10" s="13">
        <v>0.1593</v>
      </c>
      <c r="F10" s="13">
        <v>0.25169999999999998</v>
      </c>
      <c r="G10" s="13">
        <v>0.27660000000000001</v>
      </c>
      <c r="H10" s="13">
        <v>0.22750000000000001</v>
      </c>
      <c r="I10" s="13">
        <v>0.1174</v>
      </c>
      <c r="J10" s="13">
        <v>-2.4199999999999999E-2</v>
      </c>
      <c r="K10" s="13">
        <v>-0.1593</v>
      </c>
      <c r="L10" s="13">
        <v>-0.25169999999999998</v>
      </c>
      <c r="M10" s="13">
        <v>-0.27660000000000001</v>
      </c>
      <c r="N10" s="13">
        <v>-0.22750000000000001</v>
      </c>
      <c r="O10" s="13">
        <v>-0.1174</v>
      </c>
    </row>
    <row r="11" spans="2:15" ht="16" thickBot="1" x14ac:dyDescent="0.4">
      <c r="C11" s="13" t="s">
        <v>50</v>
      </c>
      <c r="D11" s="13" t="s">
        <v>260</v>
      </c>
      <c r="E11" s="13">
        <v>0.16320000000000001</v>
      </c>
      <c r="F11" s="13">
        <v>0.25369999999999998</v>
      </c>
      <c r="G11" s="13">
        <v>0.2762</v>
      </c>
      <c r="H11" s="13">
        <v>0.22470000000000001</v>
      </c>
      <c r="I11" s="13">
        <v>0.1129</v>
      </c>
      <c r="J11" s="13" t="s">
        <v>261</v>
      </c>
      <c r="K11" s="13">
        <v>-0.16320000000000001</v>
      </c>
      <c r="L11" s="13">
        <v>-0.25369999999999998</v>
      </c>
      <c r="M11" s="13">
        <v>-0.2762</v>
      </c>
      <c r="N11" s="13">
        <v>-0.22470000000000001</v>
      </c>
      <c r="O11" s="13">
        <v>-0.1129</v>
      </c>
    </row>
    <row r="12" spans="2:15" ht="16" thickBot="1" x14ac:dyDescent="0.4">
      <c r="C12" s="13" t="s">
        <v>53</v>
      </c>
      <c r="D12" s="13">
        <v>3.3799999999999997E-2</v>
      </c>
      <c r="E12" s="13">
        <v>0.1671</v>
      </c>
      <c r="F12" s="13">
        <v>0.25559999999999999</v>
      </c>
      <c r="G12" s="13">
        <v>0.27560000000000001</v>
      </c>
      <c r="H12" s="13">
        <v>0.2218</v>
      </c>
      <c r="I12" s="13">
        <v>0.1085</v>
      </c>
      <c r="J12" s="13">
        <v>-3.3799999999999997E-2</v>
      </c>
      <c r="K12" s="13">
        <v>-0.1671</v>
      </c>
      <c r="L12" s="13">
        <v>-0.25559999999999999</v>
      </c>
      <c r="M12" s="13">
        <v>-0.27560000000000001</v>
      </c>
      <c r="N12" s="13">
        <v>-0.2218</v>
      </c>
      <c r="O12" s="13">
        <v>-0.1085</v>
      </c>
    </row>
    <row r="13" spans="2:15" ht="16" thickBot="1" x14ac:dyDescent="0.4">
      <c r="C13" s="13" t="s">
        <v>56</v>
      </c>
      <c r="D13" s="13">
        <v>3.8600000000000002E-2</v>
      </c>
      <c r="E13" s="13" t="s">
        <v>565</v>
      </c>
      <c r="F13" s="13">
        <v>0.25750000000000001</v>
      </c>
      <c r="G13" s="13" t="s">
        <v>566</v>
      </c>
      <c r="H13" s="13">
        <v>0.21879999999999999</v>
      </c>
      <c r="I13" s="13" t="s">
        <v>567</v>
      </c>
      <c r="J13" s="13">
        <v>-3.8600000000000002E-2</v>
      </c>
      <c r="K13" s="13" t="s">
        <v>568</v>
      </c>
      <c r="L13" s="13">
        <v>-0.25750000000000001</v>
      </c>
      <c r="M13" s="13" t="s">
        <v>569</v>
      </c>
      <c r="N13" s="13">
        <v>-0.21879999999999999</v>
      </c>
      <c r="O13" s="13" t="s">
        <v>570</v>
      </c>
    </row>
    <row r="14" spans="2:15" ht="16" thickBot="1" x14ac:dyDescent="0.4">
      <c r="C14" s="13" t="s">
        <v>59</v>
      </c>
      <c r="D14" s="13">
        <v>4.3400000000000001E-2</v>
      </c>
      <c r="E14" s="13">
        <v>0.17480000000000001</v>
      </c>
      <c r="F14" s="13">
        <v>0.25919999999999999</v>
      </c>
      <c r="G14" s="13">
        <v>0.27429999999999999</v>
      </c>
      <c r="H14" s="13">
        <v>0.21579999999999999</v>
      </c>
      <c r="I14" s="13">
        <v>9.9500000000000005E-2</v>
      </c>
      <c r="J14" s="13">
        <v>-4.3400000000000001E-2</v>
      </c>
      <c r="K14" s="13">
        <v>-0.17480000000000001</v>
      </c>
      <c r="L14" s="13">
        <v>-0.25919999999999999</v>
      </c>
      <c r="M14" s="13">
        <v>-0.27429999999999999</v>
      </c>
      <c r="N14" s="13">
        <v>-0.21579999999999999</v>
      </c>
      <c r="O14" s="13">
        <v>-9.9500000000000005E-2</v>
      </c>
    </row>
    <row r="15" spans="2:15" ht="16" thickBot="1" x14ac:dyDescent="0.4">
      <c r="C15" s="13" t="s">
        <v>62</v>
      </c>
      <c r="D15" s="13">
        <v>4.82E-2</v>
      </c>
      <c r="E15" s="13">
        <v>0.17849999999999999</v>
      </c>
      <c r="F15" s="13">
        <v>0.26090000000000002</v>
      </c>
      <c r="G15" s="13">
        <v>0.27350000000000002</v>
      </c>
      <c r="H15" s="13">
        <v>0.2127</v>
      </c>
      <c r="I15" s="13" t="s">
        <v>571</v>
      </c>
      <c r="J15" s="13">
        <v>-4.82E-2</v>
      </c>
      <c r="K15" s="13">
        <v>-0.17849999999999999</v>
      </c>
      <c r="L15" s="13">
        <v>-0.26090000000000002</v>
      </c>
      <c r="M15" s="13">
        <v>-0.27350000000000002</v>
      </c>
      <c r="N15" s="13">
        <v>-0.2127</v>
      </c>
      <c r="O15" s="13" t="s">
        <v>572</v>
      </c>
    </row>
    <row r="16" spans="2:15" ht="16" thickBot="1" x14ac:dyDescent="0.4">
      <c r="C16" s="13" t="s">
        <v>63</v>
      </c>
      <c r="D16" s="13" t="s">
        <v>266</v>
      </c>
      <c r="E16" s="13">
        <v>0.1822</v>
      </c>
      <c r="F16" s="13">
        <v>0.2626</v>
      </c>
      <c r="G16" s="13">
        <v>0.27260000000000001</v>
      </c>
      <c r="H16" s="13">
        <v>0.20960000000000001</v>
      </c>
      <c r="I16" s="13">
        <v>9.0399999999999994E-2</v>
      </c>
      <c r="J16" s="13" t="s">
        <v>267</v>
      </c>
      <c r="K16" s="13">
        <v>-0.1822</v>
      </c>
      <c r="L16" s="13">
        <v>-0.2626</v>
      </c>
      <c r="M16" s="13">
        <v>-0.27260000000000001</v>
      </c>
      <c r="N16" s="13">
        <v>-0.20960000000000001</v>
      </c>
      <c r="O16" s="13">
        <v>-9.0399999999999994E-2</v>
      </c>
    </row>
    <row r="17" spans="3:15" ht="16" thickBot="1" x14ac:dyDescent="0.4">
      <c r="C17" s="13" t="s">
        <v>64</v>
      </c>
      <c r="D17" s="13">
        <v>5.7700000000000001E-2</v>
      </c>
      <c r="E17" s="13">
        <v>0.18579999999999999</v>
      </c>
      <c r="F17" s="13">
        <v>0.2641</v>
      </c>
      <c r="G17" s="13">
        <v>0.27160000000000001</v>
      </c>
      <c r="H17" s="13">
        <v>0.2064</v>
      </c>
      <c r="I17" s="13">
        <v>8.5800000000000001E-2</v>
      </c>
      <c r="J17" s="13">
        <v>-5.7700000000000001E-2</v>
      </c>
      <c r="K17" s="13">
        <v>-0.18579999999999999</v>
      </c>
      <c r="L17" s="13">
        <v>-0.2641</v>
      </c>
      <c r="M17" s="13">
        <v>-0.27160000000000001</v>
      </c>
      <c r="N17" s="13">
        <v>-0.2064</v>
      </c>
      <c r="O17" s="13">
        <v>-8.5800000000000001E-2</v>
      </c>
    </row>
    <row r="18" spans="3:15" ht="16" thickBot="1" x14ac:dyDescent="0.4">
      <c r="C18" s="13" t="s">
        <v>68</v>
      </c>
      <c r="D18" s="13">
        <v>6.25E-2</v>
      </c>
      <c r="E18" s="13">
        <v>0.18940000000000001</v>
      </c>
      <c r="F18" s="13">
        <v>0.2656</v>
      </c>
      <c r="G18" s="13">
        <v>0.27060000000000001</v>
      </c>
      <c r="H18" s="13">
        <v>0.2031</v>
      </c>
      <c r="I18" s="13">
        <v>8.1199999999999994E-2</v>
      </c>
      <c r="J18" s="13">
        <v>-6.25E-2</v>
      </c>
      <c r="K18" s="13">
        <v>-0.18940000000000001</v>
      </c>
      <c r="L18" s="13">
        <v>-0.2656</v>
      </c>
      <c r="M18" s="13">
        <v>-0.27060000000000001</v>
      </c>
      <c r="N18" s="13">
        <v>-0.2031</v>
      </c>
      <c r="O18" s="13">
        <v>-8.1199999999999994E-2</v>
      </c>
    </row>
    <row r="19" spans="3:15" ht="16" thickBot="1" x14ac:dyDescent="0.4">
      <c r="C19" s="13" t="s">
        <v>71</v>
      </c>
      <c r="D19" s="13">
        <v>6.7199999999999996E-2</v>
      </c>
      <c r="E19" s="13">
        <v>0.19289999999999999</v>
      </c>
      <c r="F19" s="13">
        <v>0.26690000000000003</v>
      </c>
      <c r="G19" s="13">
        <v>0.26939999999999997</v>
      </c>
      <c r="H19" s="13">
        <v>0.19980000000000001</v>
      </c>
      <c r="I19" s="13">
        <v>7.6499999999999999E-2</v>
      </c>
      <c r="J19" s="13">
        <v>-6.7199999999999996E-2</v>
      </c>
      <c r="K19" s="13">
        <v>-0.19289999999999999</v>
      </c>
      <c r="L19" s="13">
        <v>-0.26690000000000003</v>
      </c>
      <c r="M19" s="13">
        <v>-0.26939999999999997</v>
      </c>
      <c r="N19" s="13">
        <v>-0.19980000000000001</v>
      </c>
      <c r="O19" s="13">
        <v>-7.6499999999999999E-2</v>
      </c>
    </row>
    <row r="20" spans="3:15" ht="16" thickBot="1" x14ac:dyDescent="0.4">
      <c r="C20" s="13" t="s">
        <v>72</v>
      </c>
      <c r="D20" s="13">
        <v>7.1900000000000006E-2</v>
      </c>
      <c r="E20" s="13">
        <v>0.19639999999999999</v>
      </c>
      <c r="F20" s="13">
        <v>0.26819999999999999</v>
      </c>
      <c r="G20" s="13">
        <v>0.26819999999999999</v>
      </c>
      <c r="H20" s="13">
        <v>0.19639999999999999</v>
      </c>
      <c r="I20" s="13">
        <v>7.1900000000000006E-2</v>
      </c>
      <c r="J20" s="13">
        <v>-7.1900000000000006E-2</v>
      </c>
      <c r="K20" s="13">
        <v>-0.19639999999999999</v>
      </c>
      <c r="L20" s="13">
        <v>-0.26819999999999999</v>
      </c>
      <c r="M20" s="13">
        <v>-0.26819999999999999</v>
      </c>
      <c r="N20" s="13">
        <v>-0.19639999999999999</v>
      </c>
      <c r="O20" s="13">
        <v>-7.1900000000000006E-2</v>
      </c>
    </row>
    <row r="21" spans="3:15" ht="16" thickBot="1" x14ac:dyDescent="0.4">
      <c r="C21" s="13" t="s">
        <v>73</v>
      </c>
      <c r="D21" s="13">
        <v>7.6499999999999999E-2</v>
      </c>
      <c r="E21" s="13">
        <v>0.19980000000000001</v>
      </c>
      <c r="F21" s="13">
        <v>0.26939999999999997</v>
      </c>
      <c r="G21" s="13">
        <v>0.26690000000000003</v>
      </c>
      <c r="H21" s="13">
        <v>0.19289999999999999</v>
      </c>
      <c r="I21" s="13">
        <v>6.7199999999999996E-2</v>
      </c>
      <c r="J21" s="13">
        <v>-7.6499999999999999E-2</v>
      </c>
      <c r="K21" s="13">
        <v>-0.19980000000000001</v>
      </c>
      <c r="L21" s="13">
        <v>-0.26939999999999997</v>
      </c>
      <c r="M21" s="13">
        <v>-0.26690000000000003</v>
      </c>
      <c r="N21" s="13">
        <v>-0.19289999999999999</v>
      </c>
      <c r="O21" s="13">
        <v>-6.7199999999999996E-2</v>
      </c>
    </row>
    <row r="22" spans="3:15" ht="16" thickBot="1" x14ac:dyDescent="0.4">
      <c r="C22" s="13" t="s">
        <v>74</v>
      </c>
      <c r="D22" s="13">
        <v>8.1199999999999994E-2</v>
      </c>
      <c r="E22" s="13">
        <v>0.2031</v>
      </c>
      <c r="F22" s="13">
        <v>0.27060000000000001</v>
      </c>
      <c r="G22" s="13">
        <v>0.2656</v>
      </c>
      <c r="H22" s="13">
        <v>0.18940000000000001</v>
      </c>
      <c r="I22" s="13">
        <v>6.25E-2</v>
      </c>
      <c r="J22" s="13">
        <v>-8.1199999999999994E-2</v>
      </c>
      <c r="K22" s="13">
        <v>-0.2031</v>
      </c>
      <c r="L22" s="13">
        <v>-0.27060000000000001</v>
      </c>
      <c r="M22" s="13">
        <v>-0.2656</v>
      </c>
      <c r="N22" s="13">
        <v>-0.18940000000000001</v>
      </c>
      <c r="O22" s="13">
        <v>-6.25E-2</v>
      </c>
    </row>
    <row r="23" spans="3:15" ht="16" thickBot="1" x14ac:dyDescent="0.4">
      <c r="C23" s="13" t="s">
        <v>75</v>
      </c>
      <c r="D23" s="13">
        <v>8.5800000000000001E-2</v>
      </c>
      <c r="E23" s="13">
        <v>0.2064</v>
      </c>
      <c r="F23" s="13">
        <v>0.27160000000000001</v>
      </c>
      <c r="G23" s="13">
        <v>0.2641</v>
      </c>
      <c r="H23" s="13">
        <v>0.18579999999999999</v>
      </c>
      <c r="I23" s="13">
        <v>5.7700000000000001E-2</v>
      </c>
      <c r="J23" s="13">
        <v>-8.5800000000000001E-2</v>
      </c>
      <c r="K23" s="13">
        <v>-0.2064</v>
      </c>
      <c r="L23" s="13">
        <v>-0.27160000000000001</v>
      </c>
      <c r="M23" s="13">
        <v>-0.2641</v>
      </c>
      <c r="N23" s="13">
        <v>-0.18579999999999999</v>
      </c>
      <c r="O23" s="13">
        <v>-5.7700000000000001E-2</v>
      </c>
    </row>
    <row r="24" spans="3:15" ht="16" thickBot="1" x14ac:dyDescent="0.4">
      <c r="C24" s="13" t="s">
        <v>77</v>
      </c>
      <c r="D24" s="13">
        <v>9.0399999999999994E-2</v>
      </c>
      <c r="E24" s="13">
        <v>0.20960000000000001</v>
      </c>
      <c r="F24" s="13">
        <v>0.27260000000000001</v>
      </c>
      <c r="G24" s="13">
        <v>0.2626</v>
      </c>
      <c r="H24" s="13">
        <v>0.1822</v>
      </c>
      <c r="I24" s="13" t="s">
        <v>266</v>
      </c>
      <c r="J24" s="13">
        <v>-9.0399999999999994E-2</v>
      </c>
      <c r="K24" s="13">
        <v>-0.20960000000000001</v>
      </c>
      <c r="L24" s="13">
        <v>-0.27260000000000001</v>
      </c>
      <c r="M24" s="13">
        <v>-0.2626</v>
      </c>
      <c r="N24" s="13">
        <v>-0.1822</v>
      </c>
      <c r="O24" s="13" t="s">
        <v>267</v>
      </c>
    </row>
    <row r="25" spans="3:15" ht="16" thickBot="1" x14ac:dyDescent="0.4">
      <c r="C25" s="13" t="s">
        <v>78</v>
      </c>
      <c r="D25" s="13">
        <v>9.5000000000000001E-2</v>
      </c>
      <c r="E25" s="13">
        <v>0.2127</v>
      </c>
      <c r="F25" s="13">
        <v>0.27350000000000002</v>
      </c>
      <c r="G25" s="13">
        <v>0.26090000000000002</v>
      </c>
      <c r="H25" s="13">
        <v>0.17849999999999999</v>
      </c>
      <c r="I25" s="13">
        <v>4.82E-2</v>
      </c>
      <c r="J25" s="13" t="s">
        <v>572</v>
      </c>
      <c r="K25" s="13">
        <v>-0.2127</v>
      </c>
      <c r="L25" s="13">
        <v>-0.27350000000000002</v>
      </c>
      <c r="M25" s="13">
        <v>-0.26090000000000002</v>
      </c>
      <c r="N25" s="13">
        <v>-0.17849999999999999</v>
      </c>
      <c r="O25" s="13">
        <v>-4.82E-2</v>
      </c>
    </row>
    <row r="26" spans="3:15" ht="16" thickBot="1" x14ac:dyDescent="0.4">
      <c r="C26" s="13" t="s">
        <v>79</v>
      </c>
      <c r="D26" s="13">
        <v>9.9500000000000005E-2</v>
      </c>
      <c r="E26" s="13">
        <v>0.21579999999999999</v>
      </c>
      <c r="F26" s="13">
        <v>0.27429999999999999</v>
      </c>
      <c r="G26" s="13">
        <v>0.25919999999999999</v>
      </c>
      <c r="H26" s="13">
        <v>0.17480000000000001</v>
      </c>
      <c r="I26" s="13">
        <v>4.3400000000000001E-2</v>
      </c>
      <c r="J26" s="13">
        <v>-9.9500000000000005E-2</v>
      </c>
      <c r="K26" s="13">
        <v>-0.21579999999999999</v>
      </c>
      <c r="L26" s="13">
        <v>-0.27429999999999999</v>
      </c>
      <c r="M26" s="13">
        <v>-0.25919999999999999</v>
      </c>
      <c r="N26" s="13">
        <v>-0.17480000000000001</v>
      </c>
      <c r="O26" s="13">
        <v>-4.3400000000000001E-2</v>
      </c>
    </row>
    <row r="27" spans="3:15" ht="16" thickBot="1" x14ac:dyDescent="0.4">
      <c r="C27" s="13" t="s">
        <v>80</v>
      </c>
      <c r="D27" s="13" t="s">
        <v>567</v>
      </c>
      <c r="E27" s="13">
        <v>0.21879999999999999</v>
      </c>
      <c r="F27" s="13" t="s">
        <v>566</v>
      </c>
      <c r="G27" s="13">
        <v>0.25750000000000001</v>
      </c>
      <c r="H27" s="13" t="s">
        <v>565</v>
      </c>
      <c r="I27" s="13">
        <v>3.8600000000000002E-2</v>
      </c>
      <c r="J27" s="13" t="s">
        <v>570</v>
      </c>
      <c r="K27" s="13">
        <v>-0.21879999999999999</v>
      </c>
      <c r="L27" s="13" t="s">
        <v>569</v>
      </c>
      <c r="M27" s="13">
        <v>-0.25750000000000001</v>
      </c>
      <c r="N27" s="13" t="s">
        <v>568</v>
      </c>
      <c r="O27" s="13">
        <v>-3.8600000000000002E-2</v>
      </c>
    </row>
    <row r="28" spans="3:15" ht="16" thickBot="1" x14ac:dyDescent="0.4">
      <c r="C28" s="13" t="s">
        <v>81</v>
      </c>
      <c r="D28" s="13">
        <v>0.1085</v>
      </c>
      <c r="E28" s="13">
        <v>0.2218</v>
      </c>
      <c r="F28" s="13">
        <v>0.27560000000000001</v>
      </c>
      <c r="G28" s="13">
        <v>0.25559999999999999</v>
      </c>
      <c r="H28" s="13">
        <v>0.1671</v>
      </c>
      <c r="I28" s="13">
        <v>3.3799999999999997E-2</v>
      </c>
      <c r="J28" s="13">
        <v>-0.1085</v>
      </c>
      <c r="K28" s="13">
        <v>-0.2218</v>
      </c>
      <c r="L28" s="13">
        <v>-0.27560000000000001</v>
      </c>
      <c r="M28" s="13">
        <v>-0.25559999999999999</v>
      </c>
      <c r="N28" s="13">
        <v>-0.1671</v>
      </c>
      <c r="O28" s="13">
        <v>-3.3799999999999997E-2</v>
      </c>
    </row>
    <row r="29" spans="3:15" ht="16" thickBot="1" x14ac:dyDescent="0.4">
      <c r="C29" s="13" t="s">
        <v>82</v>
      </c>
      <c r="D29" s="13">
        <v>0.1129</v>
      </c>
      <c r="E29" s="13">
        <v>0.22470000000000001</v>
      </c>
      <c r="F29" s="13">
        <v>0.2762</v>
      </c>
      <c r="G29" s="13">
        <v>0.25369999999999998</v>
      </c>
      <c r="H29" s="13">
        <v>0.16320000000000001</v>
      </c>
      <c r="I29" s="13" t="s">
        <v>260</v>
      </c>
      <c r="J29" s="13">
        <v>-0.1129</v>
      </c>
      <c r="K29" s="13">
        <v>-0.22470000000000001</v>
      </c>
      <c r="L29" s="13">
        <v>-0.2762</v>
      </c>
      <c r="M29" s="13">
        <v>-0.25369999999999998</v>
      </c>
      <c r="N29" s="13">
        <v>-0.16320000000000001</v>
      </c>
      <c r="O29" s="13" t="s">
        <v>261</v>
      </c>
    </row>
    <row r="30" spans="3:15" ht="16" thickBot="1" x14ac:dyDescent="0.4">
      <c r="C30" s="13" t="s">
        <v>83</v>
      </c>
      <c r="D30" s="13">
        <v>0.1174</v>
      </c>
      <c r="E30" s="13">
        <v>0.22750000000000001</v>
      </c>
      <c r="F30" s="13">
        <v>0.27660000000000001</v>
      </c>
      <c r="G30" s="13">
        <v>0.25169999999999998</v>
      </c>
      <c r="H30" s="13">
        <v>0.1593</v>
      </c>
      <c r="I30" s="13">
        <v>2.4199999999999999E-2</v>
      </c>
      <c r="J30" s="13">
        <v>-0.1174</v>
      </c>
      <c r="K30" s="13">
        <v>-0.22750000000000001</v>
      </c>
      <c r="L30" s="13">
        <v>-0.27660000000000001</v>
      </c>
      <c r="M30" s="13">
        <v>-0.25169999999999998</v>
      </c>
      <c r="N30" s="13">
        <v>-0.1593</v>
      </c>
      <c r="O30" s="13">
        <v>-2.4199999999999999E-2</v>
      </c>
    </row>
    <row r="31" spans="3:15" ht="16" thickBot="1" x14ac:dyDescent="0.4">
      <c r="C31" s="13" t="s">
        <v>84</v>
      </c>
      <c r="D31" s="13">
        <v>0.1217</v>
      </c>
      <c r="E31" s="13">
        <v>0.23019999999999999</v>
      </c>
      <c r="F31" s="13" t="s">
        <v>573</v>
      </c>
      <c r="G31" s="13">
        <v>0.24959999999999999</v>
      </c>
      <c r="H31" s="13">
        <v>0.15529999999999999</v>
      </c>
      <c r="I31" s="13">
        <v>1.9400000000000001E-2</v>
      </c>
      <c r="J31" s="13">
        <v>-0.1217</v>
      </c>
      <c r="K31" s="13">
        <v>-0.23019999999999999</v>
      </c>
      <c r="L31" s="13" t="s">
        <v>574</v>
      </c>
      <c r="M31" s="13">
        <v>-0.24959999999999999</v>
      </c>
      <c r="N31" s="13">
        <v>-0.15529999999999999</v>
      </c>
      <c r="O31" s="13">
        <v>-1.9400000000000001E-2</v>
      </c>
    </row>
    <row r="32" spans="3:15" ht="16" thickBot="1" x14ac:dyDescent="0.4">
      <c r="C32" s="13" t="s">
        <v>86</v>
      </c>
      <c r="D32" s="13">
        <v>0.12609999999999999</v>
      </c>
      <c r="E32" s="13">
        <v>0.2329</v>
      </c>
      <c r="F32" s="13">
        <v>0.27729999999999999</v>
      </c>
      <c r="G32" s="13">
        <v>0.24740000000000001</v>
      </c>
      <c r="H32" s="13">
        <v>0.1512</v>
      </c>
      <c r="I32" s="13">
        <v>1.4500000000000001E-2</v>
      </c>
      <c r="J32" s="13">
        <v>-0.12609999999999999</v>
      </c>
      <c r="K32" s="13">
        <v>-0.2329</v>
      </c>
      <c r="L32" s="13">
        <v>-0.27729999999999999</v>
      </c>
      <c r="M32" s="13">
        <v>-0.24740000000000001</v>
      </c>
      <c r="N32" s="13">
        <v>-0.1512</v>
      </c>
      <c r="O32" s="13">
        <v>-1.4500000000000001E-2</v>
      </c>
    </row>
    <row r="33" spans="3:15" ht="16" thickBot="1" x14ac:dyDescent="0.4">
      <c r="C33" s="13" t="s">
        <v>87</v>
      </c>
      <c r="D33" s="13">
        <v>0.13039999999999999</v>
      </c>
      <c r="E33" s="13">
        <v>0.23549999999999999</v>
      </c>
      <c r="F33" s="13">
        <v>0.27750000000000002</v>
      </c>
      <c r="G33" s="13">
        <v>0.2452</v>
      </c>
      <c r="H33" s="13">
        <v>0.1472</v>
      </c>
      <c r="I33" s="13">
        <v>9.7000000000000003E-3</v>
      </c>
      <c r="J33" s="13">
        <v>-0.13039999999999999</v>
      </c>
      <c r="K33" s="13">
        <v>-0.23549999999999999</v>
      </c>
      <c r="L33" s="13">
        <v>-0.27750000000000002</v>
      </c>
      <c r="M33" s="13">
        <v>-0.2452</v>
      </c>
      <c r="N33" s="13">
        <v>-0.1472</v>
      </c>
      <c r="O33" s="13">
        <v>-9.7000000000000003E-3</v>
      </c>
    </row>
    <row r="34" spans="3:15" ht="16" thickBot="1" x14ac:dyDescent="0.4">
      <c r="C34" s="13" t="s">
        <v>88</v>
      </c>
      <c r="D34" s="13">
        <v>0.1346</v>
      </c>
      <c r="E34" s="13" t="s">
        <v>544</v>
      </c>
      <c r="F34" s="13">
        <v>0.2777</v>
      </c>
      <c r="G34" s="13">
        <v>0.2429</v>
      </c>
      <c r="H34" s="13" t="s">
        <v>563</v>
      </c>
      <c r="I34" s="13">
        <v>4.7999999999999996E-3</v>
      </c>
      <c r="J34" s="13">
        <v>-0.1346</v>
      </c>
      <c r="K34" s="13" t="s">
        <v>545</v>
      </c>
      <c r="L34" s="13">
        <v>-0.2777</v>
      </c>
      <c r="M34" s="13">
        <v>-0.2429</v>
      </c>
      <c r="N34" s="13" t="s">
        <v>564</v>
      </c>
      <c r="O34" s="13">
        <v>-4.7999999999999996E-3</v>
      </c>
    </row>
    <row r="35" spans="3:15" ht="16" thickBot="1" x14ac:dyDescent="0.4">
      <c r="C35" s="13" t="s">
        <v>17</v>
      </c>
      <c r="D35" s="13">
        <v>0.13880000000000001</v>
      </c>
      <c r="E35" s="13">
        <v>0.24049999999999999</v>
      </c>
      <c r="F35" s="13">
        <v>0.2777</v>
      </c>
      <c r="G35" s="13">
        <v>0.24049999999999999</v>
      </c>
      <c r="H35" s="13">
        <v>0.13880000000000001</v>
      </c>
      <c r="I35" s="13" t="s">
        <v>22</v>
      </c>
      <c r="J35" s="13">
        <v>-0.13880000000000001</v>
      </c>
      <c r="K35" s="13">
        <v>-0.24049999999999999</v>
      </c>
      <c r="L35" s="13">
        <v>-0.2777</v>
      </c>
      <c r="M35" s="13">
        <v>-0.24049999999999999</v>
      </c>
      <c r="N35" s="13">
        <v>-0.13880000000000001</v>
      </c>
      <c r="O35" s="13" t="s">
        <v>22</v>
      </c>
    </row>
  </sheetData>
  <mergeCells count="1">
    <mergeCell ref="C3:O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678A-F01F-4E81-90BC-06A05B42EE2E}">
  <dimension ref="B3:N36"/>
  <sheetViews>
    <sheetView workbookViewId="0">
      <selection activeCell="B3" sqref="B3:N36"/>
    </sheetView>
  </sheetViews>
  <sheetFormatPr defaultRowHeight="14.5" x14ac:dyDescent="0.35"/>
  <sheetData>
    <row r="3" spans="2:14" ht="15" thickBot="1" x14ac:dyDescent="0.4"/>
    <row r="4" spans="2:14" ht="15.5" thickBot="1" x14ac:dyDescent="0.4">
      <c r="B4" s="99" t="s">
        <v>575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1"/>
    </row>
    <row r="5" spans="2:14" ht="15.5" thickBot="1" x14ac:dyDescent="0.4">
      <c r="B5" s="45" t="s">
        <v>15</v>
      </c>
      <c r="C5" s="45">
        <v>0</v>
      </c>
      <c r="D5" s="45">
        <v>30</v>
      </c>
      <c r="E5" s="45">
        <v>60</v>
      </c>
      <c r="F5" s="45">
        <v>90</v>
      </c>
      <c r="G5" s="45">
        <v>120</v>
      </c>
      <c r="H5" s="45">
        <v>150</v>
      </c>
      <c r="I5" s="11">
        <v>180</v>
      </c>
      <c r="J5" s="11">
        <v>210</v>
      </c>
      <c r="K5" s="11">
        <v>240</v>
      </c>
      <c r="L5" s="11">
        <v>270</v>
      </c>
      <c r="M5" s="11">
        <v>300</v>
      </c>
      <c r="N5" s="11">
        <v>330</v>
      </c>
    </row>
    <row r="6" spans="2:14" ht="16" thickBot="1" x14ac:dyDescent="0.4">
      <c r="B6" s="43">
        <v>0</v>
      </c>
      <c r="C6" s="43" t="s">
        <v>22</v>
      </c>
      <c r="D6" s="43">
        <v>8.6599999999999996E-2</v>
      </c>
      <c r="E6" s="43" t="s">
        <v>576</v>
      </c>
      <c r="F6" s="43">
        <v>0.17319999999999999</v>
      </c>
      <c r="G6" s="43" t="s">
        <v>576</v>
      </c>
      <c r="H6" s="43">
        <v>8.6599999999999996E-2</v>
      </c>
      <c r="I6" s="13" t="s">
        <v>22</v>
      </c>
      <c r="J6" s="13">
        <v>-8.6599999999999996E-2</v>
      </c>
      <c r="K6" s="13" t="s">
        <v>577</v>
      </c>
      <c r="L6" s="13">
        <v>-0.17319999999999999</v>
      </c>
      <c r="M6" s="13" t="s">
        <v>577</v>
      </c>
      <c r="N6" s="13">
        <v>-8.6599999999999996E-2</v>
      </c>
    </row>
    <row r="7" spans="2:14" ht="16" thickBot="1" x14ac:dyDescent="0.4">
      <c r="B7" s="43">
        <v>1</v>
      </c>
      <c r="C7" s="43" t="s">
        <v>258</v>
      </c>
      <c r="D7" s="43">
        <v>8.9200000000000002E-2</v>
      </c>
      <c r="E7" s="43">
        <v>0.1515</v>
      </c>
      <c r="F7" s="43">
        <v>0.17319999999999999</v>
      </c>
      <c r="G7" s="43">
        <v>0.14849999999999999</v>
      </c>
      <c r="H7" s="43" t="s">
        <v>255</v>
      </c>
      <c r="I7" s="13" t="s">
        <v>259</v>
      </c>
      <c r="J7" s="13">
        <v>-8.9200000000000002E-2</v>
      </c>
      <c r="K7" s="13">
        <v>-0.1515</v>
      </c>
      <c r="L7" s="13">
        <v>-0.17319999999999999</v>
      </c>
      <c r="M7" s="13">
        <v>-0.14849999999999999</v>
      </c>
      <c r="N7" s="13" t="s">
        <v>324</v>
      </c>
    </row>
    <row r="8" spans="2:14" ht="16" thickBot="1" x14ac:dyDescent="0.4">
      <c r="B8" s="43">
        <v>2</v>
      </c>
      <c r="C8" s="43">
        <v>6.0000000000000001E-3</v>
      </c>
      <c r="D8" s="43">
        <v>9.1800000000000007E-2</v>
      </c>
      <c r="E8" s="43" t="s">
        <v>578</v>
      </c>
      <c r="F8" s="43">
        <v>0.1731</v>
      </c>
      <c r="G8" s="43">
        <v>0.1469</v>
      </c>
      <c r="H8" s="43">
        <v>8.1299999999999997E-2</v>
      </c>
      <c r="I8" s="13" t="s">
        <v>58</v>
      </c>
      <c r="J8" s="13">
        <v>-9.1800000000000007E-2</v>
      </c>
      <c r="K8" s="13" t="s">
        <v>579</v>
      </c>
      <c r="L8" s="13">
        <v>-0.1731</v>
      </c>
      <c r="M8" s="13">
        <v>-0.1469</v>
      </c>
      <c r="N8" s="13">
        <v>-8.1299999999999997E-2</v>
      </c>
    </row>
    <row r="9" spans="2:14" ht="16" thickBot="1" x14ac:dyDescent="0.4">
      <c r="B9" s="43">
        <v>3</v>
      </c>
      <c r="C9" s="43">
        <v>9.1000000000000004E-3</v>
      </c>
      <c r="D9" s="43">
        <v>9.4399999999999998E-2</v>
      </c>
      <c r="E9" s="43">
        <v>0.15440000000000001</v>
      </c>
      <c r="F9" s="43">
        <v>0.17299999999999999</v>
      </c>
      <c r="G9" s="43">
        <v>0.14530000000000001</v>
      </c>
      <c r="H9" s="43">
        <v>7.8600000000000003E-2</v>
      </c>
      <c r="I9" s="13">
        <v>-9.1000000000000004E-3</v>
      </c>
      <c r="J9" s="13">
        <v>-9.4399999999999998E-2</v>
      </c>
      <c r="K9" s="13">
        <v>-0.15440000000000001</v>
      </c>
      <c r="L9" s="13" t="s">
        <v>580</v>
      </c>
      <c r="M9" s="13">
        <v>-0.14530000000000001</v>
      </c>
      <c r="N9" s="13">
        <v>-7.8600000000000003E-2</v>
      </c>
    </row>
    <row r="10" spans="2:14" ht="16" thickBot="1" x14ac:dyDescent="0.4">
      <c r="B10" s="43">
        <v>4</v>
      </c>
      <c r="C10" s="43">
        <v>1.21E-2</v>
      </c>
      <c r="D10" s="43">
        <v>9.69E-2</v>
      </c>
      <c r="E10" s="43">
        <v>0.15570000000000001</v>
      </c>
      <c r="F10" s="43">
        <v>0.17280000000000001</v>
      </c>
      <c r="G10" s="43">
        <v>0.14360000000000001</v>
      </c>
      <c r="H10" s="43">
        <v>7.5899999999999995E-2</v>
      </c>
      <c r="I10" s="13">
        <v>-1.21E-2</v>
      </c>
      <c r="J10" s="13">
        <v>-9.69E-2</v>
      </c>
      <c r="K10" s="13">
        <v>-0.15570000000000001</v>
      </c>
      <c r="L10" s="13">
        <v>-0.17280000000000001</v>
      </c>
      <c r="M10" s="13">
        <v>-0.14360000000000001</v>
      </c>
      <c r="N10" s="13">
        <v>-7.5899999999999995E-2</v>
      </c>
    </row>
    <row r="11" spans="2:14" ht="16" thickBot="1" x14ac:dyDescent="0.4">
      <c r="B11" s="43">
        <v>5</v>
      </c>
      <c r="C11" s="43">
        <v>1.5100000000000001E-2</v>
      </c>
      <c r="D11" s="43">
        <v>9.9400000000000002E-2</v>
      </c>
      <c r="E11" s="43" t="s">
        <v>246</v>
      </c>
      <c r="F11" s="43">
        <v>0.1726</v>
      </c>
      <c r="G11" s="43">
        <v>0.1419</v>
      </c>
      <c r="H11" s="43">
        <v>7.3200000000000001E-2</v>
      </c>
      <c r="I11" s="13">
        <v>-1.5100000000000001E-2</v>
      </c>
      <c r="J11" s="13">
        <v>-9.9400000000000002E-2</v>
      </c>
      <c r="K11" s="13" t="s">
        <v>317</v>
      </c>
      <c r="L11" s="13">
        <v>-0.1726</v>
      </c>
      <c r="M11" s="13">
        <v>-0.1419</v>
      </c>
      <c r="N11" s="13">
        <v>-7.3200000000000001E-2</v>
      </c>
    </row>
    <row r="12" spans="2:14" ht="16" thickBot="1" x14ac:dyDescent="0.4">
      <c r="B12" s="43">
        <v>6</v>
      </c>
      <c r="C12" s="43">
        <v>1.8100000000000002E-2</v>
      </c>
      <c r="D12" s="43">
        <v>0.1018</v>
      </c>
      <c r="E12" s="43">
        <v>0.1583</v>
      </c>
      <c r="F12" s="43">
        <v>0.17230000000000001</v>
      </c>
      <c r="G12" s="43">
        <v>0.14019999999999999</v>
      </c>
      <c r="H12" s="43">
        <v>7.0499999999999993E-2</v>
      </c>
      <c r="I12" s="13">
        <v>-1.8100000000000002E-2</v>
      </c>
      <c r="J12" s="13">
        <v>-0.1018</v>
      </c>
      <c r="K12" s="13">
        <v>-0.1583</v>
      </c>
      <c r="L12" s="13">
        <v>-0.17230000000000001</v>
      </c>
      <c r="M12" s="13">
        <v>-0.14019999999999999</v>
      </c>
      <c r="N12" s="13">
        <v>-7.0499999999999993E-2</v>
      </c>
    </row>
    <row r="13" spans="2:14" ht="16" thickBot="1" x14ac:dyDescent="0.4">
      <c r="B13" s="43">
        <v>7</v>
      </c>
      <c r="C13" s="43">
        <v>2.1100000000000001E-2</v>
      </c>
      <c r="D13" s="43">
        <v>0.1043</v>
      </c>
      <c r="E13" s="43">
        <v>0.1595</v>
      </c>
      <c r="F13" s="43">
        <v>0.1719</v>
      </c>
      <c r="G13" s="43">
        <v>0.1384</v>
      </c>
      <c r="H13" s="43">
        <v>6.7699999999999996E-2</v>
      </c>
      <c r="I13" s="13">
        <v>-2.1100000000000001E-2</v>
      </c>
      <c r="J13" s="13">
        <v>-0.1043</v>
      </c>
      <c r="K13" s="13">
        <v>-0.1595</v>
      </c>
      <c r="L13" s="13">
        <v>-0.1719</v>
      </c>
      <c r="M13" s="13">
        <v>-0.1384</v>
      </c>
      <c r="N13" s="13">
        <v>-6.7699999999999996E-2</v>
      </c>
    </row>
    <row r="14" spans="2:14" ht="16" thickBot="1" x14ac:dyDescent="0.4">
      <c r="B14" s="43">
        <v>8</v>
      </c>
      <c r="C14" s="43">
        <v>2.41E-2</v>
      </c>
      <c r="D14" s="43">
        <v>0.1067</v>
      </c>
      <c r="E14" s="43">
        <v>0.16059999999999999</v>
      </c>
      <c r="F14" s="43">
        <v>0.1716</v>
      </c>
      <c r="G14" s="43">
        <v>0.13650000000000001</v>
      </c>
      <c r="H14" s="43">
        <v>6.4899999999999999E-2</v>
      </c>
      <c r="I14" s="13">
        <v>-2.41E-2</v>
      </c>
      <c r="J14" s="13">
        <v>-0.1067</v>
      </c>
      <c r="K14" s="13">
        <v>-0.16059999999999999</v>
      </c>
      <c r="L14" s="13">
        <v>-0.1716</v>
      </c>
      <c r="M14" s="13">
        <v>-0.13650000000000001</v>
      </c>
      <c r="N14" s="13">
        <v>-6.4899999999999999E-2</v>
      </c>
    </row>
    <row r="15" spans="2:14" ht="16" thickBot="1" x14ac:dyDescent="0.4">
      <c r="B15" s="43">
        <v>9</v>
      </c>
      <c r="C15" s="43">
        <v>2.7099999999999999E-2</v>
      </c>
      <c r="D15" s="43" t="s">
        <v>581</v>
      </c>
      <c r="E15" s="43">
        <v>0.16170000000000001</v>
      </c>
      <c r="F15" s="43">
        <v>0.1711</v>
      </c>
      <c r="G15" s="43">
        <v>0.1346</v>
      </c>
      <c r="H15" s="43">
        <v>6.2100000000000002E-2</v>
      </c>
      <c r="I15" s="13">
        <v>-2.7099999999999999E-2</v>
      </c>
      <c r="J15" s="13" t="s">
        <v>582</v>
      </c>
      <c r="K15" s="13">
        <v>-0.16170000000000001</v>
      </c>
      <c r="L15" s="13">
        <v>-0.1711</v>
      </c>
      <c r="M15" s="13">
        <v>-0.1346</v>
      </c>
      <c r="N15" s="13">
        <v>-6.2100000000000002E-2</v>
      </c>
    </row>
    <row r="16" spans="2:14" ht="16" thickBot="1" x14ac:dyDescent="0.4">
      <c r="B16" s="43">
        <v>10</v>
      </c>
      <c r="C16" s="43">
        <v>3.0099999999999998E-2</v>
      </c>
      <c r="D16" s="43">
        <v>0.1114</v>
      </c>
      <c r="E16" s="43">
        <v>0.1628</v>
      </c>
      <c r="F16" s="43">
        <v>0.1706</v>
      </c>
      <c r="G16" s="43">
        <v>0.13270000000000001</v>
      </c>
      <c r="H16" s="43">
        <v>5.9299999999999999E-2</v>
      </c>
      <c r="I16" s="13">
        <v>-3.0099999999999998E-2</v>
      </c>
      <c r="J16" s="13">
        <v>-0.1114</v>
      </c>
      <c r="K16" s="13">
        <v>-0.1628</v>
      </c>
      <c r="L16" s="13">
        <v>-0.1706</v>
      </c>
      <c r="M16" s="13">
        <v>-0.13270000000000001</v>
      </c>
      <c r="N16" s="13">
        <v>-5.9299999999999999E-2</v>
      </c>
    </row>
    <row r="17" spans="2:14" ht="16" thickBot="1" x14ac:dyDescent="0.4">
      <c r="B17" s="43">
        <v>11</v>
      </c>
      <c r="C17" s="43">
        <v>3.3099999999999997E-2</v>
      </c>
      <c r="D17" s="43">
        <v>0.1137</v>
      </c>
      <c r="E17" s="43">
        <v>0.1638</v>
      </c>
      <c r="F17" s="43">
        <v>0.1701</v>
      </c>
      <c r="G17" s="43">
        <v>0.13070000000000001</v>
      </c>
      <c r="H17" s="43">
        <v>5.6399999999999999E-2</v>
      </c>
      <c r="I17" s="13">
        <v>-3.3099999999999997E-2</v>
      </c>
      <c r="J17" s="13">
        <v>-0.1137</v>
      </c>
      <c r="K17" s="13">
        <v>-0.1638</v>
      </c>
      <c r="L17" s="13">
        <v>-0.1701</v>
      </c>
      <c r="M17" s="13">
        <v>-0.13070000000000001</v>
      </c>
      <c r="N17" s="13">
        <v>-5.6399999999999999E-2</v>
      </c>
    </row>
    <row r="18" spans="2:14" ht="16" thickBot="1" x14ac:dyDescent="0.4">
      <c r="B18" s="43">
        <v>12</v>
      </c>
      <c r="C18" s="43" t="s">
        <v>583</v>
      </c>
      <c r="D18" s="43">
        <v>0.1159</v>
      </c>
      <c r="E18" s="43">
        <v>0.1648</v>
      </c>
      <c r="F18" s="43">
        <v>0.16950000000000001</v>
      </c>
      <c r="G18" s="43">
        <v>0.12870000000000001</v>
      </c>
      <c r="H18" s="43">
        <v>5.3499999999999999E-2</v>
      </c>
      <c r="I18" s="13" t="s">
        <v>584</v>
      </c>
      <c r="J18" s="13">
        <v>-0.1159</v>
      </c>
      <c r="K18" s="13">
        <v>-0.1648</v>
      </c>
      <c r="L18" s="13">
        <v>-0.16950000000000001</v>
      </c>
      <c r="M18" s="13">
        <v>-0.12870000000000001</v>
      </c>
      <c r="N18" s="13">
        <v>-5.3499999999999999E-2</v>
      </c>
    </row>
    <row r="19" spans="2:14" ht="16" thickBot="1" x14ac:dyDescent="0.4">
      <c r="B19" s="43">
        <v>13</v>
      </c>
      <c r="C19" s="43" t="s">
        <v>308</v>
      </c>
      <c r="D19" s="43">
        <v>0.1181</v>
      </c>
      <c r="E19" s="43">
        <v>0.16569999999999999</v>
      </c>
      <c r="F19" s="43">
        <v>0.16880000000000001</v>
      </c>
      <c r="G19" s="43">
        <v>0.12670000000000001</v>
      </c>
      <c r="H19" s="43">
        <v>5.0599999999999999E-2</v>
      </c>
      <c r="I19" s="13" t="s">
        <v>311</v>
      </c>
      <c r="J19" s="13">
        <v>-0.1181</v>
      </c>
      <c r="K19" s="13">
        <v>-0.16569999999999999</v>
      </c>
      <c r="L19" s="13">
        <v>-0.16880000000000001</v>
      </c>
      <c r="M19" s="13">
        <v>-0.12670000000000001</v>
      </c>
      <c r="N19" s="13">
        <v>-5.0599999999999999E-2</v>
      </c>
    </row>
    <row r="20" spans="2:14" ht="16" thickBot="1" x14ac:dyDescent="0.4">
      <c r="B20" s="43">
        <v>14</v>
      </c>
      <c r="C20" s="43">
        <v>4.19E-2</v>
      </c>
      <c r="D20" s="43">
        <v>0.1203</v>
      </c>
      <c r="E20" s="43">
        <v>0.16650000000000001</v>
      </c>
      <c r="F20" s="43">
        <v>0.1681</v>
      </c>
      <c r="G20" s="43">
        <v>0.1246</v>
      </c>
      <c r="H20" s="43">
        <v>4.7800000000000002E-2</v>
      </c>
      <c r="I20" s="13">
        <v>-4.19E-2</v>
      </c>
      <c r="J20" s="13">
        <v>-0.1203</v>
      </c>
      <c r="K20" s="13">
        <v>-0.16650000000000001</v>
      </c>
      <c r="L20" s="13">
        <v>-0.1681</v>
      </c>
      <c r="M20" s="13">
        <v>-0.1246</v>
      </c>
      <c r="N20" s="13">
        <v>-4.7800000000000002E-2</v>
      </c>
    </row>
    <row r="21" spans="2:14" ht="16" thickBot="1" x14ac:dyDescent="0.4">
      <c r="B21" s="43">
        <v>15</v>
      </c>
      <c r="C21" s="43">
        <v>4.48E-2</v>
      </c>
      <c r="D21" s="43">
        <v>0.1225</v>
      </c>
      <c r="E21" s="43">
        <v>0.1673</v>
      </c>
      <c r="F21" s="43">
        <v>0.1673</v>
      </c>
      <c r="G21" s="43">
        <v>0.1225</v>
      </c>
      <c r="H21" s="43">
        <v>4.48E-2</v>
      </c>
      <c r="I21" s="13">
        <v>-4.48E-2</v>
      </c>
      <c r="J21" s="13">
        <v>-0.1225</v>
      </c>
      <c r="K21" s="13">
        <v>-0.1673</v>
      </c>
      <c r="L21" s="13">
        <v>-0.1673</v>
      </c>
      <c r="M21" s="13">
        <v>-0.1225</v>
      </c>
      <c r="N21" s="13">
        <v>-4.48E-2</v>
      </c>
    </row>
    <row r="22" spans="2:14" ht="16" thickBot="1" x14ac:dyDescent="0.4">
      <c r="B22" s="43">
        <v>16</v>
      </c>
      <c r="C22" s="43">
        <v>4.7800000000000002E-2</v>
      </c>
      <c r="D22" s="43">
        <v>0.1246</v>
      </c>
      <c r="E22" s="43">
        <v>0.1681</v>
      </c>
      <c r="F22" s="43">
        <v>0.16650000000000001</v>
      </c>
      <c r="G22" s="43">
        <v>0.1203</v>
      </c>
      <c r="H22" s="43">
        <v>4.19E-2</v>
      </c>
      <c r="I22" s="13">
        <v>-4.7800000000000002E-2</v>
      </c>
      <c r="J22" s="13">
        <v>-0.1246</v>
      </c>
      <c r="K22" s="13">
        <v>-0.1681</v>
      </c>
      <c r="L22" s="13">
        <v>-0.16650000000000001</v>
      </c>
      <c r="M22" s="13">
        <v>-0.1203</v>
      </c>
      <c r="N22" s="13">
        <v>-4.19E-2</v>
      </c>
    </row>
    <row r="23" spans="2:14" ht="16" thickBot="1" x14ac:dyDescent="0.4">
      <c r="B23" s="43">
        <v>17</v>
      </c>
      <c r="C23" s="43">
        <v>5.0599999999999999E-2</v>
      </c>
      <c r="D23" s="43">
        <v>0.12670000000000001</v>
      </c>
      <c r="E23" s="43">
        <v>0.16880000000000001</v>
      </c>
      <c r="F23" s="43">
        <v>0.16569999999999999</v>
      </c>
      <c r="G23" s="43">
        <v>0.1181</v>
      </c>
      <c r="H23" s="43" t="s">
        <v>308</v>
      </c>
      <c r="I23" s="13">
        <v>-5.0599999999999999E-2</v>
      </c>
      <c r="J23" s="13">
        <v>-0.12670000000000001</v>
      </c>
      <c r="K23" s="13">
        <v>-0.16880000000000001</v>
      </c>
      <c r="L23" s="13">
        <v>-0.16569999999999999</v>
      </c>
      <c r="M23" s="13">
        <v>-0.1181</v>
      </c>
      <c r="N23" s="13" t="s">
        <v>311</v>
      </c>
    </row>
    <row r="24" spans="2:14" ht="16" thickBot="1" x14ac:dyDescent="0.4">
      <c r="B24" s="43">
        <v>18</v>
      </c>
      <c r="C24" s="43">
        <v>5.3499999999999999E-2</v>
      </c>
      <c r="D24" s="43">
        <v>0.12870000000000001</v>
      </c>
      <c r="E24" s="43">
        <v>0.16950000000000001</v>
      </c>
      <c r="F24" s="43">
        <v>0.1648</v>
      </c>
      <c r="G24" s="43">
        <v>0.1159</v>
      </c>
      <c r="H24" s="43" t="s">
        <v>583</v>
      </c>
      <c r="I24" s="13">
        <v>-5.3499999999999999E-2</v>
      </c>
      <c r="J24" s="13">
        <v>-0.12870000000000001</v>
      </c>
      <c r="K24" s="13">
        <v>-0.16950000000000001</v>
      </c>
      <c r="L24" s="13">
        <v>-0.1648</v>
      </c>
      <c r="M24" s="13">
        <v>-0.1159</v>
      </c>
      <c r="N24" s="13" t="s">
        <v>584</v>
      </c>
    </row>
    <row r="25" spans="2:14" ht="16" thickBot="1" x14ac:dyDescent="0.4">
      <c r="B25" s="43">
        <v>19</v>
      </c>
      <c r="C25" s="43">
        <v>5.6399999999999999E-2</v>
      </c>
      <c r="D25" s="43">
        <v>0.13070000000000001</v>
      </c>
      <c r="E25" s="43">
        <v>0.1701</v>
      </c>
      <c r="F25" s="43">
        <v>0.1638</v>
      </c>
      <c r="G25" s="43">
        <v>0.1137</v>
      </c>
      <c r="H25" s="43">
        <v>3.3099999999999997E-2</v>
      </c>
      <c r="I25" s="13">
        <v>-5.6399999999999999E-2</v>
      </c>
      <c r="J25" s="13">
        <v>-0.13070000000000001</v>
      </c>
      <c r="K25" s="13">
        <v>-0.1701</v>
      </c>
      <c r="L25" s="13">
        <v>-0.1638</v>
      </c>
      <c r="M25" s="13">
        <v>-0.1137</v>
      </c>
      <c r="N25" s="13">
        <v>-3.3099999999999997E-2</v>
      </c>
    </row>
    <row r="26" spans="2:14" ht="16" thickBot="1" x14ac:dyDescent="0.4">
      <c r="B26" s="43">
        <v>20</v>
      </c>
      <c r="C26" s="43">
        <v>5.9299999999999999E-2</v>
      </c>
      <c r="D26" s="43">
        <v>0.13270000000000001</v>
      </c>
      <c r="E26" s="43">
        <v>0.1706</v>
      </c>
      <c r="F26" s="43">
        <v>0.1628</v>
      </c>
      <c r="G26" s="43">
        <v>0.1114</v>
      </c>
      <c r="H26" s="43">
        <v>3.0099999999999998E-2</v>
      </c>
      <c r="I26" s="13">
        <v>-5.9299999999999999E-2</v>
      </c>
      <c r="J26" s="13">
        <v>-0.13270000000000001</v>
      </c>
      <c r="K26" s="13">
        <v>-0.1706</v>
      </c>
      <c r="L26" s="13">
        <v>-0.1628</v>
      </c>
      <c r="M26" s="13">
        <v>-0.1114</v>
      </c>
      <c r="N26" s="13">
        <v>-3.0099999999999998E-2</v>
      </c>
    </row>
    <row r="27" spans="2:14" ht="16" thickBot="1" x14ac:dyDescent="0.4">
      <c r="B27" s="43">
        <v>21</v>
      </c>
      <c r="C27" s="43">
        <v>6.2100000000000002E-2</v>
      </c>
      <c r="D27" s="43">
        <v>0.1346</v>
      </c>
      <c r="E27" s="43">
        <v>0.1711</v>
      </c>
      <c r="F27" s="43">
        <v>0.16170000000000001</v>
      </c>
      <c r="G27" s="43" t="s">
        <v>581</v>
      </c>
      <c r="H27" s="43">
        <v>2.7099999999999999E-2</v>
      </c>
      <c r="I27" s="13">
        <v>-6.2100000000000002E-2</v>
      </c>
      <c r="J27" s="13">
        <v>-0.1346</v>
      </c>
      <c r="K27" s="13">
        <v>-0.1711</v>
      </c>
      <c r="L27" s="13">
        <v>-0.16170000000000001</v>
      </c>
      <c r="M27" s="13" t="s">
        <v>582</v>
      </c>
      <c r="N27" s="13">
        <v>-2.7099999999999999E-2</v>
      </c>
    </row>
    <row r="28" spans="2:14" ht="16" thickBot="1" x14ac:dyDescent="0.4">
      <c r="B28" s="43">
        <v>22</v>
      </c>
      <c r="C28" s="43">
        <v>6.4899999999999999E-2</v>
      </c>
      <c r="D28" s="43">
        <v>0.13650000000000001</v>
      </c>
      <c r="E28" s="43">
        <v>0.1716</v>
      </c>
      <c r="F28" s="43">
        <v>0.16059999999999999</v>
      </c>
      <c r="G28" s="43">
        <v>0.1067</v>
      </c>
      <c r="H28" s="43">
        <v>2.41E-2</v>
      </c>
      <c r="I28" s="13">
        <v>-6.4899999999999999E-2</v>
      </c>
      <c r="J28" s="13">
        <v>-0.13650000000000001</v>
      </c>
      <c r="K28" s="13">
        <v>-0.1716</v>
      </c>
      <c r="L28" s="13">
        <v>-0.16059999999999999</v>
      </c>
      <c r="M28" s="13">
        <v>-0.1067</v>
      </c>
      <c r="N28" s="13">
        <v>-2.41E-2</v>
      </c>
    </row>
    <row r="29" spans="2:14" ht="16" thickBot="1" x14ac:dyDescent="0.4">
      <c r="B29" s="43">
        <v>23</v>
      </c>
      <c r="C29" s="43">
        <v>6.7699999999999996E-2</v>
      </c>
      <c r="D29" s="43">
        <v>0.1384</v>
      </c>
      <c r="E29" s="43">
        <v>0.1719</v>
      </c>
      <c r="F29" s="43">
        <v>0.1595</v>
      </c>
      <c r="G29" s="43">
        <v>0.1043</v>
      </c>
      <c r="H29" s="43">
        <v>2.1100000000000001E-2</v>
      </c>
      <c r="I29" s="13">
        <v>-6.7699999999999996E-2</v>
      </c>
      <c r="J29" s="13">
        <v>-0.1384</v>
      </c>
      <c r="K29" s="13">
        <v>-0.1719</v>
      </c>
      <c r="L29" s="13">
        <v>-0.1595</v>
      </c>
      <c r="M29" s="13">
        <v>-0.1043</v>
      </c>
      <c r="N29" s="13">
        <v>-2.1100000000000001E-2</v>
      </c>
    </row>
    <row r="30" spans="2:14" ht="16" thickBot="1" x14ac:dyDescent="0.4">
      <c r="B30" s="43">
        <v>24</v>
      </c>
      <c r="C30" s="43">
        <v>7.0499999999999993E-2</v>
      </c>
      <c r="D30" s="43">
        <v>0.14019999999999999</v>
      </c>
      <c r="E30" s="43">
        <v>0.17230000000000001</v>
      </c>
      <c r="F30" s="43">
        <v>0.1583</v>
      </c>
      <c r="G30" s="43">
        <v>0.1018</v>
      </c>
      <c r="H30" s="43">
        <v>1.8100000000000002E-2</v>
      </c>
      <c r="I30" s="13">
        <v>-7.0499999999999993E-2</v>
      </c>
      <c r="J30" s="13">
        <v>-0.14019999999999999</v>
      </c>
      <c r="K30" s="13">
        <v>-0.17230000000000001</v>
      </c>
      <c r="L30" s="13">
        <v>-0.1583</v>
      </c>
      <c r="M30" s="13">
        <v>-0.1018</v>
      </c>
      <c r="N30" s="13">
        <v>-1.8100000000000002E-2</v>
      </c>
    </row>
    <row r="31" spans="2:14" ht="16" thickBot="1" x14ac:dyDescent="0.4">
      <c r="B31" s="43">
        <v>25</v>
      </c>
      <c r="C31" s="43">
        <v>7.3200000000000001E-2</v>
      </c>
      <c r="D31" s="43">
        <v>0.1419</v>
      </c>
      <c r="E31" s="43">
        <v>0.1726</v>
      </c>
      <c r="F31" s="43" t="s">
        <v>246</v>
      </c>
      <c r="G31" s="43">
        <v>9.9400000000000002E-2</v>
      </c>
      <c r="H31" s="43">
        <v>1.5100000000000001E-2</v>
      </c>
      <c r="I31" s="13">
        <v>-7.3200000000000001E-2</v>
      </c>
      <c r="J31" s="13">
        <v>-0.1419</v>
      </c>
      <c r="K31" s="13">
        <v>-0.1726</v>
      </c>
      <c r="L31" s="13" t="s">
        <v>317</v>
      </c>
      <c r="M31" s="13">
        <v>-9.9400000000000002E-2</v>
      </c>
      <c r="N31" s="13">
        <v>-1.5100000000000001E-2</v>
      </c>
    </row>
    <row r="32" spans="2:14" ht="16" thickBot="1" x14ac:dyDescent="0.4">
      <c r="B32" s="43">
        <v>26</v>
      </c>
      <c r="C32" s="43">
        <v>7.5899999999999995E-2</v>
      </c>
      <c r="D32" s="43">
        <v>0.14360000000000001</v>
      </c>
      <c r="E32" s="43">
        <v>0.17280000000000001</v>
      </c>
      <c r="F32" s="43">
        <v>0.15570000000000001</v>
      </c>
      <c r="G32" s="43">
        <v>9.69E-2</v>
      </c>
      <c r="H32" s="43">
        <v>1.21E-2</v>
      </c>
      <c r="I32" s="13">
        <v>-7.5899999999999995E-2</v>
      </c>
      <c r="J32" s="13">
        <v>-0.14360000000000001</v>
      </c>
      <c r="K32" s="13">
        <v>-0.17280000000000001</v>
      </c>
      <c r="L32" s="13">
        <v>-0.15570000000000001</v>
      </c>
      <c r="M32" s="13">
        <v>-9.69E-2</v>
      </c>
      <c r="N32" s="13">
        <v>-1.21E-2</v>
      </c>
    </row>
    <row r="33" spans="2:14" ht="16" thickBot="1" x14ac:dyDescent="0.4">
      <c r="B33" s="43">
        <v>27</v>
      </c>
      <c r="C33" s="43">
        <v>7.8600000000000003E-2</v>
      </c>
      <c r="D33" s="43">
        <v>0.14530000000000001</v>
      </c>
      <c r="E33" s="43" t="s">
        <v>585</v>
      </c>
      <c r="F33" s="43">
        <v>0.15440000000000001</v>
      </c>
      <c r="G33" s="43">
        <v>9.4399999999999998E-2</v>
      </c>
      <c r="H33" s="43">
        <v>9.1000000000000004E-3</v>
      </c>
      <c r="I33" s="13">
        <v>-7.8600000000000003E-2</v>
      </c>
      <c r="J33" s="13">
        <v>-0.14530000000000001</v>
      </c>
      <c r="K33" s="13">
        <v>-0.17299999999999999</v>
      </c>
      <c r="L33" s="13">
        <v>-0.15440000000000001</v>
      </c>
      <c r="M33" s="13">
        <v>-9.4399999999999998E-2</v>
      </c>
      <c r="N33" s="13">
        <v>-9.1000000000000004E-3</v>
      </c>
    </row>
    <row r="34" spans="2:14" ht="16" thickBot="1" x14ac:dyDescent="0.4">
      <c r="B34" s="43">
        <v>28</v>
      </c>
      <c r="C34" s="43">
        <v>8.1299999999999997E-2</v>
      </c>
      <c r="D34" s="43">
        <v>0.1469</v>
      </c>
      <c r="E34" s="43">
        <v>0.1731</v>
      </c>
      <c r="F34" s="43" t="s">
        <v>578</v>
      </c>
      <c r="G34" s="43">
        <v>9.1800000000000007E-2</v>
      </c>
      <c r="H34" s="43" t="s">
        <v>57</v>
      </c>
      <c r="I34" s="13">
        <v>-8.1299999999999997E-2</v>
      </c>
      <c r="J34" s="13">
        <v>-0.1469</v>
      </c>
      <c r="K34" s="13">
        <v>-0.1731</v>
      </c>
      <c r="L34" s="13" t="s">
        <v>579</v>
      </c>
      <c r="M34" s="13">
        <v>-9.1800000000000007E-2</v>
      </c>
      <c r="N34" s="13" t="s">
        <v>58</v>
      </c>
    </row>
    <row r="35" spans="2:14" ht="16" thickBot="1" x14ac:dyDescent="0.4">
      <c r="B35" s="43">
        <v>29</v>
      </c>
      <c r="C35" s="43" t="s">
        <v>255</v>
      </c>
      <c r="D35" s="43">
        <v>0.14849999999999999</v>
      </c>
      <c r="E35" s="43">
        <v>0.17319999999999999</v>
      </c>
      <c r="F35" s="43">
        <v>0.1515</v>
      </c>
      <c r="G35" s="43">
        <v>8.9200000000000002E-2</v>
      </c>
      <c r="H35" s="43" t="s">
        <v>258</v>
      </c>
      <c r="I35" s="13" t="s">
        <v>324</v>
      </c>
      <c r="J35" s="13">
        <v>-0.14849999999999999</v>
      </c>
      <c r="K35" s="13">
        <v>-0.17319999999999999</v>
      </c>
      <c r="L35" s="13">
        <v>-0.1515</v>
      </c>
      <c r="M35" s="13">
        <v>-8.9200000000000002E-2</v>
      </c>
      <c r="N35" s="13" t="s">
        <v>259</v>
      </c>
    </row>
    <row r="36" spans="2:14" ht="16" thickBot="1" x14ac:dyDescent="0.4">
      <c r="B36" s="43">
        <v>30</v>
      </c>
      <c r="C36" s="43">
        <v>8.6599999999999996E-2</v>
      </c>
      <c r="D36" s="43" t="s">
        <v>576</v>
      </c>
      <c r="E36" s="43">
        <v>0.17319999999999999</v>
      </c>
      <c r="F36" s="43" t="s">
        <v>576</v>
      </c>
      <c r="G36" s="43">
        <v>8.6599999999999996E-2</v>
      </c>
      <c r="H36" s="43" t="s">
        <v>22</v>
      </c>
      <c r="I36" s="13">
        <v>-8.6599999999999996E-2</v>
      </c>
      <c r="J36" s="13" t="s">
        <v>577</v>
      </c>
      <c r="K36" s="13">
        <v>-0.17319999999999999</v>
      </c>
      <c r="L36" s="13" t="s">
        <v>577</v>
      </c>
      <c r="M36" s="13">
        <v>-8.6599999999999996E-2</v>
      </c>
      <c r="N36" s="13" t="s">
        <v>22</v>
      </c>
    </row>
  </sheetData>
  <mergeCells count="1">
    <mergeCell ref="B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5832-9AB3-477A-B230-37D7C819CA12}">
  <dimension ref="C2:O35"/>
  <sheetViews>
    <sheetView zoomScale="59" zoomScaleNormal="59" workbookViewId="0">
      <selection activeCell="U10" sqref="U10"/>
    </sheetView>
  </sheetViews>
  <sheetFormatPr defaultRowHeight="14.5" x14ac:dyDescent="0.35"/>
  <sheetData>
    <row r="2" spans="3:15" ht="15" thickBot="1" x14ac:dyDescent="0.4"/>
    <row r="3" spans="3:15" ht="16" thickBot="1" x14ac:dyDescent="0.4">
      <c r="C3" s="56" t="s">
        <v>12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3:15" ht="16" thickBot="1" x14ac:dyDescent="0.4">
      <c r="C4" s="2" t="s">
        <v>0</v>
      </c>
      <c r="D4" s="7">
        <v>0</v>
      </c>
      <c r="E4" s="7">
        <v>30</v>
      </c>
      <c r="F4" s="7">
        <v>60</v>
      </c>
      <c r="G4" s="7">
        <v>90</v>
      </c>
      <c r="H4" s="7">
        <v>120</v>
      </c>
      <c r="I4" s="7">
        <v>150</v>
      </c>
      <c r="J4" s="6">
        <v>180</v>
      </c>
      <c r="K4" s="6">
        <v>210</v>
      </c>
      <c r="L4" s="6">
        <v>240</v>
      </c>
      <c r="M4" s="6">
        <v>270</v>
      </c>
      <c r="N4" s="6">
        <v>300</v>
      </c>
      <c r="O4" s="6">
        <v>330</v>
      </c>
    </row>
    <row r="5" spans="3:15" ht="16" thickBot="1" x14ac:dyDescent="0.4">
      <c r="C5" s="2">
        <v>0</v>
      </c>
      <c r="D5" s="8">
        <v>0</v>
      </c>
      <c r="E5" s="8">
        <v>8.6699999999999999E-2</v>
      </c>
      <c r="F5" s="8">
        <v>0.1502</v>
      </c>
      <c r="G5" s="8">
        <v>0.1734</v>
      </c>
      <c r="H5" s="8">
        <v>0.1502</v>
      </c>
      <c r="I5" s="8">
        <v>8.6699999999999999E-2</v>
      </c>
      <c r="J5" s="9">
        <v>0</v>
      </c>
      <c r="K5" s="9">
        <v>-8.6699999999999999E-2</v>
      </c>
      <c r="L5" s="9">
        <v>-0.1502</v>
      </c>
      <c r="M5" s="9">
        <v>-0.1734</v>
      </c>
      <c r="N5" s="9">
        <v>-0.1502</v>
      </c>
      <c r="O5" s="9">
        <v>-8.6699999999999999E-2</v>
      </c>
    </row>
    <row r="6" spans="3:15" ht="16" thickBot="1" x14ac:dyDescent="0.4">
      <c r="C6" s="2">
        <v>1</v>
      </c>
      <c r="D6" s="8">
        <v>3.0000000000000001E-3</v>
      </c>
      <c r="E6" s="8">
        <v>8.9300000000000004E-2</v>
      </c>
      <c r="F6" s="8">
        <v>0.1517</v>
      </c>
      <c r="G6" s="8">
        <v>0.1734</v>
      </c>
      <c r="H6" s="8">
        <v>0.14860000000000001</v>
      </c>
      <c r="I6" s="8">
        <v>8.4099999999999994E-2</v>
      </c>
      <c r="J6" s="9">
        <v>-3.0000000000000001E-3</v>
      </c>
      <c r="K6" s="9">
        <v>-8.9300000000000004E-2</v>
      </c>
      <c r="L6" s="9">
        <v>-0.1517</v>
      </c>
      <c r="M6" s="9">
        <v>-0.1734</v>
      </c>
      <c r="N6" s="9">
        <v>-0.14860000000000001</v>
      </c>
      <c r="O6" s="9">
        <v>-8.4099999999999994E-2</v>
      </c>
    </row>
    <row r="7" spans="3:15" ht="16" thickBot="1" x14ac:dyDescent="0.4">
      <c r="C7" s="2">
        <v>2</v>
      </c>
      <c r="D7" s="8">
        <v>6.1000000000000004E-3</v>
      </c>
      <c r="E7" s="8">
        <v>9.1899999999999996E-2</v>
      </c>
      <c r="F7" s="8">
        <v>0.15310000000000001</v>
      </c>
      <c r="G7" s="8">
        <v>0.17330000000000001</v>
      </c>
      <c r="H7" s="8">
        <v>0.14710000000000001</v>
      </c>
      <c r="I7" s="8">
        <v>8.14E-2</v>
      </c>
      <c r="J7" s="9">
        <v>-6.1000000000000004E-3</v>
      </c>
      <c r="K7" s="9">
        <v>-9.1899999999999996E-2</v>
      </c>
      <c r="L7" s="9">
        <v>-0.15310000000000001</v>
      </c>
      <c r="M7" s="9">
        <v>-0.17330000000000001</v>
      </c>
      <c r="N7" s="9">
        <v>-0.14710000000000001</v>
      </c>
      <c r="O7" s="9">
        <v>-8.14E-2</v>
      </c>
    </row>
    <row r="8" spans="3:15" ht="16" thickBot="1" x14ac:dyDescent="0.4">
      <c r="C8" s="2">
        <v>3</v>
      </c>
      <c r="D8" s="8">
        <v>9.1000000000000004E-3</v>
      </c>
      <c r="E8" s="8">
        <v>9.4399999999999998E-2</v>
      </c>
      <c r="F8" s="8">
        <v>0.1545</v>
      </c>
      <c r="G8" s="8">
        <v>0.17319999999999999</v>
      </c>
      <c r="H8" s="8">
        <v>0.1454</v>
      </c>
      <c r="I8" s="8">
        <v>7.8700000000000006E-2</v>
      </c>
      <c r="J8" s="9">
        <v>-9.1000000000000004E-3</v>
      </c>
      <c r="K8" s="9">
        <v>-9.4399999999999998E-2</v>
      </c>
      <c r="L8" s="9">
        <v>-0.1545</v>
      </c>
      <c r="M8" s="9">
        <v>-0.17319999999999999</v>
      </c>
      <c r="N8" s="9">
        <v>-0.1454</v>
      </c>
      <c r="O8" s="9">
        <v>-7.8700000000000006E-2</v>
      </c>
    </row>
    <row r="9" spans="3:15" ht="16" thickBot="1" x14ac:dyDescent="0.4">
      <c r="C9" s="2">
        <v>4</v>
      </c>
      <c r="D9" s="8">
        <v>1.21E-2</v>
      </c>
      <c r="E9" s="8">
        <v>9.7000000000000003E-2</v>
      </c>
      <c r="F9" s="8">
        <v>0.15590000000000001</v>
      </c>
      <c r="G9" s="8">
        <v>0.17299999999999999</v>
      </c>
      <c r="H9" s="8">
        <v>0.14380000000000001</v>
      </c>
      <c r="I9" s="8">
        <v>7.5999999999999998E-2</v>
      </c>
      <c r="J9" s="9">
        <v>-1.21E-2</v>
      </c>
      <c r="K9" s="9">
        <v>-9.7000000000000003E-2</v>
      </c>
      <c r="L9" s="9">
        <v>-0.15590000000000001</v>
      </c>
      <c r="M9" s="9">
        <v>-0.17299999999999999</v>
      </c>
      <c r="N9" s="9">
        <v>-0.14380000000000001</v>
      </c>
      <c r="O9" s="9">
        <v>-7.5999999999999998E-2</v>
      </c>
    </row>
    <row r="10" spans="3:15" ht="16" thickBot="1" x14ac:dyDescent="0.4">
      <c r="C10" s="2">
        <v>5</v>
      </c>
      <c r="D10" s="8">
        <v>1.5100000000000001E-2</v>
      </c>
      <c r="E10" s="8">
        <v>9.9500000000000005E-2</v>
      </c>
      <c r="F10" s="8">
        <v>0.15720000000000001</v>
      </c>
      <c r="G10" s="8">
        <v>0.17269999999999999</v>
      </c>
      <c r="H10" s="8">
        <v>0.14199999999999999</v>
      </c>
      <c r="I10" s="8">
        <v>7.3300000000000004E-2</v>
      </c>
      <c r="J10" s="9">
        <v>-1.5100000000000001E-2</v>
      </c>
      <c r="K10" s="9">
        <v>-9.9500000000000005E-2</v>
      </c>
      <c r="L10" s="9">
        <v>-0.15720000000000001</v>
      </c>
      <c r="M10" s="9">
        <v>-0.17269999999999999</v>
      </c>
      <c r="N10" s="9">
        <v>-0.14199999999999999</v>
      </c>
      <c r="O10" s="9">
        <v>-7.3300000000000004E-2</v>
      </c>
    </row>
    <row r="11" spans="3:15" ht="16" thickBot="1" x14ac:dyDescent="0.4">
      <c r="C11" s="2">
        <v>6</v>
      </c>
      <c r="D11" s="8">
        <v>1.8100000000000002E-2</v>
      </c>
      <c r="E11" s="8">
        <v>0.1019</v>
      </c>
      <c r="F11" s="8">
        <v>0.15840000000000001</v>
      </c>
      <c r="G11" s="8">
        <v>0.17249999999999999</v>
      </c>
      <c r="H11" s="8">
        <v>0.14030000000000001</v>
      </c>
      <c r="I11" s="8">
        <v>7.0499999999999993E-2</v>
      </c>
      <c r="J11" s="9">
        <v>-1.8100000000000002E-2</v>
      </c>
      <c r="K11" s="9">
        <v>-0.1019</v>
      </c>
      <c r="L11" s="9">
        <v>-0.15840000000000001</v>
      </c>
      <c r="M11" s="9">
        <v>-0.17249999999999999</v>
      </c>
      <c r="N11" s="9">
        <v>-0.14030000000000001</v>
      </c>
      <c r="O11" s="9">
        <v>-7.0499999999999993E-2</v>
      </c>
    </row>
    <row r="12" spans="3:15" ht="16" thickBot="1" x14ac:dyDescent="0.4">
      <c r="C12" s="2">
        <v>7</v>
      </c>
      <c r="D12" s="8">
        <v>2.1100000000000001E-2</v>
      </c>
      <c r="E12" s="8">
        <v>0.10440000000000001</v>
      </c>
      <c r="F12" s="8">
        <v>0.15959999999999999</v>
      </c>
      <c r="G12" s="8">
        <v>0.1721</v>
      </c>
      <c r="H12" s="8">
        <v>0.13850000000000001</v>
      </c>
      <c r="I12" s="8">
        <v>6.7799999999999999E-2</v>
      </c>
      <c r="J12" s="9">
        <v>-2.1100000000000001E-2</v>
      </c>
      <c r="K12" s="9">
        <v>-0.10440000000000001</v>
      </c>
      <c r="L12" s="9">
        <v>-0.15959999999999999</v>
      </c>
      <c r="M12" s="9">
        <v>-0.1721</v>
      </c>
      <c r="N12" s="9">
        <v>-0.13850000000000001</v>
      </c>
      <c r="O12" s="9">
        <v>-6.7799999999999999E-2</v>
      </c>
    </row>
    <row r="13" spans="3:15" ht="16" thickBot="1" x14ac:dyDescent="0.4">
      <c r="C13" s="2">
        <v>8</v>
      </c>
      <c r="D13" s="8">
        <v>2.41E-2</v>
      </c>
      <c r="E13" s="8">
        <v>0.10680000000000001</v>
      </c>
      <c r="F13" s="8">
        <v>0.1608</v>
      </c>
      <c r="G13" s="8">
        <v>0.17169999999999999</v>
      </c>
      <c r="H13" s="8">
        <v>0.1366</v>
      </c>
      <c r="I13" s="8">
        <v>6.5000000000000002E-2</v>
      </c>
      <c r="J13" s="9">
        <v>-2.41E-2</v>
      </c>
      <c r="K13" s="9">
        <v>-0.10680000000000001</v>
      </c>
      <c r="L13" s="9">
        <v>-0.1608</v>
      </c>
      <c r="M13" s="9">
        <v>-0.17169999999999999</v>
      </c>
      <c r="N13" s="9">
        <v>-0.1366</v>
      </c>
      <c r="O13" s="9">
        <v>-6.5000000000000002E-2</v>
      </c>
    </row>
    <row r="14" spans="3:15" ht="16" thickBot="1" x14ac:dyDescent="0.4">
      <c r="C14" s="2">
        <v>9</v>
      </c>
      <c r="D14" s="8">
        <v>2.7099999999999999E-2</v>
      </c>
      <c r="E14" s="8">
        <v>0.1091</v>
      </c>
      <c r="F14" s="8">
        <v>0.16189999999999999</v>
      </c>
      <c r="G14" s="8">
        <v>0.17130000000000001</v>
      </c>
      <c r="H14" s="8">
        <v>0.1348</v>
      </c>
      <c r="I14" s="8">
        <v>6.2100000000000002E-2</v>
      </c>
      <c r="J14" s="9">
        <v>-2.7099999999999999E-2</v>
      </c>
      <c r="K14" s="9">
        <v>-0.1091</v>
      </c>
      <c r="L14" s="9">
        <v>-0.16189999999999999</v>
      </c>
      <c r="M14" s="9">
        <v>-0.17130000000000001</v>
      </c>
      <c r="N14" s="9">
        <v>-0.1348</v>
      </c>
      <c r="O14" s="9">
        <v>-6.2100000000000002E-2</v>
      </c>
    </row>
    <row r="15" spans="3:15" ht="16" thickBot="1" x14ac:dyDescent="0.4">
      <c r="C15" s="2">
        <v>10</v>
      </c>
      <c r="D15" s="8">
        <v>3.0099999999999998E-2</v>
      </c>
      <c r="E15" s="8">
        <v>0.1115</v>
      </c>
      <c r="F15" s="8">
        <v>0.16289999999999999</v>
      </c>
      <c r="G15" s="8">
        <v>0.17080000000000001</v>
      </c>
      <c r="H15" s="8">
        <v>0.1328</v>
      </c>
      <c r="I15" s="8">
        <v>5.9299999999999999E-2</v>
      </c>
      <c r="J15" s="9">
        <v>-3.0099999999999998E-2</v>
      </c>
      <c r="K15" s="9">
        <v>-0.1115</v>
      </c>
      <c r="L15" s="9">
        <v>-0.16289999999999999</v>
      </c>
      <c r="M15" s="9">
        <v>-0.17080000000000001</v>
      </c>
      <c r="N15" s="9">
        <v>-0.1328</v>
      </c>
      <c r="O15" s="9">
        <v>-5.9299999999999999E-2</v>
      </c>
    </row>
    <row r="16" spans="3:15" ht="16" thickBot="1" x14ac:dyDescent="0.4">
      <c r="C16" s="2">
        <v>11</v>
      </c>
      <c r="D16" s="8">
        <v>3.3099999999999997E-2</v>
      </c>
      <c r="E16" s="8">
        <v>0.1138</v>
      </c>
      <c r="F16" s="8">
        <v>0.16400000000000001</v>
      </c>
      <c r="G16" s="8">
        <v>0.17019999999999999</v>
      </c>
      <c r="H16" s="8">
        <v>0.13089999999999999</v>
      </c>
      <c r="I16" s="8">
        <v>5.6500000000000002E-2</v>
      </c>
      <c r="J16" s="9">
        <v>-3.3099999999999997E-2</v>
      </c>
      <c r="K16" s="9">
        <v>-0.1138</v>
      </c>
      <c r="L16" s="9">
        <v>-0.16400000000000001</v>
      </c>
      <c r="M16" s="9">
        <v>-0.17019999999999999</v>
      </c>
      <c r="N16" s="9">
        <v>-0.13089999999999999</v>
      </c>
      <c r="O16" s="9">
        <v>-5.6500000000000002E-2</v>
      </c>
    </row>
    <row r="17" spans="3:15" ht="16" thickBot="1" x14ac:dyDescent="0.4">
      <c r="C17" s="2">
        <v>12</v>
      </c>
      <c r="D17" s="8">
        <v>3.61E-2</v>
      </c>
      <c r="E17" s="8">
        <v>0.11600000000000001</v>
      </c>
      <c r="F17" s="8">
        <v>0.16489999999999999</v>
      </c>
      <c r="G17" s="8">
        <v>0.1696</v>
      </c>
      <c r="H17" s="8">
        <v>0.12889999999999999</v>
      </c>
      <c r="I17" s="8">
        <v>5.3600000000000002E-2</v>
      </c>
      <c r="J17" s="9">
        <v>-3.61E-2</v>
      </c>
      <c r="K17" s="9">
        <v>-0.11600000000000001</v>
      </c>
      <c r="L17" s="9">
        <v>-0.16489999999999999</v>
      </c>
      <c r="M17" s="9">
        <v>-0.1696</v>
      </c>
      <c r="N17" s="9">
        <v>-0.12889999999999999</v>
      </c>
      <c r="O17" s="9">
        <v>-5.3600000000000002E-2</v>
      </c>
    </row>
    <row r="18" spans="3:15" ht="16" thickBot="1" x14ac:dyDescent="0.4">
      <c r="C18" s="2">
        <v>13</v>
      </c>
      <c r="D18" s="8">
        <v>3.9E-2</v>
      </c>
      <c r="E18" s="8">
        <v>0.1183</v>
      </c>
      <c r="F18" s="8">
        <v>0.1658</v>
      </c>
      <c r="G18" s="8">
        <v>0.16900000000000001</v>
      </c>
      <c r="H18" s="8">
        <v>0.1268</v>
      </c>
      <c r="I18" s="8">
        <v>5.0700000000000002E-2</v>
      </c>
      <c r="J18" s="9">
        <v>-3.9E-2</v>
      </c>
      <c r="K18" s="9">
        <v>-0.1183</v>
      </c>
      <c r="L18" s="9">
        <v>-0.1658</v>
      </c>
      <c r="M18" s="9">
        <v>-0.16900000000000001</v>
      </c>
      <c r="N18" s="9">
        <v>-0.1268</v>
      </c>
      <c r="O18" s="9">
        <v>-5.0700000000000002E-2</v>
      </c>
    </row>
    <row r="19" spans="3:15" ht="16" thickBot="1" x14ac:dyDescent="0.4">
      <c r="C19" s="2">
        <v>14</v>
      </c>
      <c r="D19" s="8">
        <v>4.19E-2</v>
      </c>
      <c r="E19" s="8">
        <v>0.1205</v>
      </c>
      <c r="F19" s="8">
        <v>0.16669999999999999</v>
      </c>
      <c r="G19" s="8">
        <v>0.16819999999999999</v>
      </c>
      <c r="H19" s="8">
        <v>0.12470000000000001</v>
      </c>
      <c r="I19" s="8">
        <v>4.7800000000000002E-2</v>
      </c>
      <c r="J19" s="9">
        <v>-4.19E-2</v>
      </c>
      <c r="K19" s="9">
        <v>-0.1205</v>
      </c>
      <c r="L19" s="9">
        <v>-0.16669999999999999</v>
      </c>
      <c r="M19" s="9">
        <v>-0.16819999999999999</v>
      </c>
      <c r="N19" s="9">
        <v>-0.12470000000000001</v>
      </c>
      <c r="O19" s="9">
        <v>-4.7800000000000002E-2</v>
      </c>
    </row>
    <row r="20" spans="3:15" ht="16" thickBot="1" x14ac:dyDescent="0.4">
      <c r="C20" s="2">
        <v>15</v>
      </c>
      <c r="D20" s="8">
        <v>4.4900000000000002E-2</v>
      </c>
      <c r="E20" s="8">
        <v>0.1226</v>
      </c>
      <c r="F20" s="8">
        <v>0.16750000000000001</v>
      </c>
      <c r="G20" s="8">
        <v>0.16750000000000001</v>
      </c>
      <c r="H20" s="8">
        <v>0.1226</v>
      </c>
      <c r="I20" s="8">
        <v>4.4900000000000002E-2</v>
      </c>
      <c r="J20" s="9">
        <v>-4.4900000000000002E-2</v>
      </c>
      <c r="K20" s="9">
        <v>-0.1226</v>
      </c>
      <c r="L20" s="9">
        <v>-0.16750000000000001</v>
      </c>
      <c r="M20" s="9">
        <v>-0.16750000000000001</v>
      </c>
      <c r="N20" s="9">
        <v>-0.1226</v>
      </c>
      <c r="O20" s="9">
        <v>-4.4900000000000002E-2</v>
      </c>
    </row>
    <row r="21" spans="3:15" ht="16" thickBot="1" x14ac:dyDescent="0.4">
      <c r="C21" s="2">
        <v>16</v>
      </c>
      <c r="D21" s="8">
        <v>4.7800000000000002E-2</v>
      </c>
      <c r="E21" s="8">
        <v>0.12470000000000001</v>
      </c>
      <c r="F21" s="8">
        <v>0.16819999999999999</v>
      </c>
      <c r="G21" s="8">
        <v>0.16669999999999999</v>
      </c>
      <c r="H21" s="8">
        <v>0.1205</v>
      </c>
      <c r="I21" s="8">
        <v>4.19E-2</v>
      </c>
      <c r="J21" s="9">
        <v>-4.7800000000000002E-2</v>
      </c>
      <c r="K21" s="9">
        <v>-0.12470000000000001</v>
      </c>
      <c r="L21" s="9">
        <v>-0.16819999999999999</v>
      </c>
      <c r="M21" s="9">
        <v>-0.16669999999999999</v>
      </c>
      <c r="N21" s="9">
        <v>-0.1205</v>
      </c>
      <c r="O21" s="9">
        <v>-4.19E-2</v>
      </c>
    </row>
    <row r="22" spans="3:15" ht="16" thickBot="1" x14ac:dyDescent="0.4">
      <c r="C22" s="2">
        <v>17</v>
      </c>
      <c r="D22" s="8">
        <v>5.0700000000000002E-2</v>
      </c>
      <c r="E22" s="8">
        <v>0.1268</v>
      </c>
      <c r="F22" s="8">
        <v>0.16900000000000001</v>
      </c>
      <c r="G22" s="8">
        <v>0.1658</v>
      </c>
      <c r="H22" s="8">
        <v>0.1183</v>
      </c>
      <c r="I22" s="8">
        <v>3.9E-2</v>
      </c>
      <c r="J22" s="9">
        <v>-5.0700000000000002E-2</v>
      </c>
      <c r="K22" s="9">
        <v>-0.1268</v>
      </c>
      <c r="L22" s="9">
        <v>-0.16900000000000001</v>
      </c>
      <c r="M22" s="9">
        <v>-0.1658</v>
      </c>
      <c r="N22" s="9">
        <v>-0.1183</v>
      </c>
      <c r="O22" s="9">
        <v>-3.9E-2</v>
      </c>
    </row>
    <row r="23" spans="3:15" ht="16" thickBot="1" x14ac:dyDescent="0.4">
      <c r="C23" s="2">
        <v>18</v>
      </c>
      <c r="D23" s="8">
        <v>5.3600000000000002E-2</v>
      </c>
      <c r="E23" s="8">
        <v>0.12889999999999999</v>
      </c>
      <c r="F23" s="8">
        <v>0.1696</v>
      </c>
      <c r="G23" s="8">
        <v>0.16489999999999999</v>
      </c>
      <c r="H23" s="8">
        <v>0.11600000000000001</v>
      </c>
      <c r="I23" s="8">
        <v>3.61E-2</v>
      </c>
      <c r="J23" s="9">
        <v>-5.3600000000000002E-2</v>
      </c>
      <c r="K23" s="9">
        <v>-0.12889999999999999</v>
      </c>
      <c r="L23" s="9">
        <v>-0.1696</v>
      </c>
      <c r="M23" s="9">
        <v>-0.16489999999999999</v>
      </c>
      <c r="N23" s="9">
        <v>-0.11600000000000001</v>
      </c>
      <c r="O23" s="9">
        <v>-3.61E-2</v>
      </c>
    </row>
    <row r="24" spans="3:15" ht="16" thickBot="1" x14ac:dyDescent="0.4">
      <c r="C24" s="2">
        <v>19</v>
      </c>
      <c r="D24" s="8">
        <v>5.6500000000000002E-2</v>
      </c>
      <c r="E24" s="8">
        <v>0.13089999999999999</v>
      </c>
      <c r="F24" s="8">
        <v>0.17019999999999999</v>
      </c>
      <c r="G24" s="8">
        <v>0.16400000000000001</v>
      </c>
      <c r="H24" s="8">
        <v>0.1138</v>
      </c>
      <c r="I24" s="8">
        <v>3.3099999999999997E-2</v>
      </c>
      <c r="J24" s="9">
        <v>-5.6500000000000002E-2</v>
      </c>
      <c r="K24" s="9">
        <v>-0.13089999999999999</v>
      </c>
      <c r="L24" s="9">
        <v>-0.17019999999999999</v>
      </c>
      <c r="M24" s="9">
        <v>-0.16400000000000001</v>
      </c>
      <c r="N24" s="9">
        <v>-0.1138</v>
      </c>
      <c r="O24" s="9">
        <v>-3.3099999999999997E-2</v>
      </c>
    </row>
    <row r="25" spans="3:15" ht="16" thickBot="1" x14ac:dyDescent="0.4">
      <c r="C25" s="2">
        <v>20</v>
      </c>
      <c r="D25" s="8">
        <v>5.9299999999999999E-2</v>
      </c>
      <c r="E25" s="8">
        <v>0.1328</v>
      </c>
      <c r="F25" s="8">
        <v>0.17080000000000001</v>
      </c>
      <c r="G25" s="8">
        <v>0.16289999999999999</v>
      </c>
      <c r="H25" s="8">
        <v>0.1115</v>
      </c>
      <c r="I25" s="8">
        <v>3.0099999999999998E-2</v>
      </c>
      <c r="J25" s="9">
        <v>-5.9299999999999999E-2</v>
      </c>
      <c r="K25" s="8">
        <v>-0.1328</v>
      </c>
      <c r="L25" s="9">
        <v>-0.17080000000000001</v>
      </c>
      <c r="M25" s="9">
        <v>-0.16289999999999999</v>
      </c>
      <c r="N25" s="9">
        <v>-0.1115</v>
      </c>
      <c r="O25" s="9">
        <v>-3.0099999999999998E-2</v>
      </c>
    </row>
    <row r="26" spans="3:15" ht="16" thickBot="1" x14ac:dyDescent="0.4">
      <c r="C26" s="2">
        <v>21</v>
      </c>
      <c r="D26" s="8">
        <v>6.2100000000000002E-2</v>
      </c>
      <c r="E26" s="8">
        <v>0.1348</v>
      </c>
      <c r="F26" s="8">
        <v>0.17130000000000001</v>
      </c>
      <c r="G26" s="8">
        <v>0.16189999999999999</v>
      </c>
      <c r="H26" s="8">
        <v>0.1091</v>
      </c>
      <c r="I26" s="8">
        <v>2.7099999999999999E-2</v>
      </c>
      <c r="J26" s="9">
        <v>-6.2100000000000002E-2</v>
      </c>
      <c r="K26" s="9">
        <v>-0.1348</v>
      </c>
      <c r="L26" s="9">
        <v>-0.17130000000000001</v>
      </c>
      <c r="M26" s="9">
        <v>-0.16189999999999999</v>
      </c>
      <c r="N26" s="9">
        <v>-0.1091</v>
      </c>
      <c r="O26" s="9">
        <v>-2.7099999999999999E-2</v>
      </c>
    </row>
    <row r="27" spans="3:15" ht="16" thickBot="1" x14ac:dyDescent="0.4">
      <c r="C27" s="2">
        <v>22</v>
      </c>
      <c r="D27" s="8">
        <v>6.5000000000000002E-2</v>
      </c>
      <c r="E27" s="8">
        <v>0.1366</v>
      </c>
      <c r="F27" s="8">
        <v>0.17169999999999999</v>
      </c>
      <c r="G27" s="8">
        <v>0.1608</v>
      </c>
      <c r="H27" s="8">
        <v>0.10680000000000001</v>
      </c>
      <c r="I27" s="8">
        <v>2.41E-2</v>
      </c>
      <c r="J27" s="9">
        <v>-6.5000000000000002E-2</v>
      </c>
      <c r="K27" s="9">
        <v>-0.1366</v>
      </c>
      <c r="L27" s="9">
        <v>-0.17169999999999999</v>
      </c>
      <c r="M27" s="9">
        <v>-0.1608</v>
      </c>
      <c r="N27" s="9">
        <v>-0.10680000000000001</v>
      </c>
      <c r="O27" s="9">
        <v>-2.41E-2</v>
      </c>
    </row>
    <row r="28" spans="3:15" ht="16" thickBot="1" x14ac:dyDescent="0.4">
      <c r="C28" s="2">
        <v>23</v>
      </c>
      <c r="D28" s="8">
        <v>6.7799999999999999E-2</v>
      </c>
      <c r="E28" s="8">
        <v>0.13850000000000001</v>
      </c>
      <c r="F28" s="8">
        <v>0.1721</v>
      </c>
      <c r="G28" s="8">
        <v>0.15959999999999999</v>
      </c>
      <c r="H28" s="8">
        <v>0.10440000000000001</v>
      </c>
      <c r="I28" s="8">
        <v>2.1100000000000001E-2</v>
      </c>
      <c r="J28" s="9">
        <v>-6.7799999999999999E-2</v>
      </c>
      <c r="K28" s="9">
        <v>-0.13850000000000001</v>
      </c>
      <c r="L28" s="9">
        <v>-0.1721</v>
      </c>
      <c r="M28" s="9">
        <v>-0.15959999999999999</v>
      </c>
      <c r="N28" s="9">
        <v>-0.10440000000000001</v>
      </c>
      <c r="O28" s="9">
        <v>-2.1100000000000001E-2</v>
      </c>
    </row>
    <row r="29" spans="3:15" ht="16" thickBot="1" x14ac:dyDescent="0.4">
      <c r="C29" s="2">
        <v>24</v>
      </c>
      <c r="D29" s="8">
        <v>7.0499999999999993E-2</v>
      </c>
      <c r="E29" s="8">
        <v>0.14030000000000001</v>
      </c>
      <c r="F29" s="8">
        <v>0.17249999999999999</v>
      </c>
      <c r="G29" s="8">
        <v>0.15840000000000001</v>
      </c>
      <c r="H29" s="8">
        <v>0.1019</v>
      </c>
      <c r="I29" s="8">
        <v>1.8100000000000002E-2</v>
      </c>
      <c r="J29" s="9">
        <v>-7.0499999999999993E-2</v>
      </c>
      <c r="K29" s="9">
        <v>-0.14030000000000001</v>
      </c>
      <c r="L29" s="9">
        <v>-0.17249999999999999</v>
      </c>
      <c r="M29" s="9">
        <v>-0.15840000000000001</v>
      </c>
      <c r="N29" s="9">
        <v>-0.1019</v>
      </c>
      <c r="O29" s="9">
        <v>-1.8100000000000002E-2</v>
      </c>
    </row>
    <row r="30" spans="3:15" ht="16" thickBot="1" x14ac:dyDescent="0.4">
      <c r="C30" s="2">
        <v>25</v>
      </c>
      <c r="D30" s="8">
        <v>7.3300000000000004E-2</v>
      </c>
      <c r="E30" s="8">
        <v>0.14199999999999999</v>
      </c>
      <c r="F30" s="8">
        <v>0.17269999999999999</v>
      </c>
      <c r="G30" s="8">
        <v>0.15720000000000001</v>
      </c>
      <c r="H30" s="8">
        <v>9.9500000000000005E-2</v>
      </c>
      <c r="I30" s="8">
        <v>1.5100000000000001E-2</v>
      </c>
      <c r="J30" s="9">
        <v>-7.3300000000000004E-2</v>
      </c>
      <c r="K30" s="9">
        <v>-0.14199999999999999</v>
      </c>
      <c r="L30" s="9">
        <v>-0.17269999999999999</v>
      </c>
      <c r="M30" s="9">
        <v>-0.15720000000000001</v>
      </c>
      <c r="N30" s="9">
        <v>-9.9500000000000005E-2</v>
      </c>
      <c r="O30" s="9">
        <v>-1.5100000000000001E-2</v>
      </c>
    </row>
    <row r="31" spans="3:15" ht="16" thickBot="1" x14ac:dyDescent="0.4">
      <c r="C31" s="2">
        <v>26</v>
      </c>
      <c r="D31" s="8">
        <v>7.5999999999999998E-2</v>
      </c>
      <c r="E31" s="8">
        <v>0.14380000000000001</v>
      </c>
      <c r="F31" s="8">
        <v>0.17299999999999999</v>
      </c>
      <c r="G31" s="8">
        <v>0.15590000000000001</v>
      </c>
      <c r="H31" s="8">
        <v>9.7000000000000003E-2</v>
      </c>
      <c r="I31" s="8">
        <v>1.21E-2</v>
      </c>
      <c r="J31" s="9">
        <v>-7.5999999999999998E-2</v>
      </c>
      <c r="K31" s="9">
        <v>-0.14380000000000001</v>
      </c>
      <c r="L31" s="9">
        <v>-0.17299999999999999</v>
      </c>
      <c r="M31" s="9">
        <v>-0.15590000000000001</v>
      </c>
      <c r="N31" s="9">
        <v>-9.7000000000000003E-2</v>
      </c>
      <c r="O31" s="9">
        <v>-1.21E-2</v>
      </c>
    </row>
    <row r="32" spans="3:15" ht="16" thickBot="1" x14ac:dyDescent="0.4">
      <c r="C32" s="2">
        <v>27</v>
      </c>
      <c r="D32" s="8">
        <v>7.8700000000000006E-2</v>
      </c>
      <c r="E32" s="8">
        <v>0.1454</v>
      </c>
      <c r="F32" s="8">
        <v>0.17319999999999999</v>
      </c>
      <c r="G32" s="8">
        <v>0.1545</v>
      </c>
      <c r="H32" s="8">
        <v>9.4399999999999998E-2</v>
      </c>
      <c r="I32" s="8">
        <v>9.1000000000000004E-3</v>
      </c>
      <c r="J32" s="9">
        <v>-7.8700000000000006E-2</v>
      </c>
      <c r="K32" s="9">
        <v>-0.1454</v>
      </c>
      <c r="L32" s="9">
        <v>-0.17319999999999999</v>
      </c>
      <c r="M32" s="9">
        <v>-0.1545</v>
      </c>
      <c r="N32" s="9">
        <v>-9.4399999999999998E-2</v>
      </c>
      <c r="O32" s="9">
        <v>-9.1000000000000004E-3</v>
      </c>
    </row>
    <row r="33" spans="3:15" ht="16" thickBot="1" x14ac:dyDescent="0.4">
      <c r="C33" s="2">
        <v>28</v>
      </c>
      <c r="D33" s="8">
        <v>8.14E-2</v>
      </c>
      <c r="E33" s="8">
        <v>0.14710000000000001</v>
      </c>
      <c r="F33" s="8">
        <v>0.17330000000000001</v>
      </c>
      <c r="G33" s="8">
        <v>0.15310000000000001</v>
      </c>
      <c r="H33" s="8">
        <v>9.1899999999999996E-2</v>
      </c>
      <c r="I33" s="8">
        <v>6.1000000000000004E-3</v>
      </c>
      <c r="J33" s="9">
        <v>-8.14E-2</v>
      </c>
      <c r="K33" s="9">
        <v>-0.14710000000000001</v>
      </c>
      <c r="L33" s="9">
        <v>-0.17330000000000001</v>
      </c>
      <c r="M33" s="9">
        <v>-0.15310000000000001</v>
      </c>
      <c r="N33" s="9">
        <v>-9.1899999999999996E-2</v>
      </c>
      <c r="O33" s="9">
        <v>-6.1000000000000004E-3</v>
      </c>
    </row>
    <row r="34" spans="3:15" ht="16" thickBot="1" x14ac:dyDescent="0.4">
      <c r="C34" s="2">
        <v>29</v>
      </c>
      <c r="D34" s="8">
        <v>8.4099999999999994E-2</v>
      </c>
      <c r="E34" s="8">
        <v>0.14860000000000001</v>
      </c>
      <c r="F34" s="8">
        <v>0.1734</v>
      </c>
      <c r="G34" s="8">
        <v>0.1517</v>
      </c>
      <c r="H34" s="8">
        <v>8.9300000000000004E-2</v>
      </c>
      <c r="I34" s="8">
        <v>3.0000000000000001E-3</v>
      </c>
      <c r="J34" s="9">
        <v>-8.4099999999999994E-2</v>
      </c>
      <c r="K34" s="9">
        <v>-0.14860000000000001</v>
      </c>
      <c r="L34" s="9">
        <v>-0.1734</v>
      </c>
      <c r="M34" s="9">
        <v>-0.1517</v>
      </c>
      <c r="N34" s="9">
        <v>-8.9300000000000004E-2</v>
      </c>
      <c r="O34" s="9">
        <v>-3.0000000000000001E-3</v>
      </c>
    </row>
    <row r="35" spans="3:15" ht="16" thickBot="1" x14ac:dyDescent="0.4">
      <c r="C35" s="2">
        <v>30</v>
      </c>
      <c r="D35" s="8">
        <v>8.6699999999999999E-2</v>
      </c>
      <c r="E35" s="8">
        <v>0.1502</v>
      </c>
      <c r="F35" s="8">
        <v>0.1734</v>
      </c>
      <c r="G35" s="8">
        <v>0.1502</v>
      </c>
      <c r="H35" s="8">
        <v>8.6699999999999999E-2</v>
      </c>
      <c r="I35" s="8">
        <v>0</v>
      </c>
      <c r="J35" s="9">
        <v>-8.6699999999999999E-2</v>
      </c>
      <c r="K35" s="9">
        <v>-0.1502</v>
      </c>
      <c r="L35" s="9">
        <v>-0.1734</v>
      </c>
      <c r="M35" s="9">
        <v>-0.1502</v>
      </c>
      <c r="N35" s="9">
        <v>-8.6699999999999999E-2</v>
      </c>
      <c r="O35" s="9">
        <v>0</v>
      </c>
    </row>
  </sheetData>
  <mergeCells count="1">
    <mergeCell ref="C3:O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8699-322B-4600-BB5F-118DAEF10A11}">
  <dimension ref="B3:O35"/>
  <sheetViews>
    <sheetView topLeftCell="E1" workbookViewId="0">
      <selection activeCell="Q2" sqref="Q2"/>
    </sheetView>
  </sheetViews>
  <sheetFormatPr defaultRowHeight="14.5" x14ac:dyDescent="0.35"/>
  <cols>
    <col min="4" max="4" width="14" customWidth="1"/>
    <col min="5" max="5" width="14.36328125" customWidth="1"/>
    <col min="6" max="6" width="13.6328125" customWidth="1"/>
    <col min="7" max="7" width="13.26953125" customWidth="1"/>
    <col min="8" max="8" width="14.54296875" customWidth="1"/>
    <col min="9" max="9" width="12.54296875" customWidth="1"/>
    <col min="10" max="10" width="13" customWidth="1"/>
    <col min="11" max="11" width="12.81640625" customWidth="1"/>
    <col min="12" max="12" width="12.1796875" customWidth="1"/>
    <col min="13" max="13" width="12.26953125" customWidth="1"/>
    <col min="14" max="14" width="13.36328125" customWidth="1"/>
    <col min="15" max="15" width="14" customWidth="1"/>
  </cols>
  <sheetData>
    <row r="3" spans="2:15" ht="15.5" x14ac:dyDescent="0.35">
      <c r="B3" s="4"/>
      <c r="C3" s="90" t="s">
        <v>325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2"/>
    </row>
    <row r="4" spans="2:15" ht="15.5" x14ac:dyDescent="0.35">
      <c r="B4" s="4"/>
      <c r="C4" s="30" t="s">
        <v>15</v>
      </c>
      <c r="D4" s="30" t="s">
        <v>16</v>
      </c>
      <c r="E4" s="30" t="s">
        <v>17</v>
      </c>
      <c r="F4" s="30" t="s">
        <v>18</v>
      </c>
      <c r="G4" s="30" t="s">
        <v>19</v>
      </c>
      <c r="H4" s="30" t="s">
        <v>20</v>
      </c>
      <c r="I4" s="30" t="s">
        <v>21</v>
      </c>
      <c r="J4" s="30" t="s">
        <v>36</v>
      </c>
      <c r="K4" s="30" t="s">
        <v>37</v>
      </c>
      <c r="L4" s="30" t="s">
        <v>38</v>
      </c>
      <c r="M4" s="30" t="s">
        <v>39</v>
      </c>
      <c r="N4" s="30" t="s">
        <v>40</v>
      </c>
      <c r="O4" s="30" t="s">
        <v>41</v>
      </c>
    </row>
    <row r="5" spans="2:15" ht="15.5" x14ac:dyDescent="0.35">
      <c r="B5" s="32"/>
      <c r="C5" s="31">
        <v>0</v>
      </c>
      <c r="D5" s="31" t="s">
        <v>329</v>
      </c>
      <c r="E5" s="31">
        <v>-18104.568500000001</v>
      </c>
      <c r="F5" s="31">
        <v>-10452.6775</v>
      </c>
      <c r="G5" s="31" t="s">
        <v>22</v>
      </c>
      <c r="H5" s="31">
        <v>10452.6775</v>
      </c>
      <c r="I5" s="31">
        <v>18104.568500000001</v>
      </c>
      <c r="J5" s="31" t="s">
        <v>330</v>
      </c>
      <c r="K5" s="31">
        <v>18104.568500000001</v>
      </c>
      <c r="L5" s="31">
        <v>10452.6775</v>
      </c>
      <c r="M5" s="31" t="s">
        <v>22</v>
      </c>
      <c r="N5" s="31">
        <v>-10452.6775</v>
      </c>
      <c r="O5" s="31">
        <v>-18104.568500000001</v>
      </c>
    </row>
    <row r="6" spans="2:15" ht="15.5" x14ac:dyDescent="0.35">
      <c r="B6" s="32"/>
      <c r="C6" s="31" t="s">
        <v>42</v>
      </c>
      <c r="D6" s="31" t="s">
        <v>335</v>
      </c>
      <c r="E6" s="31">
        <v>-17919.386699999999</v>
      </c>
      <c r="F6" s="31">
        <v>-10135.117200000001</v>
      </c>
      <c r="G6" s="31">
        <v>364.84879999999998</v>
      </c>
      <c r="H6" s="31">
        <v>10767.0538</v>
      </c>
      <c r="I6" s="31">
        <v>18284.235499999999</v>
      </c>
      <c r="J6" s="31" t="s">
        <v>336</v>
      </c>
      <c r="K6" s="31">
        <v>17919.386699999999</v>
      </c>
      <c r="L6" s="31">
        <v>10135.117200000001</v>
      </c>
      <c r="M6" s="31">
        <v>-364.84879999999998</v>
      </c>
      <c r="N6" s="31">
        <v>-10767.0538</v>
      </c>
      <c r="O6" s="31">
        <v>-18284.235499999999</v>
      </c>
    </row>
    <row r="7" spans="2:15" ht="15.5" x14ac:dyDescent="0.35">
      <c r="B7" s="32"/>
      <c r="C7" s="31" t="s">
        <v>43</v>
      </c>
      <c r="D7" s="31" t="s">
        <v>352</v>
      </c>
      <c r="E7" s="31">
        <v>-17728.746500000001</v>
      </c>
      <c r="F7" s="31">
        <v>-9814.4696999999996</v>
      </c>
      <c r="G7" s="31">
        <v>729.58640000000003</v>
      </c>
      <c r="H7" s="31">
        <v>11078.150299999999</v>
      </c>
      <c r="I7" s="31">
        <v>18458.332900000001</v>
      </c>
      <c r="J7" s="31" t="s">
        <v>353</v>
      </c>
      <c r="K7" s="31">
        <v>17728.746500000001</v>
      </c>
      <c r="L7" s="31">
        <v>9814.4696999999996</v>
      </c>
      <c r="M7" s="31">
        <v>-729.58640000000003</v>
      </c>
      <c r="N7" s="31">
        <v>-11078.150299999999</v>
      </c>
      <c r="O7" s="31">
        <v>-18458.332900000001</v>
      </c>
    </row>
    <row r="8" spans="2:15" ht="15.5" x14ac:dyDescent="0.35">
      <c r="B8" s="32"/>
      <c r="C8" s="31" t="s">
        <v>44</v>
      </c>
      <c r="D8" s="31">
        <v>-20876.704900000001</v>
      </c>
      <c r="E8" s="31" t="s">
        <v>360</v>
      </c>
      <c r="F8" s="31">
        <v>-9490.8325999999997</v>
      </c>
      <c r="G8" s="31">
        <v>1094.1016999999999</v>
      </c>
      <c r="H8" s="31">
        <v>11385.8724</v>
      </c>
      <c r="I8" s="31">
        <v>18626.807700000001</v>
      </c>
      <c r="J8" s="31">
        <v>20876.704900000001</v>
      </c>
      <c r="K8" s="31" t="s">
        <v>361</v>
      </c>
      <c r="L8" s="31">
        <v>9490.8325999999997</v>
      </c>
      <c r="M8" s="31">
        <v>-1094.1016999999999</v>
      </c>
      <c r="N8" s="31">
        <v>-11385.8724</v>
      </c>
      <c r="O8" s="31">
        <v>-18626.807700000001</v>
      </c>
    </row>
    <row r="9" spans="2:15" ht="15.5" x14ac:dyDescent="0.35">
      <c r="B9" s="32"/>
      <c r="C9" s="31" t="s">
        <v>45</v>
      </c>
      <c r="D9" s="31">
        <v>-20854.4306</v>
      </c>
      <c r="E9" s="31">
        <v>-17331.324799999999</v>
      </c>
      <c r="F9" s="31">
        <v>-9164.3044000000009</v>
      </c>
      <c r="G9" s="31">
        <v>1458.2837999999999</v>
      </c>
      <c r="H9" s="31">
        <v>11690.126200000001</v>
      </c>
      <c r="I9" s="31">
        <v>18789.608700000001</v>
      </c>
      <c r="J9" s="31">
        <v>20854.4306</v>
      </c>
      <c r="K9" s="31">
        <v>17331.324799999999</v>
      </c>
      <c r="L9" s="31">
        <v>9164.3044000000009</v>
      </c>
      <c r="M9" s="31">
        <v>-1458.2837999999999</v>
      </c>
      <c r="N9" s="31">
        <v>-11690.126200000001</v>
      </c>
      <c r="O9" s="31">
        <v>-18789.608700000001</v>
      </c>
    </row>
    <row r="10" spans="2:15" ht="15.5" x14ac:dyDescent="0.35">
      <c r="B10" s="32"/>
      <c r="C10" s="31" t="s">
        <v>47</v>
      </c>
      <c r="D10" s="31">
        <v>-20825.803800000002</v>
      </c>
      <c r="E10" s="31">
        <v>-17124.6643</v>
      </c>
      <c r="F10" s="31">
        <v>-8834.9848000000002</v>
      </c>
      <c r="G10" s="31">
        <v>1822.0217</v>
      </c>
      <c r="H10" s="31" t="s">
        <v>378</v>
      </c>
      <c r="I10" s="31" t="s">
        <v>379</v>
      </c>
      <c r="J10" s="31">
        <v>20825.803800000002</v>
      </c>
      <c r="K10" s="31">
        <v>17124.6643</v>
      </c>
      <c r="L10" s="31">
        <v>8834.9848000000002</v>
      </c>
      <c r="M10" s="31">
        <v>-1822.0217</v>
      </c>
      <c r="N10" s="31" t="s">
        <v>380</v>
      </c>
      <c r="O10" s="31" t="s">
        <v>381</v>
      </c>
    </row>
    <row r="11" spans="2:15" ht="15.5" x14ac:dyDescent="0.35">
      <c r="B11" s="32"/>
      <c r="C11" s="31" t="s">
        <v>50</v>
      </c>
      <c r="D11" s="31">
        <v>-20790.833299999998</v>
      </c>
      <c r="E11" s="31">
        <v>-16912.787499999999</v>
      </c>
      <c r="F11" s="31">
        <v>-8502.9739000000009</v>
      </c>
      <c r="G11" s="31">
        <v>2185.2046</v>
      </c>
      <c r="H11" s="31">
        <v>12287.859399999999</v>
      </c>
      <c r="I11" s="31">
        <v>19097.992099999999</v>
      </c>
      <c r="J11" s="31">
        <v>20790.833299999998</v>
      </c>
      <c r="K11" s="31">
        <v>16912.787499999999</v>
      </c>
      <c r="L11" s="31">
        <v>8502.9739000000009</v>
      </c>
      <c r="M11" s="31">
        <v>-2185.2046</v>
      </c>
      <c r="N11" s="31">
        <v>-12287.859399999999</v>
      </c>
      <c r="O11" s="31">
        <v>-19097.992099999999</v>
      </c>
    </row>
    <row r="12" spans="2:15" ht="15.5" x14ac:dyDescent="0.35">
      <c r="B12" s="32"/>
      <c r="C12" s="31" t="s">
        <v>53</v>
      </c>
      <c r="D12" s="31">
        <v>-20749.529699999999</v>
      </c>
      <c r="E12" s="31">
        <v>-16695.758900000001</v>
      </c>
      <c r="F12" s="31" t="s">
        <v>397</v>
      </c>
      <c r="G12" s="31">
        <v>2547.7219</v>
      </c>
      <c r="H12" s="31">
        <v>12581.1567</v>
      </c>
      <c r="I12" s="31">
        <v>19243.4807</v>
      </c>
      <c r="J12" s="31">
        <v>20749.529699999999</v>
      </c>
      <c r="K12" s="31">
        <v>16695.758900000001</v>
      </c>
      <c r="L12" s="31" t="s">
        <v>398</v>
      </c>
      <c r="M12" s="31">
        <v>-2547.7219</v>
      </c>
      <c r="N12" s="31">
        <v>-12581.1567</v>
      </c>
      <c r="O12" s="31">
        <v>-19243.4807</v>
      </c>
    </row>
    <row r="13" spans="2:15" ht="15.5" x14ac:dyDescent="0.35">
      <c r="B13" s="32"/>
      <c r="C13" s="31" t="s">
        <v>56</v>
      </c>
      <c r="D13" s="31">
        <v>-20701.905500000001</v>
      </c>
      <c r="E13" s="31">
        <v>-16473.644499999999</v>
      </c>
      <c r="F13" s="31">
        <v>-7831.2838000000002</v>
      </c>
      <c r="G13" s="31">
        <v>2909.4630999999999</v>
      </c>
      <c r="H13" s="31">
        <v>12870.6217</v>
      </c>
      <c r="I13" s="31">
        <v>19383.107599999999</v>
      </c>
      <c r="J13" s="31">
        <v>20701.905500000001</v>
      </c>
      <c r="K13" s="31">
        <v>16473.644499999999</v>
      </c>
      <c r="L13" s="31">
        <v>7831.2838000000002</v>
      </c>
      <c r="M13" s="31">
        <v>-2909.4630999999999</v>
      </c>
      <c r="N13" s="31">
        <v>-12870.6217</v>
      </c>
      <c r="O13" s="31">
        <v>-19383.107599999999</v>
      </c>
    </row>
    <row r="14" spans="2:15" ht="15.5" x14ac:dyDescent="0.35">
      <c r="B14" s="32"/>
      <c r="C14" s="31" t="s">
        <v>59</v>
      </c>
      <c r="D14" s="31">
        <v>-20647.975399999999</v>
      </c>
      <c r="E14" s="31">
        <v>-16246.512199999999</v>
      </c>
      <c r="F14" s="31">
        <v>-7491.8091999999997</v>
      </c>
      <c r="G14" s="31" t="s">
        <v>419</v>
      </c>
      <c r="H14" s="31">
        <v>13156.1662</v>
      </c>
      <c r="I14" s="31">
        <v>19516.8302</v>
      </c>
      <c r="J14" s="31">
        <v>20647.975399999999</v>
      </c>
      <c r="K14" s="31">
        <v>16246.512199999999</v>
      </c>
      <c r="L14" s="31">
        <v>7491.8091999999997</v>
      </c>
      <c r="M14" s="31" t="s">
        <v>420</v>
      </c>
      <c r="N14" s="31">
        <v>-13156.1662</v>
      </c>
      <c r="O14" s="31">
        <v>-19516.8302</v>
      </c>
    </row>
    <row r="15" spans="2:15" ht="15.5" x14ac:dyDescent="0.35">
      <c r="B15" s="32"/>
      <c r="C15" s="31" t="s">
        <v>62</v>
      </c>
      <c r="D15" s="31">
        <v>-20587.755700000002</v>
      </c>
      <c r="E15" s="31" t="s">
        <v>430</v>
      </c>
      <c r="F15" s="31">
        <v>-7150.0524999999998</v>
      </c>
      <c r="G15" s="31">
        <v>3630.1768000000002</v>
      </c>
      <c r="H15" s="31">
        <v>13437.7032</v>
      </c>
      <c r="I15" s="31">
        <v>19644.607800000002</v>
      </c>
      <c r="J15" s="31">
        <v>20587.755700000002</v>
      </c>
      <c r="K15" s="31" t="s">
        <v>431</v>
      </c>
      <c r="L15" s="31">
        <v>7150.0524999999998</v>
      </c>
      <c r="M15" s="31">
        <v>-3630.1768000000002</v>
      </c>
      <c r="N15" s="31">
        <v>-13437.7032</v>
      </c>
      <c r="O15" s="31">
        <v>-19644.607800000002</v>
      </c>
    </row>
    <row r="16" spans="2:15" ht="15.5" x14ac:dyDescent="0.35">
      <c r="B16" s="32"/>
      <c r="C16" s="31" t="s">
        <v>63</v>
      </c>
      <c r="D16" s="31">
        <v>-20521.2647</v>
      </c>
      <c r="E16" s="31">
        <v>-15777.4717</v>
      </c>
      <c r="F16" s="31">
        <v>-6806.1178</v>
      </c>
      <c r="G16" s="31">
        <v>3988.9297999999999</v>
      </c>
      <c r="H16" s="31">
        <v>13715.1469</v>
      </c>
      <c r="I16" s="31">
        <v>19766.4015</v>
      </c>
      <c r="J16" s="31">
        <v>20521.2647</v>
      </c>
      <c r="K16" s="31">
        <v>15777.4717</v>
      </c>
      <c r="L16" s="31">
        <v>6806.1178</v>
      </c>
      <c r="M16" s="31">
        <v>-3988.9297999999999</v>
      </c>
      <c r="N16" s="31">
        <v>-13715.1469</v>
      </c>
      <c r="O16" s="31">
        <v>-19766.4015</v>
      </c>
    </row>
    <row r="17" spans="2:15" ht="15.5" x14ac:dyDescent="0.35">
      <c r="B17" s="32"/>
      <c r="C17" s="31" t="s">
        <v>64</v>
      </c>
      <c r="D17" s="31">
        <v>-20448.522799999999</v>
      </c>
      <c r="E17" s="31">
        <v>-15535.706399999999</v>
      </c>
      <c r="F17" s="31" t="s">
        <v>444</v>
      </c>
      <c r="G17" s="31">
        <v>4346.4677000000001</v>
      </c>
      <c r="H17" s="31">
        <v>13988.412899999999</v>
      </c>
      <c r="I17" s="31">
        <v>19882.1741</v>
      </c>
      <c r="J17" s="31">
        <v>20448.522799999999</v>
      </c>
      <c r="K17" s="31">
        <v>15535.706399999999</v>
      </c>
      <c r="L17" s="31" t="s">
        <v>445</v>
      </c>
      <c r="M17" s="31">
        <v>-4346.4677000000001</v>
      </c>
      <c r="N17" s="31">
        <v>-13988.412899999999</v>
      </c>
      <c r="O17" s="31">
        <v>-19882.1741</v>
      </c>
    </row>
    <row r="18" spans="2:15" ht="15.5" x14ac:dyDescent="0.35">
      <c r="B18" s="32"/>
      <c r="C18" s="31" t="s">
        <v>68</v>
      </c>
      <c r="D18" s="31">
        <v>-20369.552100000001</v>
      </c>
      <c r="E18" s="31">
        <v>-15289.2088</v>
      </c>
      <c r="F18" s="31">
        <v>-6112.1342999999997</v>
      </c>
      <c r="G18" s="31">
        <v>4702.6815999999999</v>
      </c>
      <c r="H18" s="31">
        <v>14257.417799999999</v>
      </c>
      <c r="I18" s="31">
        <v>19991.8904</v>
      </c>
      <c r="J18" s="31">
        <v>20369.552100000001</v>
      </c>
      <c r="K18" s="31">
        <v>15289.2088</v>
      </c>
      <c r="L18" s="31">
        <v>6112.1342999999997</v>
      </c>
      <c r="M18" s="31">
        <v>-4702.6815999999999</v>
      </c>
      <c r="N18" s="31">
        <v>-14257.417799999999</v>
      </c>
      <c r="O18" s="31">
        <v>-19991.8904</v>
      </c>
    </row>
    <row r="19" spans="2:15" ht="15.5" x14ac:dyDescent="0.35">
      <c r="B19" s="32"/>
      <c r="C19" s="31" t="s">
        <v>71</v>
      </c>
      <c r="D19" s="31">
        <v>-20284.3766</v>
      </c>
      <c r="E19" s="31">
        <v>-15038.053900000001</v>
      </c>
      <c r="F19" s="31">
        <v>-5762.2968000000001</v>
      </c>
      <c r="G19" s="31">
        <v>5057.4630999999999</v>
      </c>
      <c r="H19" s="31">
        <v>14522.0798</v>
      </c>
      <c r="I19" s="31" t="s">
        <v>463</v>
      </c>
      <c r="J19" s="31">
        <v>20284.3766</v>
      </c>
      <c r="K19" s="31">
        <v>15038.053900000001</v>
      </c>
      <c r="L19" s="31">
        <v>5762.2968000000001</v>
      </c>
      <c r="M19" s="31">
        <v>-5057.4630999999999</v>
      </c>
      <c r="N19" s="31">
        <v>-14522.0798</v>
      </c>
      <c r="O19" s="31" t="s">
        <v>464</v>
      </c>
    </row>
    <row r="20" spans="2:15" ht="15.5" x14ac:dyDescent="0.35">
      <c r="B20" s="32"/>
      <c r="C20" s="31" t="s">
        <v>72</v>
      </c>
      <c r="D20" s="31">
        <v>-20193.022300000001</v>
      </c>
      <c r="E20" s="31">
        <v>-14782.318300000001</v>
      </c>
      <c r="F20" s="31" t="s">
        <v>473</v>
      </c>
      <c r="G20" s="31" t="s">
        <v>474</v>
      </c>
      <c r="H20" s="31">
        <v>14782.318300000001</v>
      </c>
      <c r="I20" s="31">
        <v>20193.022300000001</v>
      </c>
      <c r="J20" s="31">
        <v>20193.022300000001</v>
      </c>
      <c r="K20" s="31">
        <v>14782.318300000001</v>
      </c>
      <c r="L20" s="31" t="s">
        <v>474</v>
      </c>
      <c r="M20" s="31" t="s">
        <v>473</v>
      </c>
      <c r="N20" s="31">
        <v>-14782.318300000001</v>
      </c>
      <c r="O20" s="31">
        <v>-20193.022300000001</v>
      </c>
    </row>
    <row r="21" spans="2:15" ht="15.5" x14ac:dyDescent="0.35">
      <c r="B21" s="32"/>
      <c r="C21" s="31" t="s">
        <v>73</v>
      </c>
      <c r="D21" s="31" t="s">
        <v>464</v>
      </c>
      <c r="E21" s="31">
        <v>-14522.0798</v>
      </c>
      <c r="F21" s="31">
        <v>-5057.4630999999999</v>
      </c>
      <c r="G21" s="31">
        <v>5762.2968000000001</v>
      </c>
      <c r="H21" s="31">
        <v>15038.053900000001</v>
      </c>
      <c r="I21" s="31">
        <v>20284.3766</v>
      </c>
      <c r="J21" s="31" t="s">
        <v>463</v>
      </c>
      <c r="K21" s="31">
        <v>14522.0798</v>
      </c>
      <c r="L21" s="31">
        <v>5057.4630999999999</v>
      </c>
      <c r="M21" s="31">
        <v>-5762.2968000000001</v>
      </c>
      <c r="N21" s="31">
        <v>-15038.053900000001</v>
      </c>
      <c r="O21" s="31">
        <v>-20284.3766</v>
      </c>
    </row>
    <row r="22" spans="2:15" ht="15.5" x14ac:dyDescent="0.35">
      <c r="B22" s="32"/>
      <c r="C22" s="31" t="s">
        <v>74</v>
      </c>
      <c r="D22" s="31">
        <v>-19991.8904</v>
      </c>
      <c r="E22" s="31">
        <v>-14257.417799999999</v>
      </c>
      <c r="F22" s="31">
        <v>-4702.6815999999999</v>
      </c>
      <c r="G22" s="31">
        <v>6112.1342999999997</v>
      </c>
      <c r="H22" s="31">
        <v>15289.2088</v>
      </c>
      <c r="I22" s="31">
        <v>20369.552100000001</v>
      </c>
      <c r="J22" s="31">
        <v>19991.8904</v>
      </c>
      <c r="K22" s="31">
        <v>14257.417799999999</v>
      </c>
      <c r="L22" s="31">
        <v>4702.6815999999999</v>
      </c>
      <c r="M22" s="31">
        <v>-6112.1342999999997</v>
      </c>
      <c r="N22" s="31">
        <v>-15289.2088</v>
      </c>
      <c r="O22" s="31">
        <v>-20369.552100000001</v>
      </c>
    </row>
    <row r="23" spans="2:15" ht="15.5" x14ac:dyDescent="0.35">
      <c r="B23" s="32"/>
      <c r="C23" s="31" t="s">
        <v>75</v>
      </c>
      <c r="D23" s="31">
        <v>-19882.1741</v>
      </c>
      <c r="E23" s="31">
        <v>-13988.412899999999</v>
      </c>
      <c r="F23" s="31">
        <v>-4346.4677000000001</v>
      </c>
      <c r="G23" s="31" t="s">
        <v>445</v>
      </c>
      <c r="H23" s="31">
        <v>15535.706399999999</v>
      </c>
      <c r="I23" s="31">
        <v>20448.522799999999</v>
      </c>
      <c r="J23" s="31">
        <v>19882.1741</v>
      </c>
      <c r="K23" s="31">
        <v>13988.412899999999</v>
      </c>
      <c r="L23" s="31">
        <v>4346.4677000000001</v>
      </c>
      <c r="M23" s="31" t="s">
        <v>444</v>
      </c>
      <c r="N23" s="31">
        <v>-15535.706399999999</v>
      </c>
      <c r="O23" s="31">
        <v>-20448.522799999999</v>
      </c>
    </row>
    <row r="24" spans="2:15" ht="15.5" x14ac:dyDescent="0.35">
      <c r="B24" s="32"/>
      <c r="C24" s="31" t="s">
        <v>77</v>
      </c>
      <c r="D24" s="31">
        <v>-19766.4015</v>
      </c>
      <c r="E24" s="31">
        <v>-13715.1469</v>
      </c>
      <c r="F24" s="31">
        <v>-3988.9297999999999</v>
      </c>
      <c r="G24" s="31">
        <v>6806.1178</v>
      </c>
      <c r="H24" s="31">
        <v>15777.4717</v>
      </c>
      <c r="I24" s="31">
        <v>20521.2647</v>
      </c>
      <c r="J24" s="31">
        <v>19766.4015</v>
      </c>
      <c r="K24" s="31">
        <v>13715.1469</v>
      </c>
      <c r="L24" s="31">
        <v>3988.9297999999999</v>
      </c>
      <c r="M24" s="31">
        <v>-6806.1178</v>
      </c>
      <c r="N24" s="31">
        <v>-15777.4717</v>
      </c>
      <c r="O24" s="31">
        <v>-20521.2647</v>
      </c>
    </row>
    <row r="25" spans="2:15" ht="15.5" x14ac:dyDescent="0.35">
      <c r="B25" s="32"/>
      <c r="C25" s="31" t="s">
        <v>78</v>
      </c>
      <c r="D25" s="31">
        <v>-19644.607800000002</v>
      </c>
      <c r="E25" s="31">
        <v>-13437.7032</v>
      </c>
      <c r="F25" s="31">
        <v>-3630.1768000000002</v>
      </c>
      <c r="G25" s="31">
        <v>7150.0524999999998</v>
      </c>
      <c r="H25" s="31" t="s">
        <v>431</v>
      </c>
      <c r="I25" s="31">
        <v>20587.755700000002</v>
      </c>
      <c r="J25" s="31">
        <v>19644.607800000002</v>
      </c>
      <c r="K25" s="31">
        <v>13437.7032</v>
      </c>
      <c r="L25" s="31">
        <v>3630.1768000000002</v>
      </c>
      <c r="M25" s="31">
        <v>-7150.0524999999998</v>
      </c>
      <c r="N25" s="31" t="s">
        <v>430</v>
      </c>
      <c r="O25" s="31">
        <v>-20587.755700000002</v>
      </c>
    </row>
    <row r="26" spans="2:15" ht="15.5" x14ac:dyDescent="0.35">
      <c r="B26" s="32"/>
      <c r="C26" s="31" t="s">
        <v>79</v>
      </c>
      <c r="D26" s="31">
        <v>-19516.8302</v>
      </c>
      <c r="E26" s="31">
        <v>-13156.1662</v>
      </c>
      <c r="F26" s="31" t="s">
        <v>420</v>
      </c>
      <c r="G26" s="31">
        <v>7491.8091999999997</v>
      </c>
      <c r="H26" s="31">
        <v>16246.512199999999</v>
      </c>
      <c r="I26" s="31">
        <v>20647.975399999999</v>
      </c>
      <c r="J26" s="31">
        <v>19516.8302</v>
      </c>
      <c r="K26" s="31">
        <v>13156.1662</v>
      </c>
      <c r="L26" s="31" t="s">
        <v>419</v>
      </c>
      <c r="M26" s="31">
        <v>-7491.8091999999997</v>
      </c>
      <c r="N26" s="31">
        <v>-16246.512199999999</v>
      </c>
      <c r="O26" s="31">
        <v>-20647.975399999999</v>
      </c>
    </row>
    <row r="27" spans="2:15" ht="15.5" x14ac:dyDescent="0.35">
      <c r="B27" s="32"/>
      <c r="C27" s="31" t="s">
        <v>80</v>
      </c>
      <c r="D27" s="31">
        <v>-19383.107599999999</v>
      </c>
      <c r="E27" s="31">
        <v>-12870.6217</v>
      </c>
      <c r="F27" s="31">
        <v>-2909.4630999999999</v>
      </c>
      <c r="G27" s="31">
        <v>7831.2838000000002</v>
      </c>
      <c r="H27" s="31">
        <v>16473.644499999999</v>
      </c>
      <c r="I27" s="31">
        <v>20701.905500000001</v>
      </c>
      <c r="J27" s="31">
        <v>19383.107599999999</v>
      </c>
      <c r="K27" s="31">
        <v>12870.6217</v>
      </c>
      <c r="L27" s="31">
        <v>2909.4630999999999</v>
      </c>
      <c r="M27" s="31">
        <v>-7831.2838000000002</v>
      </c>
      <c r="N27" s="31">
        <v>-16473.644499999999</v>
      </c>
      <c r="O27" s="31">
        <v>-20701.905500000001</v>
      </c>
    </row>
    <row r="28" spans="2:15" ht="15.5" x14ac:dyDescent="0.35">
      <c r="B28" s="32"/>
      <c r="C28" s="31" t="s">
        <v>81</v>
      </c>
      <c r="D28" s="31">
        <v>-19243.4807</v>
      </c>
      <c r="E28" s="31">
        <v>-12581.1567</v>
      </c>
      <c r="F28" s="31">
        <v>-2547.7219</v>
      </c>
      <c r="G28" s="31" t="s">
        <v>398</v>
      </c>
      <c r="H28" s="31">
        <v>16695.758900000001</v>
      </c>
      <c r="I28" s="31">
        <v>20749.529699999999</v>
      </c>
      <c r="J28" s="31">
        <v>19243.4807</v>
      </c>
      <c r="K28" s="31">
        <v>12581.1567</v>
      </c>
      <c r="L28" s="31">
        <v>2547.7219</v>
      </c>
      <c r="M28" s="31" t="s">
        <v>397</v>
      </c>
      <c r="N28" s="31">
        <v>-16695.758900000001</v>
      </c>
      <c r="O28" s="31">
        <v>-20749.529699999999</v>
      </c>
    </row>
    <row r="29" spans="2:15" ht="15.5" x14ac:dyDescent="0.35">
      <c r="B29" s="32"/>
      <c r="C29" s="31" t="s">
        <v>82</v>
      </c>
      <c r="D29" s="31">
        <v>-19097.992099999999</v>
      </c>
      <c r="E29" s="31">
        <v>-12287.859399999999</v>
      </c>
      <c r="F29" s="31">
        <v>-2185.2046</v>
      </c>
      <c r="G29" s="31">
        <v>8502.9739000000009</v>
      </c>
      <c r="H29" s="31">
        <v>16912.787499999999</v>
      </c>
      <c r="I29" s="31">
        <v>20790.833299999998</v>
      </c>
      <c r="J29" s="31">
        <v>19097.992099999999</v>
      </c>
      <c r="K29" s="31">
        <v>12287.859399999999</v>
      </c>
      <c r="L29" s="31">
        <v>2185.2046</v>
      </c>
      <c r="M29" s="31">
        <v>-8502.9739000000009</v>
      </c>
      <c r="N29" s="31">
        <v>-16912.787499999999</v>
      </c>
      <c r="O29" s="31">
        <v>-20790.833299999998</v>
      </c>
    </row>
    <row r="30" spans="2:15" ht="15.5" x14ac:dyDescent="0.35">
      <c r="B30" s="32"/>
      <c r="C30" s="31" t="s">
        <v>83</v>
      </c>
      <c r="D30" s="31" t="s">
        <v>381</v>
      </c>
      <c r="E30" s="31" t="s">
        <v>380</v>
      </c>
      <c r="F30" s="31">
        <v>-1822.0217</v>
      </c>
      <c r="G30" s="31">
        <v>8834.9848000000002</v>
      </c>
      <c r="H30" s="31">
        <v>17124.6643</v>
      </c>
      <c r="I30" s="31">
        <v>20825.803800000002</v>
      </c>
      <c r="J30" s="31" t="s">
        <v>379</v>
      </c>
      <c r="K30" s="31" t="s">
        <v>378</v>
      </c>
      <c r="L30" s="31">
        <v>1822.0217</v>
      </c>
      <c r="M30" s="31">
        <v>-8834.9848000000002</v>
      </c>
      <c r="N30" s="31">
        <v>-17124.6643</v>
      </c>
      <c r="O30" s="31">
        <v>-20825.803800000002</v>
      </c>
    </row>
    <row r="31" spans="2:15" ht="15.5" x14ac:dyDescent="0.35">
      <c r="B31" s="32"/>
      <c r="C31" s="31" t="s">
        <v>84</v>
      </c>
      <c r="D31" s="31">
        <v>-18789.608700000001</v>
      </c>
      <c r="E31" s="31">
        <v>-11690.126200000001</v>
      </c>
      <c r="F31" s="31">
        <v>-1458.2837999999999</v>
      </c>
      <c r="G31" s="31">
        <v>9164.3044000000009</v>
      </c>
      <c r="H31" s="31">
        <v>17331.324799999999</v>
      </c>
      <c r="I31" s="31">
        <v>20854.4306</v>
      </c>
      <c r="J31" s="31">
        <v>18789.608700000001</v>
      </c>
      <c r="K31" s="31">
        <v>11690.126200000001</v>
      </c>
      <c r="L31" s="31">
        <v>1458.2837999999999</v>
      </c>
      <c r="M31" s="31">
        <v>-9164.3044000000009</v>
      </c>
      <c r="N31" s="31">
        <v>-17331.324799999999</v>
      </c>
      <c r="O31" s="31">
        <v>-20854.4306</v>
      </c>
    </row>
    <row r="32" spans="2:15" ht="15.5" x14ac:dyDescent="0.35">
      <c r="B32" s="4"/>
      <c r="C32" s="31" t="s">
        <v>86</v>
      </c>
      <c r="D32" s="31">
        <v>-18626.807700000001</v>
      </c>
      <c r="E32" s="31">
        <v>-11385.8724</v>
      </c>
      <c r="F32" s="31">
        <v>-1094.1016999999999</v>
      </c>
      <c r="G32" s="31">
        <v>9490.8325999999997</v>
      </c>
      <c r="H32" s="31" t="s">
        <v>361</v>
      </c>
      <c r="I32" s="31">
        <v>20876.704900000001</v>
      </c>
      <c r="J32" s="31">
        <v>18626.807700000001</v>
      </c>
      <c r="K32" s="31">
        <v>11385.8724</v>
      </c>
      <c r="L32" s="31">
        <v>1094.1016999999999</v>
      </c>
      <c r="M32" s="31">
        <v>-9490.8325999999997</v>
      </c>
      <c r="N32" s="31" t="s">
        <v>360</v>
      </c>
      <c r="O32" s="31">
        <v>-20876.704900000001</v>
      </c>
    </row>
    <row r="33" spans="2:15" ht="15.5" x14ac:dyDescent="0.35">
      <c r="B33" s="4"/>
      <c r="C33" s="31" t="s">
        <v>87</v>
      </c>
      <c r="D33" s="31">
        <v>-18458.332900000001</v>
      </c>
      <c r="E33" s="31">
        <v>-11078.150299999999</v>
      </c>
      <c r="F33" s="31">
        <v>-729.58640000000003</v>
      </c>
      <c r="G33" s="31">
        <v>9814.4696999999996</v>
      </c>
      <c r="H33" s="31">
        <v>17728.746500000001</v>
      </c>
      <c r="I33" s="31" t="s">
        <v>353</v>
      </c>
      <c r="J33" s="31">
        <v>18458.332900000001</v>
      </c>
      <c r="K33" s="31">
        <v>11078.150299999999</v>
      </c>
      <c r="L33" s="31">
        <v>729.58640000000003</v>
      </c>
      <c r="M33" s="31">
        <v>-9814.4696999999996</v>
      </c>
      <c r="N33" s="31">
        <v>-17728.746500000001</v>
      </c>
      <c r="O33" s="31" t="s">
        <v>352</v>
      </c>
    </row>
    <row r="34" spans="2:15" ht="15.5" x14ac:dyDescent="0.35">
      <c r="B34" s="4"/>
      <c r="C34" s="31" t="s">
        <v>88</v>
      </c>
      <c r="D34" s="31">
        <v>-18284.235499999999</v>
      </c>
      <c r="E34" s="31">
        <v>-10767.0538</v>
      </c>
      <c r="F34" s="31">
        <v>-364.84879999999998</v>
      </c>
      <c r="G34" s="31">
        <v>10135.117200000001</v>
      </c>
      <c r="H34" s="31">
        <v>17919.386699999999</v>
      </c>
      <c r="I34" s="31" t="s">
        <v>336</v>
      </c>
      <c r="J34" s="31">
        <v>18284.235499999999</v>
      </c>
      <c r="K34" s="31">
        <v>10767.0538</v>
      </c>
      <c r="L34" s="31">
        <v>364.84879999999998</v>
      </c>
      <c r="M34" s="31">
        <v>-10135.117200000001</v>
      </c>
      <c r="N34" s="31">
        <v>-17919.386699999999</v>
      </c>
      <c r="O34" s="31" t="s">
        <v>335</v>
      </c>
    </row>
    <row r="35" spans="2:15" ht="15.5" x14ac:dyDescent="0.35">
      <c r="B35" s="4"/>
      <c r="C35" s="31" t="s">
        <v>17</v>
      </c>
      <c r="D35" s="31">
        <v>-18104.568500000001</v>
      </c>
      <c r="E35" s="31">
        <v>-10452.6775</v>
      </c>
      <c r="F35" s="31" t="s">
        <v>22</v>
      </c>
      <c r="G35" s="31">
        <v>10452.6775</v>
      </c>
      <c r="H35" s="31">
        <v>18104.568500000001</v>
      </c>
      <c r="I35" s="31" t="s">
        <v>330</v>
      </c>
      <c r="J35" s="31" t="s">
        <v>486</v>
      </c>
      <c r="K35" s="31">
        <v>10452.6775</v>
      </c>
      <c r="L35" s="31" t="s">
        <v>22</v>
      </c>
      <c r="M35" s="31">
        <v>-10452.6775</v>
      </c>
      <c r="N35" s="31">
        <v>-18104.568500000001</v>
      </c>
      <c r="O35" s="31" t="s">
        <v>329</v>
      </c>
    </row>
  </sheetData>
  <mergeCells count="1">
    <mergeCell ref="C3:O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9A3B-3B7D-4D7A-B223-D4BC73737628}">
  <dimension ref="B3:O35"/>
  <sheetViews>
    <sheetView topLeftCell="C1" workbookViewId="0">
      <selection activeCell="P1" sqref="P1"/>
    </sheetView>
  </sheetViews>
  <sheetFormatPr defaultRowHeight="14.5" x14ac:dyDescent="0.35"/>
  <cols>
    <col min="4" max="4" width="13.81640625" customWidth="1"/>
    <col min="5" max="5" width="13.36328125" customWidth="1"/>
    <col min="6" max="6" width="11.90625" customWidth="1"/>
    <col min="7" max="7" width="13.26953125" customWidth="1"/>
    <col min="8" max="8" width="12.36328125" customWidth="1"/>
    <col min="9" max="9" width="13.453125" customWidth="1"/>
    <col min="10" max="10" width="12" customWidth="1"/>
    <col min="11" max="11" width="12.08984375" customWidth="1"/>
    <col min="12" max="12" width="12.54296875" customWidth="1"/>
    <col min="13" max="13" width="11.7265625" customWidth="1"/>
    <col min="14" max="14" width="12.54296875" customWidth="1"/>
    <col min="15" max="15" width="12.7265625" customWidth="1"/>
  </cols>
  <sheetData>
    <row r="3" spans="2:15" ht="15.5" x14ac:dyDescent="0.35">
      <c r="B3" s="15"/>
      <c r="C3" s="93" t="s">
        <v>326</v>
      </c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5"/>
    </row>
    <row r="4" spans="2:15" ht="15.5" x14ac:dyDescent="0.35">
      <c r="B4" s="15"/>
      <c r="C4" s="30" t="s">
        <v>15</v>
      </c>
      <c r="D4" s="30" t="s">
        <v>16</v>
      </c>
      <c r="E4" s="30" t="s">
        <v>17</v>
      </c>
      <c r="F4" s="30" t="s">
        <v>18</v>
      </c>
      <c r="G4" s="30" t="s">
        <v>19</v>
      </c>
      <c r="H4" s="30" t="s">
        <v>20</v>
      </c>
      <c r="I4" s="30" t="s">
        <v>21</v>
      </c>
      <c r="J4" s="30" t="s">
        <v>36</v>
      </c>
      <c r="K4" s="30" t="s">
        <v>37</v>
      </c>
      <c r="L4" s="30" t="s">
        <v>38</v>
      </c>
      <c r="M4" s="30" t="s">
        <v>39</v>
      </c>
      <c r="N4" s="30" t="s">
        <v>40</v>
      </c>
      <c r="O4" s="30" t="s">
        <v>41</v>
      </c>
    </row>
    <row r="5" spans="2:15" ht="15.5" x14ac:dyDescent="0.35">
      <c r="B5" s="4"/>
      <c r="C5" s="31">
        <v>0</v>
      </c>
      <c r="D5" s="31" t="s">
        <v>331</v>
      </c>
      <c r="E5" s="31">
        <v>-3203.5241000000001</v>
      </c>
      <c r="F5" s="31">
        <v>-1849.5554999999999</v>
      </c>
      <c r="G5" s="31" t="s">
        <v>22</v>
      </c>
      <c r="H5" s="31" t="s">
        <v>332</v>
      </c>
      <c r="I5" s="31" t="s">
        <v>333</v>
      </c>
      <c r="J5" s="31" t="s">
        <v>334</v>
      </c>
      <c r="K5" s="31" t="s">
        <v>333</v>
      </c>
      <c r="L5" s="31" t="s">
        <v>332</v>
      </c>
      <c r="M5" s="31" t="s">
        <v>22</v>
      </c>
      <c r="N5" s="31">
        <v>-1849.5554999999999</v>
      </c>
      <c r="O5" s="31">
        <v>-3203.5241000000001</v>
      </c>
    </row>
    <row r="6" spans="2:15" ht="15.5" x14ac:dyDescent="0.35">
      <c r="B6" s="4"/>
      <c r="C6" s="31">
        <v>1</v>
      </c>
      <c r="D6" s="31">
        <v>-3698.5475999999999</v>
      </c>
      <c r="E6" s="31" t="s">
        <v>337</v>
      </c>
      <c r="F6" s="31">
        <v>-1793.3646000000001</v>
      </c>
      <c r="G6" s="31" t="s">
        <v>338</v>
      </c>
      <c r="H6" s="31" t="s">
        <v>339</v>
      </c>
      <c r="I6" s="31" t="s">
        <v>340</v>
      </c>
      <c r="J6" s="31" t="s">
        <v>341</v>
      </c>
      <c r="K6" s="31" t="s">
        <v>342</v>
      </c>
      <c r="L6" s="31" t="s">
        <v>343</v>
      </c>
      <c r="M6" s="31">
        <v>-64.558400000000006</v>
      </c>
      <c r="N6" s="31" t="s">
        <v>344</v>
      </c>
      <c r="O6" s="31">
        <v>-3235.3154</v>
      </c>
    </row>
    <row r="7" spans="2:15" ht="15.5" x14ac:dyDescent="0.35">
      <c r="B7" s="4"/>
      <c r="C7" s="31">
        <v>2</v>
      </c>
      <c r="D7" s="31">
        <v>-3696.8575999999998</v>
      </c>
      <c r="E7" s="31">
        <v>-3137.0239999999999</v>
      </c>
      <c r="F7" s="31">
        <v>-1736.6274000000001</v>
      </c>
      <c r="G7" s="31" t="s">
        <v>354</v>
      </c>
      <c r="H7" s="31" t="s">
        <v>355</v>
      </c>
      <c r="I7" s="31" t="s">
        <v>356</v>
      </c>
      <c r="J7" s="31" t="s">
        <v>357</v>
      </c>
      <c r="K7" s="31" t="s">
        <v>358</v>
      </c>
      <c r="L7" s="31" t="s">
        <v>359</v>
      </c>
      <c r="M7" s="31">
        <v>-129.09710000000001</v>
      </c>
      <c r="N7" s="31">
        <v>-1960.2302</v>
      </c>
      <c r="O7" s="31">
        <v>-3266.1212</v>
      </c>
    </row>
    <row r="8" spans="2:15" ht="15.5" x14ac:dyDescent="0.35">
      <c r="B8" s="4"/>
      <c r="C8" s="31">
        <v>3</v>
      </c>
      <c r="D8" s="31">
        <v>-3694.0414999999998</v>
      </c>
      <c r="E8" s="31">
        <v>-3102.3355000000001</v>
      </c>
      <c r="F8" s="31">
        <v>-1679.3613</v>
      </c>
      <c r="G8" s="31" t="s">
        <v>362</v>
      </c>
      <c r="H8" s="31" t="s">
        <v>363</v>
      </c>
      <c r="I8" s="31" t="s">
        <v>364</v>
      </c>
      <c r="J8" s="31" t="s">
        <v>365</v>
      </c>
      <c r="K8" s="31" t="s">
        <v>366</v>
      </c>
      <c r="L8" s="31" t="s">
        <v>367</v>
      </c>
      <c r="M8" s="31">
        <v>-1935.9649999999999</v>
      </c>
      <c r="N8" s="31">
        <v>-2014.6802</v>
      </c>
      <c r="O8" s="31" t="s">
        <v>368</v>
      </c>
    </row>
    <row r="9" spans="2:15" ht="15.5" x14ac:dyDescent="0.35">
      <c r="B9" s="4"/>
      <c r="C9" s="31">
        <v>4</v>
      </c>
      <c r="D9" s="31">
        <v>-3690.1001999999999</v>
      </c>
      <c r="E9" s="31" t="s">
        <v>371</v>
      </c>
      <c r="F9" s="31">
        <v>-1621.5835</v>
      </c>
      <c r="G9" s="31" t="s">
        <v>372</v>
      </c>
      <c r="H9" s="31" t="s">
        <v>373</v>
      </c>
      <c r="I9" s="31" t="s">
        <v>374</v>
      </c>
      <c r="J9" s="31" t="s">
        <v>375</v>
      </c>
      <c r="K9" s="31" t="s">
        <v>376</v>
      </c>
      <c r="L9" s="31" t="s">
        <v>377</v>
      </c>
      <c r="M9" s="31">
        <v>-258.0369</v>
      </c>
      <c r="N9" s="31">
        <v>-2068.5165999999999</v>
      </c>
      <c r="O9" s="31">
        <v>-3324.7388999999998</v>
      </c>
    </row>
    <row r="10" spans="2:15" ht="15.5" x14ac:dyDescent="0.35">
      <c r="B10" s="4"/>
      <c r="C10" s="31">
        <v>5</v>
      </c>
      <c r="D10" s="31">
        <v>-3685.0347999999999</v>
      </c>
      <c r="E10" s="31">
        <v>-3030.1343000000002</v>
      </c>
      <c r="F10" s="31">
        <v>-1563.3118999999999</v>
      </c>
      <c r="G10" s="31" t="s">
        <v>382</v>
      </c>
      <c r="H10" s="31" t="s">
        <v>383</v>
      </c>
      <c r="I10" s="31" t="s">
        <v>384</v>
      </c>
      <c r="J10" s="31" t="s">
        <v>385</v>
      </c>
      <c r="K10" s="31" t="s">
        <v>386</v>
      </c>
      <c r="L10" s="31" t="s">
        <v>387</v>
      </c>
      <c r="M10" s="31">
        <v>-322.39879999999999</v>
      </c>
      <c r="N10" s="31">
        <v>-2121.7229000000002</v>
      </c>
      <c r="O10" s="31">
        <v>-3352.5331000000001</v>
      </c>
    </row>
    <row r="11" spans="2:15" ht="15.5" x14ac:dyDescent="0.35">
      <c r="B11" s="4"/>
      <c r="C11" s="31">
        <v>6</v>
      </c>
      <c r="D11" s="31">
        <v>-3678.8469</v>
      </c>
      <c r="E11" s="31">
        <v>-2992.6437000000001</v>
      </c>
      <c r="F11" s="31" t="s">
        <v>390</v>
      </c>
      <c r="G11" s="31" t="s">
        <v>391</v>
      </c>
      <c r="H11" s="31" t="s">
        <v>392</v>
      </c>
      <c r="I11" s="31" t="s">
        <v>393</v>
      </c>
      <c r="J11" s="31" t="s">
        <v>394</v>
      </c>
      <c r="K11" s="31" t="s">
        <v>395</v>
      </c>
      <c r="L11" s="31" t="s">
        <v>396</v>
      </c>
      <c r="M11" s="31">
        <v>-386.66239999999999</v>
      </c>
      <c r="N11" s="31">
        <v>-2174.2829000000002</v>
      </c>
      <c r="O11" s="31">
        <v>-3379.3060999999998</v>
      </c>
    </row>
    <row r="12" spans="2:15" ht="15.5" x14ac:dyDescent="0.35">
      <c r="B12" s="4"/>
      <c r="C12" s="31">
        <v>7</v>
      </c>
      <c r="D12" s="31">
        <v>-3671.5383999999999</v>
      </c>
      <c r="E12" s="31">
        <v>-2954.2413999999999</v>
      </c>
      <c r="F12" s="31">
        <v>-1445.3578</v>
      </c>
      <c r="G12" s="31" t="s">
        <v>399</v>
      </c>
      <c r="H12" s="31" t="s">
        <v>400</v>
      </c>
      <c r="I12" s="31" t="s">
        <v>401</v>
      </c>
      <c r="J12" s="31" t="s">
        <v>402</v>
      </c>
      <c r="K12" s="31" t="s">
        <v>403</v>
      </c>
      <c r="L12" s="31" t="s">
        <v>404</v>
      </c>
      <c r="M12" s="31" t="s">
        <v>405</v>
      </c>
      <c r="N12" s="31">
        <v>-2226.1806000000001</v>
      </c>
      <c r="O12" s="31">
        <v>-3405.0495999999998</v>
      </c>
    </row>
    <row r="13" spans="2:15" ht="15.5" x14ac:dyDescent="0.35">
      <c r="B13" s="4"/>
      <c r="C13" s="31">
        <v>8</v>
      </c>
      <c r="D13" s="31">
        <v>-3663.1115</v>
      </c>
      <c r="E13" s="31">
        <v>-2914.9391999999998</v>
      </c>
      <c r="F13" s="31">
        <v>-1385.7113999999999</v>
      </c>
      <c r="G13" s="31" t="s">
        <v>408</v>
      </c>
      <c r="H13" s="31" t="s">
        <v>409</v>
      </c>
      <c r="I13" s="31" t="s">
        <v>410</v>
      </c>
      <c r="J13" s="31" t="s">
        <v>411</v>
      </c>
      <c r="K13" s="31" t="s">
        <v>412</v>
      </c>
      <c r="L13" s="31" t="s">
        <v>413</v>
      </c>
      <c r="M13" s="31">
        <v>-514.81669999999997</v>
      </c>
      <c r="N13" s="31">
        <v>-2277.4000999999998</v>
      </c>
      <c r="O13" s="31" t="s">
        <v>414</v>
      </c>
    </row>
    <row r="14" spans="2:15" ht="15.5" x14ac:dyDescent="0.35">
      <c r="B14" s="4"/>
      <c r="C14" s="31">
        <v>9</v>
      </c>
      <c r="D14" s="31">
        <v>-3653.5688</v>
      </c>
      <c r="E14" s="31">
        <v>-2874.7492000000002</v>
      </c>
      <c r="F14" s="31">
        <v>-1325.6428000000001</v>
      </c>
      <c r="G14" s="31" t="s">
        <v>421</v>
      </c>
      <c r="H14" s="31" t="s">
        <v>422</v>
      </c>
      <c r="I14" s="31" t="s">
        <v>423</v>
      </c>
      <c r="J14" s="31" t="s">
        <v>424</v>
      </c>
      <c r="K14" s="31" t="s">
        <v>425</v>
      </c>
      <c r="L14" s="31" t="s">
        <v>426</v>
      </c>
      <c r="M14" s="31">
        <v>-578.66849999999999</v>
      </c>
      <c r="N14" s="31" t="s">
        <v>427</v>
      </c>
      <c r="O14" s="31">
        <v>-3453.4176000000002</v>
      </c>
    </row>
    <row r="15" spans="2:15" ht="15.5" x14ac:dyDescent="0.35">
      <c r="B15" s="4"/>
      <c r="C15" s="31">
        <v>10</v>
      </c>
      <c r="D15" s="31">
        <v>-3642.9132</v>
      </c>
      <c r="E15" s="31">
        <v>-2833.6833999999999</v>
      </c>
      <c r="F15" s="31">
        <v>-1265.1704999999999</v>
      </c>
      <c r="G15" s="31" t="s">
        <v>432</v>
      </c>
      <c r="H15" s="31" t="s">
        <v>433</v>
      </c>
      <c r="I15" s="31" t="s">
        <v>434</v>
      </c>
      <c r="J15" s="31" t="s">
        <v>435</v>
      </c>
      <c r="K15" s="31" t="s">
        <v>436</v>
      </c>
      <c r="L15" s="31" t="s">
        <v>437</v>
      </c>
      <c r="M15" s="31">
        <v>-642.34389999999996</v>
      </c>
      <c r="N15" s="31">
        <v>-2377.7426999999998</v>
      </c>
      <c r="O15" s="31">
        <v>-3476.0273000000002</v>
      </c>
    </row>
    <row r="16" spans="2:15" ht="15.5" x14ac:dyDescent="0.35">
      <c r="B16" s="4"/>
      <c r="C16" s="31">
        <v>11</v>
      </c>
      <c r="D16" s="31">
        <v>-3631.1478999999999</v>
      </c>
      <c r="E16" s="31">
        <v>-2791.7545</v>
      </c>
      <c r="F16" s="31">
        <v>-1204.3126999999999</v>
      </c>
      <c r="G16" s="31" t="s">
        <v>438</v>
      </c>
      <c r="H16" s="31" t="s">
        <v>439</v>
      </c>
      <c r="I16" s="31" t="s">
        <v>440</v>
      </c>
      <c r="J16" s="31" t="s">
        <v>441</v>
      </c>
      <c r="K16" s="31" t="s">
        <v>442</v>
      </c>
      <c r="L16" s="31" t="s">
        <v>443</v>
      </c>
      <c r="M16" s="31">
        <v>-705.82370000000003</v>
      </c>
      <c r="N16" s="31">
        <v>-2426.8352</v>
      </c>
      <c r="O16" s="31">
        <v>-3497.5781999999999</v>
      </c>
    </row>
    <row r="17" spans="2:15" ht="15.5" x14ac:dyDescent="0.35">
      <c r="B17" s="4"/>
      <c r="C17" s="31">
        <v>12</v>
      </c>
      <c r="D17" s="31">
        <v>-3618.2764999999999</v>
      </c>
      <c r="E17" s="31">
        <v>-2748.9751999999999</v>
      </c>
      <c r="F17" s="31">
        <v>-1143.0881999999999</v>
      </c>
      <c r="G17" s="31" t="s">
        <v>446</v>
      </c>
      <c r="H17" s="31" t="s">
        <v>447</v>
      </c>
      <c r="I17" s="31" t="s">
        <v>448</v>
      </c>
      <c r="J17" s="31" t="s">
        <v>449</v>
      </c>
      <c r="K17" s="31" t="s">
        <v>450</v>
      </c>
      <c r="L17" s="31" t="s">
        <v>451</v>
      </c>
      <c r="M17" s="31">
        <v>-769.08839999999998</v>
      </c>
      <c r="N17" s="31">
        <v>-2475.1884</v>
      </c>
      <c r="O17" s="31">
        <v>-3518.0636</v>
      </c>
    </row>
    <row r="18" spans="2:15" ht="15.5" x14ac:dyDescent="0.35">
      <c r="B18" s="4"/>
      <c r="C18" s="31">
        <v>13</v>
      </c>
      <c r="D18" s="31" t="s">
        <v>454</v>
      </c>
      <c r="E18" s="31">
        <v>-27053.584999999999</v>
      </c>
      <c r="F18" s="31">
        <v>-1081.5154</v>
      </c>
      <c r="G18" s="31" t="s">
        <v>455</v>
      </c>
      <c r="H18" s="31" t="s">
        <v>456</v>
      </c>
      <c r="I18" s="31" t="s">
        <v>457</v>
      </c>
      <c r="J18" s="31" t="s">
        <v>458</v>
      </c>
      <c r="K18" s="31" t="s">
        <v>459</v>
      </c>
      <c r="L18" s="31" t="s">
        <v>460</v>
      </c>
      <c r="M18" s="31">
        <v>-832.11890000000005</v>
      </c>
      <c r="N18" s="31">
        <v>-2522.7876000000001</v>
      </c>
      <c r="O18" s="31">
        <v>-3537.4774000000002</v>
      </c>
    </row>
    <row r="19" spans="2:15" ht="15.5" x14ac:dyDescent="0.35">
      <c r="B19" s="4"/>
      <c r="C19" s="31">
        <v>14</v>
      </c>
      <c r="D19" s="31">
        <v>-3589.2316000000001</v>
      </c>
      <c r="E19" s="31">
        <v>-2660.9178000000002</v>
      </c>
      <c r="F19" s="31">
        <v>-1019.6132</v>
      </c>
      <c r="G19" s="31" t="s">
        <v>465</v>
      </c>
      <c r="H19" s="31" t="s">
        <v>466</v>
      </c>
      <c r="I19" s="31" t="s">
        <v>467</v>
      </c>
      <c r="J19" s="31" t="s">
        <v>468</v>
      </c>
      <c r="K19" s="31" t="s">
        <v>469</v>
      </c>
      <c r="L19" s="31" t="s">
        <v>470</v>
      </c>
      <c r="M19" s="31">
        <v>-894.89589999999998</v>
      </c>
      <c r="N19" s="31">
        <v>-2569.6183999999998</v>
      </c>
      <c r="O19" s="31">
        <v>-3555.8137000000002</v>
      </c>
    </row>
    <row r="20" spans="2:15" ht="15.5" x14ac:dyDescent="0.35">
      <c r="B20" s="4"/>
      <c r="C20" s="31">
        <v>15</v>
      </c>
      <c r="D20" s="31">
        <v>-3573.0668000000001</v>
      </c>
      <c r="E20" s="31">
        <v>-2615.6664999999998</v>
      </c>
      <c r="F20" s="31">
        <v>-957.40039999999999</v>
      </c>
      <c r="G20" s="31" t="s">
        <v>475</v>
      </c>
      <c r="H20" s="31" t="s">
        <v>476</v>
      </c>
      <c r="I20" s="31" t="s">
        <v>477</v>
      </c>
      <c r="J20" s="31" t="s">
        <v>477</v>
      </c>
      <c r="K20" s="31" t="s">
        <v>476</v>
      </c>
      <c r="L20" s="31" t="s">
        <v>475</v>
      </c>
      <c r="M20" s="31">
        <v>-957.40039999999999</v>
      </c>
      <c r="N20" s="31">
        <v>-2615.6664999999998</v>
      </c>
      <c r="O20" s="31">
        <v>-3573.0668000000001</v>
      </c>
    </row>
    <row r="21" spans="2:15" ht="15.5" x14ac:dyDescent="0.35">
      <c r="B21" s="4"/>
      <c r="C21" s="31">
        <v>16</v>
      </c>
      <c r="D21" s="31">
        <v>-3555.8137000000002</v>
      </c>
      <c r="E21" s="31">
        <v>-2569.6183999999998</v>
      </c>
      <c r="F21" s="31">
        <v>-894.89589999999998</v>
      </c>
      <c r="G21" s="31" t="s">
        <v>470</v>
      </c>
      <c r="H21" s="31" t="s">
        <v>469</v>
      </c>
      <c r="I21" s="31" t="s">
        <v>468</v>
      </c>
      <c r="J21" s="31" t="s">
        <v>467</v>
      </c>
      <c r="K21" s="31" t="s">
        <v>466</v>
      </c>
      <c r="L21" s="31" t="s">
        <v>465</v>
      </c>
      <c r="M21" s="31">
        <v>-1019.6132</v>
      </c>
      <c r="N21" s="31">
        <v>-2660.9178000000002</v>
      </c>
      <c r="O21" s="31">
        <v>-3589.2316000000001</v>
      </c>
    </row>
    <row r="22" spans="2:15" ht="15.5" x14ac:dyDescent="0.35">
      <c r="B22" s="4"/>
      <c r="C22" s="31">
        <v>17</v>
      </c>
      <c r="D22" s="31">
        <v>-3537.4774000000002</v>
      </c>
      <c r="E22" s="31">
        <v>-2522.7876000000001</v>
      </c>
      <c r="F22" s="31">
        <v>-832.11890000000005</v>
      </c>
      <c r="G22" s="31" t="s">
        <v>460</v>
      </c>
      <c r="H22" s="31" t="s">
        <v>459</v>
      </c>
      <c r="I22" s="31" t="s">
        <v>458</v>
      </c>
      <c r="J22" s="31" t="s">
        <v>457</v>
      </c>
      <c r="K22" s="31" t="s">
        <v>456</v>
      </c>
      <c r="L22" s="31" t="s">
        <v>455</v>
      </c>
      <c r="M22" s="31">
        <v>-1081.5154</v>
      </c>
      <c r="N22" s="31">
        <v>-27053.584999999999</v>
      </c>
      <c r="O22" s="31" t="s">
        <v>454</v>
      </c>
    </row>
    <row r="23" spans="2:15" ht="15.5" x14ac:dyDescent="0.35">
      <c r="B23" s="4"/>
      <c r="C23" s="31">
        <v>18</v>
      </c>
      <c r="D23" s="31">
        <v>-3518.0636</v>
      </c>
      <c r="E23" s="31">
        <v>-2475.1884</v>
      </c>
      <c r="F23" s="31">
        <v>-769.08839999999998</v>
      </c>
      <c r="G23" s="31" t="s">
        <v>451</v>
      </c>
      <c r="H23" s="31" t="s">
        <v>450</v>
      </c>
      <c r="I23" s="31" t="s">
        <v>449</v>
      </c>
      <c r="J23" s="31" t="s">
        <v>448</v>
      </c>
      <c r="K23" s="31" t="s">
        <v>447</v>
      </c>
      <c r="L23" s="31" t="s">
        <v>446</v>
      </c>
      <c r="M23" s="31">
        <v>-1143.0881999999999</v>
      </c>
      <c r="N23" s="31">
        <v>-2748.9751999999999</v>
      </c>
      <c r="O23" s="31">
        <v>-3618.2764999999999</v>
      </c>
    </row>
    <row r="24" spans="2:15" ht="15.5" x14ac:dyDescent="0.35">
      <c r="B24" s="4"/>
      <c r="C24" s="31">
        <v>19</v>
      </c>
      <c r="D24" s="31">
        <v>-3497.5781999999999</v>
      </c>
      <c r="E24" s="31">
        <v>-2426.8352</v>
      </c>
      <c r="F24" s="31">
        <v>-705.82370000000003</v>
      </c>
      <c r="G24" s="31" t="s">
        <v>443</v>
      </c>
      <c r="H24" s="31" t="s">
        <v>442</v>
      </c>
      <c r="I24" s="31" t="s">
        <v>441</v>
      </c>
      <c r="J24" s="31" t="s">
        <v>440</v>
      </c>
      <c r="K24" s="31" t="s">
        <v>439</v>
      </c>
      <c r="L24" s="31" t="s">
        <v>438</v>
      </c>
      <c r="M24" s="31">
        <v>-1204.3126999999999</v>
      </c>
      <c r="N24" s="31">
        <v>-2791.7545</v>
      </c>
      <c r="O24" s="31">
        <v>-3631.1478999999999</v>
      </c>
    </row>
    <row r="25" spans="2:15" ht="15.5" x14ac:dyDescent="0.35">
      <c r="B25" s="4"/>
      <c r="C25" s="31">
        <v>20</v>
      </c>
      <c r="D25" s="31">
        <v>-3476.0273000000002</v>
      </c>
      <c r="E25" s="31">
        <v>-2377.7426999999998</v>
      </c>
      <c r="F25" s="31">
        <v>-642.34389999999996</v>
      </c>
      <c r="G25" s="31" t="s">
        <v>437</v>
      </c>
      <c r="H25" s="31" t="s">
        <v>436</v>
      </c>
      <c r="I25" s="31" t="s">
        <v>435</v>
      </c>
      <c r="J25" s="31" t="s">
        <v>434</v>
      </c>
      <c r="K25" s="31" t="s">
        <v>433</v>
      </c>
      <c r="L25" s="31" t="s">
        <v>432</v>
      </c>
      <c r="M25" s="31">
        <v>-1265.1704999999999</v>
      </c>
      <c r="N25" s="31">
        <v>-2833.6833999999999</v>
      </c>
      <c r="O25" s="31">
        <v>-3642.9132</v>
      </c>
    </row>
    <row r="26" spans="2:15" ht="15.5" x14ac:dyDescent="0.35">
      <c r="B26" s="4"/>
      <c r="C26" s="31">
        <v>21</v>
      </c>
      <c r="D26" s="31">
        <v>-3453.4176000000002</v>
      </c>
      <c r="E26" s="31">
        <v>-2327.9259999999999</v>
      </c>
      <c r="F26" s="31">
        <v>-578.66849999999999</v>
      </c>
      <c r="G26" s="31" t="s">
        <v>426</v>
      </c>
      <c r="H26" s="31" t="s">
        <v>425</v>
      </c>
      <c r="I26" s="31" t="s">
        <v>424</v>
      </c>
      <c r="J26" s="31" t="s">
        <v>423</v>
      </c>
      <c r="K26" s="31" t="s">
        <v>422</v>
      </c>
      <c r="L26" s="31" t="s">
        <v>421</v>
      </c>
      <c r="M26" s="31">
        <v>-1325.6428000000001</v>
      </c>
      <c r="N26" s="31">
        <v>-2874.7492000000002</v>
      </c>
      <c r="O26" s="31">
        <v>-3653.5688</v>
      </c>
    </row>
    <row r="27" spans="2:15" ht="15.5" x14ac:dyDescent="0.35">
      <c r="B27" s="4"/>
      <c r="C27" s="31">
        <v>22</v>
      </c>
      <c r="D27" s="31" t="s">
        <v>414</v>
      </c>
      <c r="E27" s="31">
        <v>-2277.4000999999998</v>
      </c>
      <c r="F27" s="31">
        <v>-514.81669999999997</v>
      </c>
      <c r="G27" s="31" t="s">
        <v>413</v>
      </c>
      <c r="H27" s="31" t="s">
        <v>412</v>
      </c>
      <c r="I27" s="31" t="s">
        <v>411</v>
      </c>
      <c r="J27" s="31" t="s">
        <v>410</v>
      </c>
      <c r="K27" s="31" t="s">
        <v>409</v>
      </c>
      <c r="L27" s="31" t="s">
        <v>408</v>
      </c>
      <c r="M27" s="31">
        <v>-1385.7113999999999</v>
      </c>
      <c r="N27" s="31">
        <v>-2914.9391999999998</v>
      </c>
      <c r="O27" s="31">
        <v>-3663.1115</v>
      </c>
    </row>
    <row r="28" spans="2:15" ht="15.5" x14ac:dyDescent="0.35">
      <c r="B28" s="4"/>
      <c r="C28" s="31">
        <v>23</v>
      </c>
      <c r="D28" s="31">
        <v>-3405.0495999999998</v>
      </c>
      <c r="E28" s="31">
        <v>-2226.1806000000001</v>
      </c>
      <c r="F28" s="31" t="s">
        <v>405</v>
      </c>
      <c r="G28" s="31" t="s">
        <v>404</v>
      </c>
      <c r="H28" s="31" t="s">
        <v>403</v>
      </c>
      <c r="I28" s="31" t="s">
        <v>402</v>
      </c>
      <c r="J28" s="31" t="s">
        <v>401</v>
      </c>
      <c r="K28" s="31" t="s">
        <v>400</v>
      </c>
      <c r="L28" s="31" t="s">
        <v>399</v>
      </c>
      <c r="M28" s="31">
        <v>-1445.3578</v>
      </c>
      <c r="N28" s="31">
        <v>-2954.2413999999999</v>
      </c>
      <c r="O28" s="31">
        <v>-3671.5383999999999</v>
      </c>
    </row>
    <row r="29" spans="2:15" ht="15.5" x14ac:dyDescent="0.35">
      <c r="B29" s="4"/>
      <c r="C29" s="31">
        <v>24</v>
      </c>
      <c r="D29" s="31">
        <v>-3379.3060999999998</v>
      </c>
      <c r="E29" s="31">
        <v>-2174.2829000000002</v>
      </c>
      <c r="F29" s="31">
        <v>-386.66239999999999</v>
      </c>
      <c r="G29" s="31" t="s">
        <v>396</v>
      </c>
      <c r="H29" s="31" t="s">
        <v>395</v>
      </c>
      <c r="I29" s="31" t="s">
        <v>394</v>
      </c>
      <c r="J29" s="31" t="s">
        <v>393</v>
      </c>
      <c r="K29" s="31" t="s">
        <v>392</v>
      </c>
      <c r="L29" s="31" t="s">
        <v>391</v>
      </c>
      <c r="M29" s="31" t="s">
        <v>390</v>
      </c>
      <c r="N29" s="31">
        <v>-2992.6437000000001</v>
      </c>
      <c r="O29" s="31">
        <v>-3678.8469</v>
      </c>
    </row>
    <row r="30" spans="2:15" ht="15.5" x14ac:dyDescent="0.35">
      <c r="B30" s="4"/>
      <c r="C30" s="31">
        <v>25</v>
      </c>
      <c r="D30" s="31">
        <v>-3352.5331000000001</v>
      </c>
      <c r="E30" s="31">
        <v>-2121.7229000000002</v>
      </c>
      <c r="F30" s="31">
        <v>-322.39879999999999</v>
      </c>
      <c r="G30" s="31" t="s">
        <v>387</v>
      </c>
      <c r="H30" s="31" t="s">
        <v>386</v>
      </c>
      <c r="I30" s="31" t="s">
        <v>385</v>
      </c>
      <c r="J30" s="31" t="s">
        <v>384</v>
      </c>
      <c r="K30" s="31" t="s">
        <v>383</v>
      </c>
      <c r="L30" s="31" t="s">
        <v>382</v>
      </c>
      <c r="M30" s="31">
        <v>-1563.3118999999999</v>
      </c>
      <c r="N30" s="31">
        <v>-3030.1343000000002</v>
      </c>
      <c r="O30" s="31">
        <v>-3685.0347999999999</v>
      </c>
    </row>
    <row r="31" spans="2:15" ht="15.5" x14ac:dyDescent="0.35">
      <c r="B31" s="4"/>
      <c r="C31" s="31">
        <v>26</v>
      </c>
      <c r="D31" s="31">
        <v>-3324.7388999999998</v>
      </c>
      <c r="E31" s="31">
        <v>-2068.5165999999999</v>
      </c>
      <c r="F31" s="31">
        <v>-258.0369</v>
      </c>
      <c r="G31" s="31" t="s">
        <v>377</v>
      </c>
      <c r="H31" s="31" t="s">
        <v>376</v>
      </c>
      <c r="I31" s="31" t="s">
        <v>375</v>
      </c>
      <c r="J31" s="31" t="s">
        <v>374</v>
      </c>
      <c r="K31" s="31" t="s">
        <v>373</v>
      </c>
      <c r="L31" s="31" t="s">
        <v>372</v>
      </c>
      <c r="M31" s="31">
        <v>-1621.5835</v>
      </c>
      <c r="N31" s="31" t="s">
        <v>371</v>
      </c>
      <c r="O31" s="31">
        <v>-3690.1001999999999</v>
      </c>
    </row>
    <row r="32" spans="2:15" ht="15.5" x14ac:dyDescent="0.35">
      <c r="B32" s="4"/>
      <c r="C32" s="31">
        <v>27</v>
      </c>
      <c r="D32" s="31" t="s">
        <v>368</v>
      </c>
      <c r="E32" s="31">
        <v>-2014.6802</v>
      </c>
      <c r="F32" s="31" t="s">
        <v>481</v>
      </c>
      <c r="G32" s="31" t="s">
        <v>367</v>
      </c>
      <c r="H32" s="31" t="s">
        <v>366</v>
      </c>
      <c r="I32" s="31" t="s">
        <v>365</v>
      </c>
      <c r="J32" s="31" t="s">
        <v>364</v>
      </c>
      <c r="K32" s="31" t="s">
        <v>363</v>
      </c>
      <c r="L32" s="31" t="s">
        <v>362</v>
      </c>
      <c r="M32" s="31">
        <v>-1679.3613</v>
      </c>
      <c r="N32" s="31">
        <v>-3102.3355000000001</v>
      </c>
      <c r="O32" s="31">
        <v>-3694.0414999999998</v>
      </c>
    </row>
    <row r="33" spans="2:15" ht="15.5" x14ac:dyDescent="0.35">
      <c r="B33" s="4"/>
      <c r="C33" s="31">
        <v>28</v>
      </c>
      <c r="D33" s="31">
        <v>-3266.1212</v>
      </c>
      <c r="E33" s="31">
        <v>-1960.2302</v>
      </c>
      <c r="F33" s="31">
        <v>-129.09710000000001</v>
      </c>
      <c r="G33" s="31" t="s">
        <v>359</v>
      </c>
      <c r="H33" s="31" t="s">
        <v>358</v>
      </c>
      <c r="I33" s="31" t="s">
        <v>357</v>
      </c>
      <c r="J33" s="31" t="s">
        <v>356</v>
      </c>
      <c r="K33" s="31" t="s">
        <v>355</v>
      </c>
      <c r="L33" s="31" t="s">
        <v>354</v>
      </c>
      <c r="M33" s="31">
        <v>-1736.6274000000001</v>
      </c>
      <c r="N33" s="31" t="s">
        <v>484</v>
      </c>
      <c r="O33" s="31">
        <v>-3696.8575999999998</v>
      </c>
    </row>
    <row r="34" spans="2:15" ht="15.5" x14ac:dyDescent="0.35">
      <c r="B34" s="4"/>
      <c r="C34" s="31">
        <v>29</v>
      </c>
      <c r="D34" s="31">
        <v>-3235.3154</v>
      </c>
      <c r="E34" s="31" t="s">
        <v>344</v>
      </c>
      <c r="F34" s="31">
        <v>-64.558400000000006</v>
      </c>
      <c r="G34" s="31" t="s">
        <v>343</v>
      </c>
      <c r="H34" s="31" t="s">
        <v>342</v>
      </c>
      <c r="I34" s="31" t="s">
        <v>341</v>
      </c>
      <c r="J34" s="31" t="s">
        <v>340</v>
      </c>
      <c r="K34" s="31" t="s">
        <v>339</v>
      </c>
      <c r="L34" s="31" t="s">
        <v>338</v>
      </c>
      <c r="M34" s="31" t="s">
        <v>485</v>
      </c>
      <c r="N34" s="31" t="s">
        <v>337</v>
      </c>
      <c r="O34" s="31">
        <v>-3698.5475999999999</v>
      </c>
    </row>
    <row r="35" spans="2:15" ht="15.5" x14ac:dyDescent="0.35">
      <c r="B35" s="4"/>
      <c r="C35" s="31">
        <v>30</v>
      </c>
      <c r="D35" s="31">
        <v>-3203.5241000000001</v>
      </c>
      <c r="E35" s="31">
        <v>-1849.5554999999999</v>
      </c>
      <c r="F35" s="31" t="s">
        <v>22</v>
      </c>
      <c r="G35" s="31" t="s">
        <v>332</v>
      </c>
      <c r="H35" s="31" t="s">
        <v>333</v>
      </c>
      <c r="I35" s="31" t="s">
        <v>334</v>
      </c>
      <c r="J35" s="31" t="s">
        <v>333</v>
      </c>
      <c r="K35" s="31" t="s">
        <v>332</v>
      </c>
      <c r="L35" s="31" t="s">
        <v>22</v>
      </c>
      <c r="M35" s="31" t="s">
        <v>487</v>
      </c>
      <c r="N35" s="31">
        <v>-3203.5241000000001</v>
      </c>
      <c r="O35" s="31" t="s">
        <v>331</v>
      </c>
    </row>
  </sheetData>
  <mergeCells count="1">
    <mergeCell ref="C3:O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0506-9885-425C-821C-61E9AD0504E3}">
  <dimension ref="B4:O36"/>
  <sheetViews>
    <sheetView topLeftCell="C1" workbookViewId="0">
      <selection activeCell="P2" sqref="P2"/>
    </sheetView>
  </sheetViews>
  <sheetFormatPr defaultRowHeight="14.5" x14ac:dyDescent="0.35"/>
  <cols>
    <col min="4" max="4" width="13" customWidth="1"/>
    <col min="5" max="5" width="11.90625" customWidth="1"/>
    <col min="6" max="6" width="13.08984375" customWidth="1"/>
    <col min="7" max="7" width="12.08984375" customWidth="1"/>
    <col min="8" max="8" width="11.7265625" customWidth="1"/>
    <col min="9" max="9" width="12.08984375" customWidth="1"/>
    <col min="10" max="10" width="12.1796875" customWidth="1"/>
    <col min="11" max="11" width="14.1796875" customWidth="1"/>
    <col min="12" max="12" width="11.54296875" customWidth="1"/>
    <col min="13" max="13" width="11" customWidth="1"/>
    <col min="14" max="14" width="12.54296875" customWidth="1"/>
    <col min="15" max="15" width="12.1796875" customWidth="1"/>
  </cols>
  <sheetData>
    <row r="4" spans="2:15" ht="15" x14ac:dyDescent="0.35">
      <c r="B4" s="25"/>
      <c r="C4" s="90" t="s">
        <v>327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2"/>
    </row>
    <row r="5" spans="2:15" ht="15" x14ac:dyDescent="0.35">
      <c r="B5" s="25"/>
      <c r="C5" s="30" t="s">
        <v>15</v>
      </c>
      <c r="D5" s="30" t="s">
        <v>16</v>
      </c>
      <c r="E5" s="30" t="s">
        <v>17</v>
      </c>
      <c r="F5" s="30" t="s">
        <v>18</v>
      </c>
      <c r="G5" s="30" t="s">
        <v>19</v>
      </c>
      <c r="H5" s="30" t="s">
        <v>20</v>
      </c>
      <c r="I5" s="30" t="s">
        <v>21</v>
      </c>
      <c r="J5" s="30" t="s">
        <v>36</v>
      </c>
      <c r="K5" s="30" t="s">
        <v>37</v>
      </c>
      <c r="L5" s="30" t="s">
        <v>38</v>
      </c>
      <c r="M5" s="30" t="s">
        <v>39</v>
      </c>
      <c r="N5" s="30" t="s">
        <v>40</v>
      </c>
      <c r="O5" s="30" t="s">
        <v>41</v>
      </c>
    </row>
    <row r="6" spans="2:15" ht="15.5" x14ac:dyDescent="0.35">
      <c r="C6" s="31" t="s">
        <v>16</v>
      </c>
      <c r="D6" s="31" t="s">
        <v>345</v>
      </c>
      <c r="E6" s="31">
        <v>-2559.9434000000001</v>
      </c>
      <c r="F6" s="31" t="s">
        <v>346</v>
      </c>
      <c r="G6" s="31" t="s">
        <v>22</v>
      </c>
      <c r="H6" s="31" t="s">
        <v>347</v>
      </c>
      <c r="I6" s="31">
        <v>2559.9434000000001</v>
      </c>
      <c r="J6" s="31" t="s">
        <v>348</v>
      </c>
      <c r="K6" s="31">
        <v>2559.9434000000001</v>
      </c>
      <c r="L6" s="31" t="s">
        <v>349</v>
      </c>
      <c r="M6" s="31" t="s">
        <v>22</v>
      </c>
      <c r="N6" s="31" t="s">
        <v>346</v>
      </c>
      <c r="O6" s="31">
        <v>-2559.9434000000001</v>
      </c>
    </row>
    <row r="7" spans="2:15" ht="15.5" x14ac:dyDescent="0.35">
      <c r="C7" s="31" t="s">
        <v>42</v>
      </c>
      <c r="D7" s="31">
        <v>-2955.5178000000001</v>
      </c>
      <c r="E7" s="31">
        <v>-2533.7591000000002</v>
      </c>
      <c r="F7" s="31">
        <v>-1433.0817</v>
      </c>
      <c r="G7" s="31">
        <v>51.588799999999999</v>
      </c>
      <c r="H7" s="31">
        <v>1522.4360999999999</v>
      </c>
      <c r="I7" s="31">
        <v>2585.3479000000002</v>
      </c>
      <c r="J7" s="31">
        <v>2955.5178000000001</v>
      </c>
      <c r="K7" s="31">
        <v>2533.7591000000002</v>
      </c>
      <c r="L7" s="31">
        <v>1433.0817</v>
      </c>
      <c r="M7" s="31">
        <v>-51.588799999999999</v>
      </c>
      <c r="N7" s="31">
        <v>-1522.4360999999999</v>
      </c>
      <c r="O7" s="31">
        <v>-2585.3479000000002</v>
      </c>
    </row>
    <row r="8" spans="2:15" ht="15.5" x14ac:dyDescent="0.35">
      <c r="C8" s="31" t="s">
        <v>43</v>
      </c>
      <c r="D8" s="31">
        <v>-2954.1673000000001</v>
      </c>
      <c r="E8" s="31" t="s">
        <v>369</v>
      </c>
      <c r="F8" s="31">
        <v>-1387.7429</v>
      </c>
      <c r="G8" s="31">
        <v>103.1618</v>
      </c>
      <c r="H8" s="31">
        <v>1566.4423999999999</v>
      </c>
      <c r="I8" s="31">
        <v>2609.9648000000002</v>
      </c>
      <c r="J8" s="31">
        <v>2954.1673000000001</v>
      </c>
      <c r="K8" s="31" t="s">
        <v>370</v>
      </c>
      <c r="L8" s="31">
        <v>1387.7429</v>
      </c>
      <c r="M8" s="31">
        <v>-103.1618</v>
      </c>
      <c r="N8" s="31">
        <v>-1566.4423999999999</v>
      </c>
      <c r="O8" s="31">
        <v>-2609.9648000000002</v>
      </c>
    </row>
    <row r="9" spans="2:15" ht="15.5" x14ac:dyDescent="0.35">
      <c r="C9" s="31" t="s">
        <v>44</v>
      </c>
      <c r="D9" s="31">
        <v>-2951.9169000000002</v>
      </c>
      <c r="E9" s="31">
        <v>-2479.0834</v>
      </c>
      <c r="F9" s="31">
        <v>-1341.9813999999999</v>
      </c>
      <c r="G9" s="31">
        <v>154.70339999999999</v>
      </c>
      <c r="H9" s="31">
        <v>1609.9365</v>
      </c>
      <c r="I9" s="31">
        <v>2633.7867999999999</v>
      </c>
      <c r="J9" s="31">
        <v>2951.9169000000002</v>
      </c>
      <c r="K9" s="31">
        <v>2479.0834</v>
      </c>
      <c r="L9" s="31">
        <v>1341.9813999999999</v>
      </c>
      <c r="M9" s="31">
        <v>-154.70339999999999</v>
      </c>
      <c r="N9" s="31">
        <v>-1609.9365</v>
      </c>
      <c r="O9" s="31">
        <v>-2633.7867999999999</v>
      </c>
    </row>
    <row r="10" spans="2:15" ht="15.5" x14ac:dyDescent="0.35">
      <c r="C10" s="31" t="s">
        <v>45</v>
      </c>
      <c r="D10" s="31">
        <v>-2948.7674000000002</v>
      </c>
      <c r="E10" s="31">
        <v>-2450.6084999999998</v>
      </c>
      <c r="F10" s="31">
        <v>-1295.8110999999999</v>
      </c>
      <c r="G10" s="31">
        <v>206.1979</v>
      </c>
      <c r="H10" s="31">
        <v>1652.9563000000001</v>
      </c>
      <c r="I10" s="31">
        <v>2656.8063999999999</v>
      </c>
      <c r="J10" s="31">
        <v>2948.7674000000002</v>
      </c>
      <c r="K10" s="31">
        <v>2450.6084999999998</v>
      </c>
      <c r="L10" s="31">
        <v>1295.8110999999999</v>
      </c>
      <c r="M10" s="31">
        <v>-206.1979</v>
      </c>
      <c r="N10" s="31">
        <v>-1652.9563000000001</v>
      </c>
      <c r="O10" s="31">
        <v>-2656.8063999999999</v>
      </c>
    </row>
    <row r="11" spans="2:15" ht="15.5" x14ac:dyDescent="0.35">
      <c r="C11" s="31" t="s">
        <v>47</v>
      </c>
      <c r="D11" s="31">
        <v>-2944.7195999999999</v>
      </c>
      <c r="E11" s="31">
        <v>-2421.3872000000001</v>
      </c>
      <c r="F11" s="31">
        <v>-1249.2461000000001</v>
      </c>
      <c r="G11" s="31">
        <v>257.62959999999998</v>
      </c>
      <c r="H11" s="31">
        <v>1695.4736</v>
      </c>
      <c r="I11" s="31">
        <v>2679.0167999999999</v>
      </c>
      <c r="J11" s="31">
        <v>2944.7195999999999</v>
      </c>
      <c r="K11" s="31">
        <v>2421.3872000000001</v>
      </c>
      <c r="L11" s="31">
        <v>1249.2461000000001</v>
      </c>
      <c r="M11" s="31">
        <v>-257.62959999999998</v>
      </c>
      <c r="N11" s="31">
        <v>-1695.4736</v>
      </c>
      <c r="O11" s="31">
        <v>-2679.0167999999999</v>
      </c>
    </row>
    <row r="12" spans="2:15" ht="15.5" x14ac:dyDescent="0.35">
      <c r="C12" s="31" t="s">
        <v>50</v>
      </c>
      <c r="D12" s="31">
        <v>-2939.7748999999999</v>
      </c>
      <c r="E12" s="31">
        <v>-2391.4283</v>
      </c>
      <c r="F12" s="31">
        <v>-1202.3005000000001</v>
      </c>
      <c r="G12" s="31">
        <v>308.9828</v>
      </c>
      <c r="H12" s="31">
        <v>1737.4744000000001</v>
      </c>
      <c r="I12" s="31">
        <v>2700.4110999999998</v>
      </c>
      <c r="J12" s="31">
        <v>2939.7748999999999</v>
      </c>
      <c r="K12" s="31">
        <v>2391.4283</v>
      </c>
      <c r="L12" s="31">
        <v>1202.3005000000001</v>
      </c>
      <c r="M12" s="31">
        <v>-308.9828</v>
      </c>
      <c r="N12" s="31">
        <v>-1737.4744000000001</v>
      </c>
      <c r="O12" s="31">
        <v>-2700.4110999999998</v>
      </c>
    </row>
    <row r="13" spans="2:15" ht="15.5" x14ac:dyDescent="0.35">
      <c r="C13" s="31" t="s">
        <v>53</v>
      </c>
      <c r="D13" s="31">
        <v>-2933.9346999999998</v>
      </c>
      <c r="E13" s="31" t="s">
        <v>415</v>
      </c>
      <c r="F13" s="31">
        <v>-1154.9887000000001</v>
      </c>
      <c r="G13" s="31">
        <v>360.24189999999999</v>
      </c>
      <c r="H13" s="31" t="s">
        <v>416</v>
      </c>
      <c r="I13" s="31">
        <v>2720.9829</v>
      </c>
      <c r="J13" s="31">
        <v>2933.9346999999998</v>
      </c>
      <c r="K13" s="31" t="s">
        <v>417</v>
      </c>
      <c r="L13" s="31">
        <v>1154.9887000000001</v>
      </c>
      <c r="M13" s="31">
        <v>-360.24189999999999</v>
      </c>
      <c r="N13" s="31" t="s">
        <v>418</v>
      </c>
      <c r="O13" s="31">
        <v>-2720.9829</v>
      </c>
    </row>
    <row r="14" spans="2:15" ht="15.5" x14ac:dyDescent="0.35">
      <c r="C14" s="31" t="s">
        <v>56</v>
      </c>
      <c r="D14" s="31">
        <v>-2927.2006999999999</v>
      </c>
      <c r="E14" s="31">
        <v>-2329.3346000000001</v>
      </c>
      <c r="F14" s="31">
        <v>-1107.3251</v>
      </c>
      <c r="G14" s="31">
        <v>411.39120000000003</v>
      </c>
      <c r="H14" s="31">
        <v>1819.8756000000001</v>
      </c>
      <c r="I14" s="31">
        <v>2740.7258000000002</v>
      </c>
      <c r="J14" s="31">
        <v>2927.2006999999999</v>
      </c>
      <c r="K14" s="31">
        <v>2329.3346000000001</v>
      </c>
      <c r="L14" s="31">
        <v>1107.3251</v>
      </c>
      <c r="M14" s="31">
        <v>-411.39120000000003</v>
      </c>
      <c r="N14" s="31">
        <v>-1819.8756000000001</v>
      </c>
      <c r="O14" s="31">
        <v>-2740.7258000000002</v>
      </c>
    </row>
    <row r="15" spans="2:15" ht="15.5" x14ac:dyDescent="0.35">
      <c r="C15" s="31" t="s">
        <v>59</v>
      </c>
      <c r="D15" s="31">
        <v>-2919.5751</v>
      </c>
      <c r="E15" s="31">
        <v>-2297.2186000000002</v>
      </c>
      <c r="F15" s="31">
        <v>-1059.3242</v>
      </c>
      <c r="G15" s="31">
        <v>462.4153</v>
      </c>
      <c r="H15" s="31">
        <v>1860.2509</v>
      </c>
      <c r="I15" s="31">
        <v>2759.6338999999998</v>
      </c>
      <c r="J15" s="31">
        <v>2919.5751</v>
      </c>
      <c r="K15" s="31">
        <v>2297.2186000000002</v>
      </c>
      <c r="L15" s="31">
        <v>1059.3242</v>
      </c>
      <c r="M15" s="31">
        <v>-462.4153</v>
      </c>
      <c r="N15" s="31">
        <v>-1860.2509</v>
      </c>
      <c r="O15" s="31">
        <v>-2759.6338999999998</v>
      </c>
    </row>
    <row r="16" spans="2:15" ht="15.5" x14ac:dyDescent="0.35">
      <c r="C16" s="31" t="s">
        <v>62</v>
      </c>
      <c r="D16" s="31">
        <v>-2911.0601999999999</v>
      </c>
      <c r="E16" s="31">
        <v>-2264.4029</v>
      </c>
      <c r="F16" s="31">
        <v>-1011.0006</v>
      </c>
      <c r="G16" s="31">
        <v>513.29849999999999</v>
      </c>
      <c r="H16" s="31">
        <v>1900.0596</v>
      </c>
      <c r="I16" s="31">
        <v>2777.7013000000002</v>
      </c>
      <c r="J16" s="31">
        <v>2911.0601999999999</v>
      </c>
      <c r="K16" s="31">
        <v>2264.4029</v>
      </c>
      <c r="L16" s="31">
        <v>1011.0006</v>
      </c>
      <c r="M16" s="31">
        <v>-513.29849999999999</v>
      </c>
      <c r="N16" s="31">
        <v>-1900.0596</v>
      </c>
      <c r="O16" s="31">
        <v>-2777.7013000000002</v>
      </c>
    </row>
    <row r="17" spans="3:15" ht="15.5" x14ac:dyDescent="0.35">
      <c r="C17" s="31" t="s">
        <v>63</v>
      </c>
      <c r="D17" s="31">
        <v>-2901.6585</v>
      </c>
      <c r="E17" s="31">
        <v>-2230.8973999999998</v>
      </c>
      <c r="F17" s="31" t="s">
        <v>452</v>
      </c>
      <c r="G17" s="31">
        <v>564.02530000000002</v>
      </c>
      <c r="H17" s="31">
        <v>1939.2895000000001</v>
      </c>
      <c r="I17" s="31">
        <v>2794.9227000000001</v>
      </c>
      <c r="J17" s="31">
        <v>2901.6585</v>
      </c>
      <c r="K17" s="31">
        <v>2230.8973999999998</v>
      </c>
      <c r="L17" s="31" t="s">
        <v>453</v>
      </c>
      <c r="M17" s="31">
        <v>-564.02530000000002</v>
      </c>
      <c r="N17" s="31">
        <v>-1939.2895000000001</v>
      </c>
      <c r="O17" s="31">
        <v>-2794.9227000000001</v>
      </c>
    </row>
    <row r="18" spans="3:15" ht="15.5" x14ac:dyDescent="0.35">
      <c r="C18" s="31" t="s">
        <v>64</v>
      </c>
      <c r="D18" s="31" t="s">
        <v>461</v>
      </c>
      <c r="E18" s="31">
        <v>-2196.7123000000001</v>
      </c>
      <c r="F18" s="31">
        <v>-913.4443</v>
      </c>
      <c r="G18" s="31">
        <v>614.58029999999997</v>
      </c>
      <c r="H18" s="31">
        <v>1977.9277999999999</v>
      </c>
      <c r="I18" s="31">
        <v>2811.2926000000002</v>
      </c>
      <c r="J18" s="31" t="s">
        <v>462</v>
      </c>
      <c r="K18" s="31">
        <v>2196.7123000000001</v>
      </c>
      <c r="L18" s="31">
        <v>913.4443</v>
      </c>
      <c r="M18" s="31">
        <v>-614.58029999999997</v>
      </c>
      <c r="N18" s="31">
        <v>-1977.9277999999999</v>
      </c>
      <c r="O18" s="31">
        <v>-2811.2926000000002</v>
      </c>
    </row>
    <row r="19" spans="3:15" ht="15.5" x14ac:dyDescent="0.35">
      <c r="C19" s="31" t="s">
        <v>68</v>
      </c>
      <c r="D19" s="31">
        <v>-2880.2067000000002</v>
      </c>
      <c r="E19" s="31">
        <v>-2161.8580999999999</v>
      </c>
      <c r="F19" s="31">
        <v>-864.2414</v>
      </c>
      <c r="G19" s="31">
        <v>664.94809999999995</v>
      </c>
      <c r="H19" s="31">
        <v>2015.9653000000001</v>
      </c>
      <c r="I19" s="31">
        <v>2826.8063000000002</v>
      </c>
      <c r="J19" s="31">
        <v>2880.2067000000002</v>
      </c>
      <c r="K19" s="31">
        <v>2161.8580999999999</v>
      </c>
      <c r="L19" s="31">
        <v>864.2414</v>
      </c>
      <c r="M19" s="31">
        <v>-664.94809999999995</v>
      </c>
      <c r="N19" s="31">
        <v>-2015.9653000000001</v>
      </c>
      <c r="O19" s="31">
        <v>-2826.8063000000002</v>
      </c>
    </row>
    <row r="20" spans="3:15" ht="15.5" x14ac:dyDescent="0.35">
      <c r="C20" s="31" t="s">
        <v>71</v>
      </c>
      <c r="D20" s="31">
        <v>-2868.1631000000002</v>
      </c>
      <c r="E20" s="31">
        <v>-2126.3454000000002</v>
      </c>
      <c r="F20" s="31">
        <v>-814.77520000000004</v>
      </c>
      <c r="G20" s="31">
        <v>715.11339999999996</v>
      </c>
      <c r="H20" s="31">
        <v>2053.3879000000002</v>
      </c>
      <c r="I20" s="31">
        <v>2841.4587999999999</v>
      </c>
      <c r="J20" s="31">
        <v>2868.1631000000002</v>
      </c>
      <c r="K20" s="31">
        <v>2126.3454000000002</v>
      </c>
      <c r="L20" s="31">
        <v>814.77520000000004</v>
      </c>
      <c r="M20" s="31">
        <v>-715.11339999999996</v>
      </c>
      <c r="N20" s="31">
        <v>-2053.3879000000002</v>
      </c>
      <c r="O20" s="31">
        <v>-2841.4587999999999</v>
      </c>
    </row>
    <row r="21" spans="3:15" ht="15.5" x14ac:dyDescent="0.35">
      <c r="C21" s="31" t="s">
        <v>72</v>
      </c>
      <c r="D21" s="31">
        <v>-2855.2458000000001</v>
      </c>
      <c r="E21" s="31" t="s">
        <v>478</v>
      </c>
      <c r="F21" s="31">
        <v>-765.06079999999997</v>
      </c>
      <c r="G21" s="31">
        <v>765.06079999999997</v>
      </c>
      <c r="H21" s="31" t="s">
        <v>479</v>
      </c>
      <c r="I21" s="31">
        <v>2855.2458000000001</v>
      </c>
      <c r="J21" s="31">
        <v>2855.2458000000001</v>
      </c>
      <c r="K21" s="31" t="s">
        <v>479</v>
      </c>
      <c r="L21" s="31">
        <v>765.06079999999997</v>
      </c>
      <c r="M21" s="31">
        <v>-765.06079999999997</v>
      </c>
      <c r="N21" s="31" t="s">
        <v>478</v>
      </c>
      <c r="O21" s="31">
        <v>-2855.2458000000001</v>
      </c>
    </row>
    <row r="22" spans="3:15" ht="15.5" x14ac:dyDescent="0.35">
      <c r="C22" s="31" t="s">
        <v>73</v>
      </c>
      <c r="D22" s="31">
        <v>-2841.4587999999999</v>
      </c>
      <c r="E22" s="31">
        <v>-2053.3879000000002</v>
      </c>
      <c r="F22" s="31">
        <v>-715.11339999999996</v>
      </c>
      <c r="G22" s="31">
        <v>814.77520000000004</v>
      </c>
      <c r="H22" s="31">
        <v>2126.3454000000002</v>
      </c>
      <c r="I22" s="31">
        <v>2868.1631000000002</v>
      </c>
      <c r="J22" s="31">
        <v>2841.4587999999999</v>
      </c>
      <c r="K22" s="31">
        <v>2053.3879000000002</v>
      </c>
      <c r="L22" s="31">
        <v>715.11339999999996</v>
      </c>
      <c r="M22" s="31">
        <v>-814.77520000000004</v>
      </c>
      <c r="N22" s="31">
        <v>-2126.3454000000002</v>
      </c>
      <c r="O22" s="31">
        <v>-2868.1631000000002</v>
      </c>
    </row>
    <row r="23" spans="3:15" ht="15.5" x14ac:dyDescent="0.35">
      <c r="C23" s="31" t="s">
        <v>74</v>
      </c>
      <c r="D23" s="31">
        <v>-2826.8063000000002</v>
      </c>
      <c r="E23" s="31">
        <v>-2015.9653000000001</v>
      </c>
      <c r="F23" s="31">
        <v>-664.94809999999995</v>
      </c>
      <c r="G23" s="31">
        <v>864.2414</v>
      </c>
      <c r="H23" s="31">
        <v>2161.8580999999999</v>
      </c>
      <c r="I23" s="31">
        <v>2880.2067000000002</v>
      </c>
      <c r="J23" s="31">
        <v>2826.8063000000002</v>
      </c>
      <c r="K23" s="31">
        <v>2015.9653000000001</v>
      </c>
      <c r="L23" s="31">
        <v>664.94809999999995</v>
      </c>
      <c r="M23" s="31">
        <v>-864.2414</v>
      </c>
      <c r="N23" s="31">
        <v>-2161.8580999999999</v>
      </c>
      <c r="O23" s="31">
        <v>-2880.2067000000002</v>
      </c>
    </row>
    <row r="24" spans="3:15" ht="15.5" x14ac:dyDescent="0.35">
      <c r="C24" s="31" t="s">
        <v>75</v>
      </c>
      <c r="D24" s="31">
        <v>-2811.2926000000002</v>
      </c>
      <c r="E24" s="31">
        <v>-1977.9277999999999</v>
      </c>
      <c r="F24" s="31">
        <v>-614.58029999999997</v>
      </c>
      <c r="G24" s="31">
        <v>913.4443</v>
      </c>
      <c r="H24" s="31">
        <v>2196.7123000000001</v>
      </c>
      <c r="I24" s="31" t="s">
        <v>462</v>
      </c>
      <c r="J24" s="31">
        <v>2811.2926000000002</v>
      </c>
      <c r="K24" s="31">
        <v>1977.9277999999999</v>
      </c>
      <c r="L24" s="31">
        <v>614.58029999999997</v>
      </c>
      <c r="M24" s="31">
        <v>-913.4443</v>
      </c>
      <c r="N24" s="31">
        <v>-2196.7123000000001</v>
      </c>
      <c r="O24" s="31" t="s">
        <v>461</v>
      </c>
    </row>
    <row r="25" spans="3:15" ht="15.5" x14ac:dyDescent="0.35">
      <c r="C25" s="31" t="s">
        <v>77</v>
      </c>
      <c r="D25" s="31">
        <v>-2794.9227000000001</v>
      </c>
      <c r="E25" s="31" t="s">
        <v>480</v>
      </c>
      <c r="F25" s="31">
        <v>-564.02530000000002</v>
      </c>
      <c r="G25" s="31" t="s">
        <v>453</v>
      </c>
      <c r="H25" s="31">
        <v>2230.8973999999998</v>
      </c>
      <c r="I25" s="31">
        <v>2901.6585</v>
      </c>
      <c r="J25" s="31">
        <v>2794.9227000000001</v>
      </c>
      <c r="K25" s="31">
        <v>1939.2895000000001</v>
      </c>
      <c r="L25" s="31">
        <v>564.02530000000002</v>
      </c>
      <c r="M25" s="31" t="s">
        <v>452</v>
      </c>
      <c r="N25" s="31">
        <v>-2230.8973999999998</v>
      </c>
      <c r="O25" s="31">
        <v>-2901.6585</v>
      </c>
    </row>
    <row r="26" spans="3:15" ht="15.5" x14ac:dyDescent="0.35">
      <c r="C26" s="31" t="s">
        <v>78</v>
      </c>
      <c r="D26" s="31">
        <v>-2777.7013000000002</v>
      </c>
      <c r="E26" s="31">
        <v>-1900.0596</v>
      </c>
      <c r="F26" s="31">
        <v>-513.29849999999999</v>
      </c>
      <c r="G26" s="31">
        <v>1011.0006</v>
      </c>
      <c r="H26" s="31">
        <v>2264.4029</v>
      </c>
      <c r="I26" s="31">
        <v>2911.0601999999999</v>
      </c>
      <c r="J26" s="31">
        <v>2777.7013000000002</v>
      </c>
      <c r="K26" s="31">
        <v>1900.0596</v>
      </c>
      <c r="L26" s="31">
        <v>513.29849999999999</v>
      </c>
      <c r="M26" s="31">
        <v>-1011.0006</v>
      </c>
      <c r="N26" s="31">
        <v>-2264.4029</v>
      </c>
      <c r="O26" s="31">
        <v>-2911.0601999999999</v>
      </c>
    </row>
    <row r="27" spans="3:15" ht="15.5" x14ac:dyDescent="0.35">
      <c r="C27" s="31" t="s">
        <v>79</v>
      </c>
      <c r="D27" s="31">
        <v>-2759.6338999999998</v>
      </c>
      <c r="E27" s="31">
        <v>-1860.2509</v>
      </c>
      <c r="F27" s="31">
        <v>-462.4153</v>
      </c>
      <c r="G27" s="31">
        <v>1059.3242</v>
      </c>
      <c r="H27" s="31">
        <v>2297.2186000000002</v>
      </c>
      <c r="I27" s="31">
        <v>2919.5751</v>
      </c>
      <c r="J27" s="31">
        <v>2759.6338999999998</v>
      </c>
      <c r="K27" s="31">
        <v>1860.2509</v>
      </c>
      <c r="L27" s="31">
        <v>462.4153</v>
      </c>
      <c r="M27" s="31">
        <v>-1059.3242</v>
      </c>
      <c r="N27" s="31">
        <v>-2297.2186000000002</v>
      </c>
      <c r="O27" s="31">
        <v>-2919.5751</v>
      </c>
    </row>
    <row r="28" spans="3:15" ht="15.5" x14ac:dyDescent="0.35">
      <c r="C28" s="31" t="s">
        <v>80</v>
      </c>
      <c r="D28" s="31">
        <v>-2740.7258000000002</v>
      </c>
      <c r="E28" s="31">
        <v>-1819.8756000000001</v>
      </c>
      <c r="F28" s="31">
        <v>-411.39120000000003</v>
      </c>
      <c r="G28" s="31">
        <v>1107.3251</v>
      </c>
      <c r="H28" s="31">
        <v>2329.3346000000001</v>
      </c>
      <c r="I28" s="31">
        <v>2927.2006999999999</v>
      </c>
      <c r="J28" s="31">
        <v>2740.7258000000002</v>
      </c>
      <c r="K28" s="31">
        <v>1819.8756000000001</v>
      </c>
      <c r="L28" s="31">
        <v>411.39120000000003</v>
      </c>
      <c r="M28" s="31">
        <v>-1107.3251</v>
      </c>
      <c r="N28" s="31">
        <v>-2329.3346000000001</v>
      </c>
      <c r="O28" s="31">
        <v>-2927.2006999999999</v>
      </c>
    </row>
    <row r="29" spans="3:15" ht="15.5" x14ac:dyDescent="0.35">
      <c r="C29" s="31" t="s">
        <v>81</v>
      </c>
      <c r="D29" s="31">
        <v>-2720.9829</v>
      </c>
      <c r="E29" s="31" t="s">
        <v>418</v>
      </c>
      <c r="F29" s="31">
        <v>-360.24189999999999</v>
      </c>
      <c r="G29" s="31">
        <v>1154.9887000000001</v>
      </c>
      <c r="H29" s="31" t="s">
        <v>417</v>
      </c>
      <c r="I29" s="31">
        <v>2933.9346999999998</v>
      </c>
      <c r="J29" s="31">
        <v>2720.9829</v>
      </c>
      <c r="K29" s="31" t="s">
        <v>416</v>
      </c>
      <c r="L29" s="31">
        <v>360.24189999999999</v>
      </c>
      <c r="M29" s="31">
        <v>-1154.9887000000001</v>
      </c>
      <c r="N29" s="31" t="s">
        <v>415</v>
      </c>
      <c r="O29" s="31">
        <v>-2933.9346999999998</v>
      </c>
    </row>
    <row r="30" spans="3:15" ht="15.5" x14ac:dyDescent="0.35">
      <c r="C30" s="31" t="s">
        <v>82</v>
      </c>
      <c r="D30" s="31">
        <v>-2700.4110999999998</v>
      </c>
      <c r="E30" s="31">
        <v>-1737.4744000000001</v>
      </c>
      <c r="F30" s="31">
        <v>-308.9828</v>
      </c>
      <c r="G30" s="31">
        <v>1202.3005000000001</v>
      </c>
      <c r="H30" s="31">
        <v>2391.4283</v>
      </c>
      <c r="I30" s="31">
        <v>2939.7748999999999</v>
      </c>
      <c r="J30" s="31">
        <v>2700.4110999999998</v>
      </c>
      <c r="K30" s="31">
        <v>1737.4744000000001</v>
      </c>
      <c r="L30" s="31">
        <v>308.9828</v>
      </c>
      <c r="M30" s="31">
        <v>-1202.3005000000001</v>
      </c>
      <c r="N30" s="31">
        <v>-2391.4283</v>
      </c>
      <c r="O30" s="31">
        <v>-2939.7748999999999</v>
      </c>
    </row>
    <row r="31" spans="3:15" ht="15.5" x14ac:dyDescent="0.35">
      <c r="C31" s="31" t="s">
        <v>83</v>
      </c>
      <c r="D31" s="31">
        <v>-2679.0167999999999</v>
      </c>
      <c r="E31" s="31">
        <v>-1695.4736</v>
      </c>
      <c r="F31" s="31">
        <v>-257.62959999999998</v>
      </c>
      <c r="G31" s="31">
        <v>1249.2461000000001</v>
      </c>
      <c r="H31" s="31">
        <v>2421.3872000000001</v>
      </c>
      <c r="I31" s="31">
        <v>2944.7195999999999</v>
      </c>
      <c r="J31" s="31">
        <v>2679.0167999999999</v>
      </c>
      <c r="K31" s="31">
        <v>1695.4736</v>
      </c>
      <c r="L31" s="31">
        <v>257.62959999999998</v>
      </c>
      <c r="M31" s="31">
        <v>-1249.2461000000001</v>
      </c>
      <c r="N31" s="31">
        <v>-2421.3872000000001</v>
      </c>
      <c r="O31" s="31">
        <v>-2944.7195999999999</v>
      </c>
    </row>
    <row r="32" spans="3:15" ht="15.5" x14ac:dyDescent="0.35">
      <c r="C32" s="31" t="s">
        <v>84</v>
      </c>
      <c r="D32" s="31">
        <v>-2656.8063999999999</v>
      </c>
      <c r="E32" s="31">
        <v>-1652.9563000000001</v>
      </c>
      <c r="F32" s="31">
        <v>-206.1979</v>
      </c>
      <c r="G32" s="31">
        <v>1295.8110999999999</v>
      </c>
      <c r="H32" s="31">
        <v>2450.6084999999998</v>
      </c>
      <c r="I32" s="31">
        <v>2948.7674000000002</v>
      </c>
      <c r="J32" s="31">
        <v>2656.8063999999999</v>
      </c>
      <c r="K32" s="31">
        <v>1652.9563000000001</v>
      </c>
      <c r="L32" s="31">
        <v>206.1979</v>
      </c>
      <c r="M32" s="31">
        <v>-1295.8110999999999</v>
      </c>
      <c r="N32" s="31">
        <v>-2450.6084999999998</v>
      </c>
      <c r="O32" s="31">
        <v>-2948.7674000000002</v>
      </c>
    </row>
    <row r="33" spans="3:15" ht="15.5" x14ac:dyDescent="0.35">
      <c r="C33" s="31" t="s">
        <v>86</v>
      </c>
      <c r="D33" s="31">
        <v>-2633.7867999999999</v>
      </c>
      <c r="E33" s="31">
        <v>-1609.9365</v>
      </c>
      <c r="F33" s="31">
        <v>-154.70339999999999</v>
      </c>
      <c r="G33" s="31">
        <v>1341.9813999999999</v>
      </c>
      <c r="H33" s="31">
        <v>2479.0834</v>
      </c>
      <c r="I33" s="31">
        <v>2951.9169000000002</v>
      </c>
      <c r="J33" s="31">
        <v>2633.7867999999999</v>
      </c>
      <c r="K33" s="31">
        <v>1609.9365</v>
      </c>
      <c r="L33" s="31">
        <v>154.70339999999999</v>
      </c>
      <c r="M33" s="31">
        <v>-1341.9813999999999</v>
      </c>
      <c r="N33" s="31">
        <v>-2479.0834</v>
      </c>
      <c r="O33" s="31">
        <v>-2951.9169000000002</v>
      </c>
    </row>
    <row r="34" spans="3:15" ht="15.5" x14ac:dyDescent="0.35">
      <c r="C34" s="31" t="s">
        <v>87</v>
      </c>
      <c r="D34" s="31">
        <v>-2609.9648000000002</v>
      </c>
      <c r="E34" s="31">
        <v>-1566.4423999999999</v>
      </c>
      <c r="F34" s="31">
        <v>-103.1618</v>
      </c>
      <c r="G34" s="31">
        <v>1387.7429</v>
      </c>
      <c r="H34" s="31" t="s">
        <v>370</v>
      </c>
      <c r="I34" s="31">
        <v>2954.1673000000001</v>
      </c>
      <c r="J34" s="31">
        <v>2609.9648000000002</v>
      </c>
      <c r="K34" s="31">
        <v>1566.4423999999999</v>
      </c>
      <c r="L34" s="31">
        <v>103.1618</v>
      </c>
      <c r="M34" s="31">
        <v>-1387.7429</v>
      </c>
      <c r="N34" s="31" t="s">
        <v>369</v>
      </c>
      <c r="O34" s="31">
        <v>-2954.1673000000001</v>
      </c>
    </row>
    <row r="35" spans="3:15" ht="15.5" x14ac:dyDescent="0.35">
      <c r="C35" s="31" t="s">
        <v>88</v>
      </c>
      <c r="D35" s="31">
        <v>-2585.3479000000002</v>
      </c>
      <c r="E35" s="31">
        <v>-1522.4360999999999</v>
      </c>
      <c r="F35" s="31">
        <v>-51.588799999999999</v>
      </c>
      <c r="G35" s="31">
        <v>1433.0817</v>
      </c>
      <c r="H35" s="31">
        <v>2533.7591000000002</v>
      </c>
      <c r="I35" s="31">
        <v>2955.5178000000001</v>
      </c>
      <c r="J35" s="31">
        <v>2585.3479000000002</v>
      </c>
      <c r="K35" s="31">
        <v>1522.4360999999999</v>
      </c>
      <c r="L35" s="31">
        <v>51.588799999999999</v>
      </c>
      <c r="M35" s="31">
        <v>-1433.0817</v>
      </c>
      <c r="N35" s="31">
        <v>-2533.7591000000002</v>
      </c>
      <c r="O35" s="31">
        <v>-2955.5178000000001</v>
      </c>
    </row>
    <row r="36" spans="3:15" ht="15.5" x14ac:dyDescent="0.35">
      <c r="C36" s="31" t="s">
        <v>17</v>
      </c>
      <c r="D36" s="31">
        <v>-2559.9434000000001</v>
      </c>
      <c r="E36" s="31" t="s">
        <v>346</v>
      </c>
      <c r="F36" s="31" t="s">
        <v>22</v>
      </c>
      <c r="G36" s="31" t="s">
        <v>347</v>
      </c>
      <c r="H36" s="31">
        <v>2559.9434000000001</v>
      </c>
      <c r="I36" s="31" t="s">
        <v>348</v>
      </c>
      <c r="J36" s="31">
        <v>2559.9434000000001</v>
      </c>
      <c r="K36" s="31" t="s">
        <v>347</v>
      </c>
      <c r="L36" s="31" t="s">
        <v>22</v>
      </c>
      <c r="M36" s="31" t="s">
        <v>346</v>
      </c>
      <c r="N36" s="31">
        <v>-2559.9434000000001</v>
      </c>
      <c r="O36" s="31" t="s">
        <v>345</v>
      </c>
    </row>
  </sheetData>
  <mergeCells count="1">
    <mergeCell ref="C4:O4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934E-204B-4543-85A2-F819B896D7D9}">
  <dimension ref="B3:O35"/>
  <sheetViews>
    <sheetView workbookViewId="0">
      <selection activeCell="B3" sqref="B3:O35"/>
    </sheetView>
  </sheetViews>
  <sheetFormatPr defaultRowHeight="14.5" x14ac:dyDescent="0.35"/>
  <cols>
    <col min="4" max="4" width="11.36328125" customWidth="1"/>
    <col min="5" max="5" width="11.81640625" customWidth="1"/>
    <col min="6" max="7" width="11.54296875" customWidth="1"/>
    <col min="8" max="8" width="10.90625" customWidth="1"/>
    <col min="9" max="9" width="11.7265625" customWidth="1"/>
    <col min="10" max="10" width="10.1796875" customWidth="1"/>
    <col min="11" max="11" width="11.54296875" customWidth="1"/>
    <col min="12" max="12" width="10.90625" customWidth="1"/>
    <col min="13" max="13" width="11.6328125" customWidth="1"/>
    <col min="14" max="14" width="13.7265625" customWidth="1"/>
    <col min="15" max="15" width="11.7265625" customWidth="1"/>
  </cols>
  <sheetData>
    <row r="3" spans="2:15" ht="15.5" x14ac:dyDescent="0.35">
      <c r="B3" s="15"/>
      <c r="C3" s="96" t="s">
        <v>328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8"/>
    </row>
    <row r="4" spans="2:15" ht="15.5" x14ac:dyDescent="0.35">
      <c r="B4" s="15"/>
      <c r="C4" s="30" t="s">
        <v>15</v>
      </c>
      <c r="D4" s="30" t="s">
        <v>16</v>
      </c>
      <c r="E4" s="30" t="s">
        <v>17</v>
      </c>
      <c r="F4" s="30" t="s">
        <v>18</v>
      </c>
      <c r="G4" s="30" t="s">
        <v>19</v>
      </c>
      <c r="H4" s="30" t="s">
        <v>20</v>
      </c>
      <c r="I4" s="30" t="s">
        <v>21</v>
      </c>
      <c r="J4" s="30" t="s">
        <v>36</v>
      </c>
      <c r="K4" s="30" t="s">
        <v>37</v>
      </c>
      <c r="L4" s="30" t="s">
        <v>38</v>
      </c>
      <c r="M4" s="30" t="s">
        <v>39</v>
      </c>
      <c r="N4" s="30" t="s">
        <v>40</v>
      </c>
      <c r="O4" s="30" t="s">
        <v>41</v>
      </c>
    </row>
    <row r="5" spans="2:15" ht="15.5" x14ac:dyDescent="0.35">
      <c r="B5" s="4"/>
      <c r="C5" s="31" t="s">
        <v>16</v>
      </c>
      <c r="D5" s="31" t="s">
        <v>350</v>
      </c>
      <c r="E5" s="31">
        <v>-493.56950000000001</v>
      </c>
      <c r="F5" s="31">
        <v>-284.96249999999998</v>
      </c>
      <c r="G5" s="31" t="s">
        <v>22</v>
      </c>
      <c r="H5" s="31">
        <v>284.96249999999998</v>
      </c>
      <c r="I5" s="31">
        <v>493.56950000000001</v>
      </c>
      <c r="J5" s="31" t="s">
        <v>351</v>
      </c>
      <c r="K5" s="31">
        <v>493.56950000000001</v>
      </c>
      <c r="L5" s="31">
        <v>284.96249999999998</v>
      </c>
      <c r="M5" s="31" t="s">
        <v>22</v>
      </c>
      <c r="N5" s="31">
        <v>-284.96249999999998</v>
      </c>
      <c r="O5" s="31">
        <v>-493.56950000000001</v>
      </c>
    </row>
    <row r="6" spans="2:15" ht="15.5" x14ac:dyDescent="0.35">
      <c r="B6" s="4"/>
      <c r="C6" s="31" t="s">
        <v>42</v>
      </c>
      <c r="D6" s="31">
        <v>-569.83820000000003</v>
      </c>
      <c r="E6" s="31">
        <v>-488.52109999999999</v>
      </c>
      <c r="F6" s="31">
        <v>-276.30509999999998</v>
      </c>
      <c r="G6" s="31">
        <v>9.9466000000000001</v>
      </c>
      <c r="H6" s="31">
        <v>293.53309999999999</v>
      </c>
      <c r="I6" s="31">
        <v>498.4676</v>
      </c>
      <c r="J6" s="31">
        <v>569.83820000000003</v>
      </c>
      <c r="K6" s="31">
        <v>488.52109999999999</v>
      </c>
      <c r="L6" s="31">
        <v>276.30509999999998</v>
      </c>
      <c r="M6" s="31">
        <v>-9.9466000000000001</v>
      </c>
      <c r="N6" s="31">
        <v>-293.53309999999999</v>
      </c>
      <c r="O6" s="31">
        <v>-498.4676</v>
      </c>
    </row>
    <row r="7" spans="2:15" ht="15.5" x14ac:dyDescent="0.35">
      <c r="B7" s="4"/>
      <c r="C7" s="31" t="s">
        <v>43</v>
      </c>
      <c r="D7" s="31">
        <v>-569.57780000000002</v>
      </c>
      <c r="E7" s="31">
        <v>-483.32380000000001</v>
      </c>
      <c r="F7" s="31">
        <v>-267.56360000000001</v>
      </c>
      <c r="G7" s="31">
        <v>19.8901</v>
      </c>
      <c r="H7" s="31">
        <v>302.01420000000002</v>
      </c>
      <c r="I7" s="31">
        <v>503.21390000000002</v>
      </c>
      <c r="J7" s="31">
        <v>569.57780000000002</v>
      </c>
      <c r="K7" s="31">
        <v>483.32380000000001</v>
      </c>
      <c r="L7" s="31">
        <v>267.56360000000001</v>
      </c>
      <c r="M7" s="31">
        <v>-19.8901</v>
      </c>
      <c r="N7" s="31">
        <v>-302.01420000000002</v>
      </c>
      <c r="O7" s="31">
        <v>-503.21390000000002</v>
      </c>
    </row>
    <row r="8" spans="2:15" ht="15.5" x14ac:dyDescent="0.35">
      <c r="B8" s="4"/>
      <c r="C8" s="31" t="s">
        <v>44</v>
      </c>
      <c r="D8" s="31">
        <v>-569.14390000000003</v>
      </c>
      <c r="E8" s="31">
        <v>-477.97930000000002</v>
      </c>
      <c r="F8" s="31">
        <v>-258.7405</v>
      </c>
      <c r="G8" s="31">
        <v>29.8276</v>
      </c>
      <c r="H8" s="31">
        <v>310.40339999999998</v>
      </c>
      <c r="I8" s="31">
        <v>507.80689999999998</v>
      </c>
      <c r="J8" s="31">
        <v>569.14390000000003</v>
      </c>
      <c r="K8" s="31">
        <v>477.97930000000002</v>
      </c>
      <c r="L8" s="31">
        <v>258.7405</v>
      </c>
      <c r="M8" s="31">
        <v>-29.8276</v>
      </c>
      <c r="N8" s="31">
        <v>-310.40339999999998</v>
      </c>
      <c r="O8" s="31">
        <v>-507.80689999999998</v>
      </c>
    </row>
    <row r="9" spans="2:15" ht="15.5" x14ac:dyDescent="0.35">
      <c r="B9" s="4"/>
      <c r="C9" s="31" t="s">
        <v>45</v>
      </c>
      <c r="D9" s="31">
        <v>-568.5367</v>
      </c>
      <c r="E9" s="31">
        <v>-472.48919999999998</v>
      </c>
      <c r="F9" s="31">
        <v>-249.83869999999999</v>
      </c>
      <c r="G9" s="31" t="s">
        <v>388</v>
      </c>
      <c r="H9" s="31">
        <v>318.69799999999998</v>
      </c>
      <c r="I9" s="31">
        <v>512.24519999999995</v>
      </c>
      <c r="J9" s="31">
        <v>568.5367</v>
      </c>
      <c r="K9" s="31">
        <v>472.48919999999998</v>
      </c>
      <c r="L9" s="31">
        <v>249.83869999999999</v>
      </c>
      <c r="M9" s="31" t="s">
        <v>389</v>
      </c>
      <c r="N9" s="31">
        <v>-318.69799999999998</v>
      </c>
      <c r="O9" s="31">
        <v>-512.24519999999995</v>
      </c>
    </row>
    <row r="10" spans="2:15" ht="15.5" x14ac:dyDescent="0.35">
      <c r="B10" s="4"/>
      <c r="C10" s="31" t="s">
        <v>47</v>
      </c>
      <c r="D10" s="31">
        <v>-567.75630000000001</v>
      </c>
      <c r="E10" s="31">
        <v>-466.85520000000002</v>
      </c>
      <c r="F10" s="31">
        <v>-240.86070000000001</v>
      </c>
      <c r="G10" s="31">
        <v>49.672199999999997</v>
      </c>
      <c r="H10" s="31">
        <v>326.8956</v>
      </c>
      <c r="I10" s="31">
        <v>516.52750000000003</v>
      </c>
      <c r="J10" s="31">
        <v>567.75630000000001</v>
      </c>
      <c r="K10" s="31">
        <v>466.85520000000002</v>
      </c>
      <c r="L10" s="31">
        <v>240.86070000000001</v>
      </c>
      <c r="M10" s="31">
        <v>-49.672199999999997</v>
      </c>
      <c r="N10" s="31">
        <v>-326.8956</v>
      </c>
      <c r="O10" s="31">
        <v>-516.52750000000003</v>
      </c>
    </row>
    <row r="11" spans="2:15" ht="15.5" x14ac:dyDescent="0.35">
      <c r="B11" s="4"/>
      <c r="C11" s="31" t="s">
        <v>50</v>
      </c>
      <c r="D11" s="31">
        <v>-566.80290000000002</v>
      </c>
      <c r="E11" s="31" t="s">
        <v>406</v>
      </c>
      <c r="F11" s="31">
        <v>-231.80940000000001</v>
      </c>
      <c r="G11" s="31">
        <v>59.573399999999999</v>
      </c>
      <c r="H11" s="31">
        <v>334.99349999999998</v>
      </c>
      <c r="I11" s="31">
        <v>520.65239999999994</v>
      </c>
      <c r="J11" s="31">
        <v>566.80290000000002</v>
      </c>
      <c r="K11" s="31" t="s">
        <v>407</v>
      </c>
      <c r="L11" s="31">
        <v>231.80940000000001</v>
      </c>
      <c r="M11" s="31">
        <v>-59.573399999999999</v>
      </c>
      <c r="N11" s="31">
        <v>-334.99349999999998</v>
      </c>
      <c r="O11" s="31">
        <v>-520.65239999999994</v>
      </c>
    </row>
    <row r="12" spans="2:15" ht="15.5" x14ac:dyDescent="0.35">
      <c r="B12" s="4"/>
      <c r="C12" s="31" t="s">
        <v>53</v>
      </c>
      <c r="D12" s="31">
        <v>-565.67690000000005</v>
      </c>
      <c r="E12" s="31">
        <v>-455.16230000000002</v>
      </c>
      <c r="F12" s="31">
        <v>-222.6874</v>
      </c>
      <c r="G12" s="31">
        <v>69.456400000000002</v>
      </c>
      <c r="H12" s="31">
        <v>342.98939999999999</v>
      </c>
      <c r="I12" s="31">
        <v>524.61869999999999</v>
      </c>
      <c r="J12" s="31">
        <v>565.67690000000005</v>
      </c>
      <c r="K12" s="31">
        <v>455.16230000000002</v>
      </c>
      <c r="L12" s="31">
        <v>222.6874</v>
      </c>
      <c r="M12" s="31">
        <v>-69.456400000000002</v>
      </c>
      <c r="N12" s="31">
        <v>-342.98939999999999</v>
      </c>
      <c r="O12" s="31">
        <v>-524.61869999999999</v>
      </c>
    </row>
    <row r="13" spans="2:15" ht="15.5" x14ac:dyDescent="0.35">
      <c r="B13" s="4"/>
      <c r="C13" s="31" t="s">
        <v>56</v>
      </c>
      <c r="D13" s="31">
        <v>-564.37850000000003</v>
      </c>
      <c r="E13" s="31" t="s">
        <v>428</v>
      </c>
      <c r="F13" s="31">
        <v>-213.49770000000001</v>
      </c>
      <c r="G13" s="31">
        <v>79.318200000000004</v>
      </c>
      <c r="H13" s="31">
        <v>350.8809</v>
      </c>
      <c r="I13" s="31">
        <v>528.42529999999999</v>
      </c>
      <c r="J13" s="31">
        <v>564.37850000000003</v>
      </c>
      <c r="K13" s="31" t="s">
        <v>429</v>
      </c>
      <c r="L13" s="31">
        <v>213.49770000000001</v>
      </c>
      <c r="M13" s="31">
        <v>-79.318200000000004</v>
      </c>
      <c r="N13" s="31">
        <v>-350.8809</v>
      </c>
      <c r="O13" s="31">
        <v>-528.42529999999999</v>
      </c>
    </row>
    <row r="14" spans="2:15" ht="15.5" x14ac:dyDescent="0.35">
      <c r="B14" s="4"/>
      <c r="C14" s="31" t="s">
        <v>59</v>
      </c>
      <c r="D14" s="31">
        <v>-562.90830000000005</v>
      </c>
      <c r="E14" s="31">
        <v>-442.91489999999999</v>
      </c>
      <c r="F14" s="31">
        <v>-204.24289999999999</v>
      </c>
      <c r="G14" s="31">
        <v>89.155900000000003</v>
      </c>
      <c r="H14" s="31">
        <v>358.66539999999998</v>
      </c>
      <c r="I14" s="31">
        <v>532.07079999999996</v>
      </c>
      <c r="J14" s="31">
        <v>562.90830000000005</v>
      </c>
      <c r="K14" s="31">
        <v>442.91489999999999</v>
      </c>
      <c r="L14" s="31">
        <v>204.24289999999999</v>
      </c>
      <c r="M14" s="31">
        <v>-89.155900000000003</v>
      </c>
      <c r="N14" s="31">
        <v>-358.66539999999998</v>
      </c>
      <c r="O14" s="31">
        <v>-532.07079999999996</v>
      </c>
    </row>
    <row r="15" spans="2:15" ht="15.5" x14ac:dyDescent="0.35">
      <c r="B15" s="4"/>
      <c r="C15" s="31" t="s">
        <v>62</v>
      </c>
      <c r="D15" s="31">
        <v>-561.26660000000004</v>
      </c>
      <c r="E15" s="31">
        <v>-436.58789999999999</v>
      </c>
      <c r="F15" s="31">
        <v>-194.92580000000001</v>
      </c>
      <c r="G15" s="31">
        <v>98.966399999999993</v>
      </c>
      <c r="H15" s="31">
        <v>366.34070000000003</v>
      </c>
      <c r="I15" s="31">
        <v>535.55430000000001</v>
      </c>
      <c r="J15" s="31">
        <v>561.26660000000004</v>
      </c>
      <c r="K15" s="31">
        <v>436.58789999999999</v>
      </c>
      <c r="L15" s="31">
        <v>194.92580000000001</v>
      </c>
      <c r="M15" s="31">
        <v>-98.966399999999993</v>
      </c>
      <c r="N15" s="31">
        <v>-366.34070000000003</v>
      </c>
      <c r="O15" s="31">
        <v>-535.55430000000001</v>
      </c>
    </row>
    <row r="16" spans="2:15" ht="15.5" x14ac:dyDescent="0.35">
      <c r="B16" s="4"/>
      <c r="C16" s="31" t="s">
        <v>63</v>
      </c>
      <c r="D16" s="31">
        <v>-559.45389999999998</v>
      </c>
      <c r="E16" s="31">
        <v>-430.12790000000001</v>
      </c>
      <c r="F16" s="31">
        <v>-185.54939999999999</v>
      </c>
      <c r="G16" s="31">
        <v>108.74679999999999</v>
      </c>
      <c r="H16" s="31">
        <v>373.90440000000001</v>
      </c>
      <c r="I16" s="31">
        <v>538.87469999999996</v>
      </c>
      <c r="J16" s="31">
        <v>559.45389999999998</v>
      </c>
      <c r="K16" s="31">
        <v>430.12790000000001</v>
      </c>
      <c r="L16" s="31">
        <v>185.54939999999999</v>
      </c>
      <c r="M16" s="31">
        <v>-108.74679999999999</v>
      </c>
      <c r="N16" s="31">
        <v>-373.90440000000001</v>
      </c>
      <c r="O16" s="31">
        <v>-538.87469999999996</v>
      </c>
    </row>
    <row r="17" spans="2:15" ht="15.5" x14ac:dyDescent="0.35">
      <c r="B17" s="4"/>
      <c r="C17" s="31" t="s">
        <v>64</v>
      </c>
      <c r="D17" s="31">
        <v>-557.47080000000005</v>
      </c>
      <c r="E17" s="31">
        <v>-423.53680000000003</v>
      </c>
      <c r="F17" s="31">
        <v>-176.1165</v>
      </c>
      <c r="G17" s="31">
        <v>118.4941</v>
      </c>
      <c r="H17" s="31">
        <v>381.35430000000002</v>
      </c>
      <c r="I17" s="31">
        <v>542.03089999999997</v>
      </c>
      <c r="J17" s="31">
        <v>557.47080000000005</v>
      </c>
      <c r="K17" s="31">
        <v>423.53680000000003</v>
      </c>
      <c r="L17" s="31">
        <v>176.1165</v>
      </c>
      <c r="M17" s="31">
        <v>-118.4941</v>
      </c>
      <c r="N17" s="31">
        <v>-381.35430000000002</v>
      </c>
      <c r="O17" s="31">
        <v>-542.03089999999997</v>
      </c>
    </row>
    <row r="18" spans="2:15" ht="15.5" x14ac:dyDescent="0.35">
      <c r="B18" s="4"/>
      <c r="C18" s="31" t="s">
        <v>68</v>
      </c>
      <c r="D18" s="31">
        <v>-555.31790000000001</v>
      </c>
      <c r="E18" s="31">
        <v>-416.8168</v>
      </c>
      <c r="F18" s="31">
        <v>-166.62989999999999</v>
      </c>
      <c r="G18" s="31">
        <v>128.20519999999999</v>
      </c>
      <c r="H18" s="31">
        <v>388.68790000000001</v>
      </c>
      <c r="I18" s="31" t="s">
        <v>471</v>
      </c>
      <c r="J18" s="31">
        <v>555.31790000000001</v>
      </c>
      <c r="K18" s="31">
        <v>416.8168</v>
      </c>
      <c r="L18" s="31">
        <v>166.62989999999999</v>
      </c>
      <c r="M18" s="31">
        <v>-128.20519999999999</v>
      </c>
      <c r="N18" s="31">
        <v>-388.68790000000001</v>
      </c>
      <c r="O18" s="31" t="s">
        <v>472</v>
      </c>
    </row>
    <row r="19" spans="2:15" ht="15.5" x14ac:dyDescent="0.35">
      <c r="B19" s="4"/>
      <c r="C19" s="31" t="s">
        <v>71</v>
      </c>
      <c r="D19" s="31">
        <v>-552.99580000000003</v>
      </c>
      <c r="E19" s="31">
        <v>-409.96969999999999</v>
      </c>
      <c r="F19" s="31">
        <v>-157.0926</v>
      </c>
      <c r="G19" s="31">
        <v>137.87729999999999</v>
      </c>
      <c r="H19" s="31">
        <v>395.90320000000003</v>
      </c>
      <c r="I19" s="31">
        <v>547.84709999999995</v>
      </c>
      <c r="J19" s="31">
        <v>552.99580000000003</v>
      </c>
      <c r="K19" s="31">
        <v>409.96969999999999</v>
      </c>
      <c r="L19" s="31">
        <v>157.0926</v>
      </c>
      <c r="M19" s="31">
        <v>-137.87729999999999</v>
      </c>
      <c r="N19" s="31">
        <v>-395.90320000000003</v>
      </c>
      <c r="O19" s="31">
        <v>-547.84709999999995</v>
      </c>
    </row>
    <row r="20" spans="2:15" ht="15.5" x14ac:dyDescent="0.35">
      <c r="B20" s="4"/>
      <c r="C20" s="31" t="s">
        <v>72</v>
      </c>
      <c r="D20" s="31">
        <v>-550.50530000000003</v>
      </c>
      <c r="E20" s="31">
        <v>-402.99779999999998</v>
      </c>
      <c r="F20" s="31">
        <v>-147.50739999999999</v>
      </c>
      <c r="G20" s="31">
        <v>147.50739999999999</v>
      </c>
      <c r="H20" s="31">
        <v>402.99779999999998</v>
      </c>
      <c r="I20" s="31">
        <v>550.50530000000003</v>
      </c>
      <c r="J20" s="31">
        <v>550.50530000000003</v>
      </c>
      <c r="K20" s="31">
        <v>402.99779999999998</v>
      </c>
      <c r="L20" s="31">
        <v>147.50739999999999</v>
      </c>
      <c r="M20" s="31">
        <v>-147.50739999999999</v>
      </c>
      <c r="N20" s="31">
        <v>-402.99779999999998</v>
      </c>
      <c r="O20" s="31">
        <v>-550.50530000000003</v>
      </c>
    </row>
    <row r="21" spans="2:15" ht="15.5" x14ac:dyDescent="0.35">
      <c r="B21" s="4"/>
      <c r="C21" s="31" t="s">
        <v>73</v>
      </c>
      <c r="D21" s="31">
        <v>-547.84709999999995</v>
      </c>
      <c r="E21" s="31">
        <v>-395.90320000000003</v>
      </c>
      <c r="F21" s="31">
        <v>-137.87729999999999</v>
      </c>
      <c r="G21" s="31">
        <v>157.0926</v>
      </c>
      <c r="H21" s="31">
        <v>409.96969999999999</v>
      </c>
      <c r="I21" s="31">
        <v>552.99580000000003</v>
      </c>
      <c r="J21" s="31">
        <v>547.84709999999995</v>
      </c>
      <c r="K21" s="31">
        <v>395.90320000000003</v>
      </c>
      <c r="L21" s="31">
        <v>137.87729999999999</v>
      </c>
      <c r="M21" s="31">
        <v>-157.0926</v>
      </c>
      <c r="N21" s="31">
        <v>-409.96969999999999</v>
      </c>
      <c r="O21" s="31">
        <v>-552.99580000000003</v>
      </c>
    </row>
    <row r="22" spans="2:15" ht="15.5" x14ac:dyDescent="0.35">
      <c r="B22" s="4"/>
      <c r="C22" s="31" t="s">
        <v>74</v>
      </c>
      <c r="D22" s="31" t="s">
        <v>472</v>
      </c>
      <c r="E22" s="31">
        <v>-388.68790000000001</v>
      </c>
      <c r="F22" s="31">
        <v>-128.20519999999999</v>
      </c>
      <c r="G22" s="31">
        <v>166.62989999999999</v>
      </c>
      <c r="H22" s="31">
        <v>416.8168</v>
      </c>
      <c r="I22" s="31">
        <v>555.31790000000001</v>
      </c>
      <c r="J22" s="31" t="s">
        <v>471</v>
      </c>
      <c r="K22" s="31">
        <v>388.68790000000001</v>
      </c>
      <c r="L22" s="31">
        <v>128.20519999999999</v>
      </c>
      <c r="M22" s="31">
        <v>-166.62989999999999</v>
      </c>
      <c r="N22" s="31">
        <v>-416.8168</v>
      </c>
      <c r="O22" s="31">
        <v>-555.31790000000001</v>
      </c>
    </row>
    <row r="23" spans="2:15" ht="15.5" x14ac:dyDescent="0.35">
      <c r="B23" s="4"/>
      <c r="C23" s="31" t="s">
        <v>75</v>
      </c>
      <c r="D23" s="31">
        <v>-542.03089999999997</v>
      </c>
      <c r="E23" s="31">
        <v>-381.35430000000002</v>
      </c>
      <c r="F23" s="31">
        <v>-118.4941</v>
      </c>
      <c r="G23" s="31">
        <v>176.1165</v>
      </c>
      <c r="H23" s="31">
        <v>423.53680000000003</v>
      </c>
      <c r="I23" s="31">
        <v>557.47080000000005</v>
      </c>
      <c r="J23" s="31">
        <v>542.03089999999997</v>
      </c>
      <c r="K23" s="31">
        <v>381.35430000000002</v>
      </c>
      <c r="L23" s="31">
        <v>118.4941</v>
      </c>
      <c r="M23" s="31">
        <v>-176.1165</v>
      </c>
      <c r="N23" s="31">
        <v>-423.53680000000003</v>
      </c>
      <c r="O23" s="31">
        <v>-557.47080000000005</v>
      </c>
    </row>
    <row r="24" spans="2:15" ht="15.5" x14ac:dyDescent="0.35">
      <c r="B24" s="4"/>
      <c r="C24" s="31" t="s">
        <v>77</v>
      </c>
      <c r="D24" s="31">
        <v>-538.87469999999996</v>
      </c>
      <c r="E24" s="31">
        <v>-373.90440000000001</v>
      </c>
      <c r="F24" s="31">
        <v>-108.74679999999999</v>
      </c>
      <c r="G24" s="31">
        <v>185.54939999999999</v>
      </c>
      <c r="H24" s="31">
        <v>430.12790000000001</v>
      </c>
      <c r="I24" s="31">
        <v>559.45389999999998</v>
      </c>
      <c r="J24" s="31">
        <v>538.87469999999996</v>
      </c>
      <c r="K24" s="31">
        <v>373.90440000000001</v>
      </c>
      <c r="L24" s="31">
        <v>108.74679999999999</v>
      </c>
      <c r="M24" s="31">
        <v>-185.54939999999999</v>
      </c>
      <c r="N24" s="31">
        <v>-430.12790000000001</v>
      </c>
      <c r="O24" s="31">
        <v>-559.45389999999998</v>
      </c>
    </row>
    <row r="25" spans="2:15" ht="15.5" x14ac:dyDescent="0.35">
      <c r="B25" s="4"/>
      <c r="C25" s="31" t="s">
        <v>78</v>
      </c>
      <c r="D25" s="31">
        <v>-535.55430000000001</v>
      </c>
      <c r="E25" s="31">
        <v>-366.34070000000003</v>
      </c>
      <c r="F25" s="31">
        <v>-98.966399999999993</v>
      </c>
      <c r="G25" s="31">
        <v>194.92580000000001</v>
      </c>
      <c r="H25" s="31">
        <v>436.58789999999999</v>
      </c>
      <c r="I25" s="31">
        <v>561.26660000000004</v>
      </c>
      <c r="J25" s="31">
        <v>535.55430000000001</v>
      </c>
      <c r="K25" s="31">
        <v>366.34070000000003</v>
      </c>
      <c r="L25" s="31">
        <v>98.966399999999993</v>
      </c>
      <c r="M25" s="31">
        <v>-194.92580000000001</v>
      </c>
      <c r="N25" s="31">
        <v>-436.58789999999999</v>
      </c>
      <c r="O25" s="31">
        <v>-561.26660000000004</v>
      </c>
    </row>
    <row r="26" spans="2:15" ht="15.5" x14ac:dyDescent="0.35">
      <c r="B26" s="4"/>
      <c r="C26" s="31" t="s">
        <v>79</v>
      </c>
      <c r="D26" s="31">
        <v>-532.07079999999996</v>
      </c>
      <c r="E26" s="31">
        <v>-358.66539999999998</v>
      </c>
      <c r="F26" s="31">
        <v>-89.155900000000003</v>
      </c>
      <c r="G26" s="31">
        <v>204.24289999999999</v>
      </c>
      <c r="H26" s="31">
        <v>442.91489999999999</v>
      </c>
      <c r="I26" s="31">
        <v>562.90830000000005</v>
      </c>
      <c r="J26" s="31">
        <v>532.07079999999996</v>
      </c>
      <c r="K26" s="31">
        <v>358.66539999999998</v>
      </c>
      <c r="L26" s="31">
        <v>89.155900000000003</v>
      </c>
      <c r="M26" s="31">
        <v>-204.24289999999999</v>
      </c>
      <c r="N26" s="31">
        <v>-442.91489999999999</v>
      </c>
      <c r="O26" s="31">
        <v>-562.90830000000005</v>
      </c>
    </row>
    <row r="27" spans="2:15" ht="15.5" x14ac:dyDescent="0.35">
      <c r="B27" s="4"/>
      <c r="C27" s="31" t="s">
        <v>80</v>
      </c>
      <c r="D27" s="31">
        <v>-528.42529999999999</v>
      </c>
      <c r="E27" s="31">
        <v>-350.8809</v>
      </c>
      <c r="F27" s="31">
        <v>-79.318200000000004</v>
      </c>
      <c r="G27" s="31">
        <v>213.49770000000001</v>
      </c>
      <c r="H27" s="31" t="s">
        <v>429</v>
      </c>
      <c r="I27" s="31">
        <v>564.37850000000003</v>
      </c>
      <c r="J27" s="31">
        <v>528.42529999999999</v>
      </c>
      <c r="K27" s="31">
        <v>350.8809</v>
      </c>
      <c r="L27" s="31">
        <v>79.318200000000004</v>
      </c>
      <c r="M27" s="31">
        <v>-213.49770000000001</v>
      </c>
      <c r="N27" s="31" t="s">
        <v>428</v>
      </c>
      <c r="O27" s="31">
        <v>-564.37850000000003</v>
      </c>
    </row>
    <row r="28" spans="2:15" ht="15.5" x14ac:dyDescent="0.35">
      <c r="B28" s="4"/>
      <c r="C28" s="31" t="s">
        <v>81</v>
      </c>
      <c r="D28" s="31">
        <v>-524.61869999999999</v>
      </c>
      <c r="E28" s="31">
        <v>-342.98939999999999</v>
      </c>
      <c r="F28" s="31">
        <v>-69.456400000000002</v>
      </c>
      <c r="G28" s="31">
        <v>222.6874</v>
      </c>
      <c r="H28" s="31">
        <v>455.16230000000002</v>
      </c>
      <c r="I28" s="31">
        <v>565.67690000000005</v>
      </c>
      <c r="J28" s="31">
        <v>524.61869999999999</v>
      </c>
      <c r="K28" s="31">
        <v>342.98939999999999</v>
      </c>
      <c r="L28" s="31">
        <v>69.456400000000002</v>
      </c>
      <c r="M28" s="31">
        <v>-222.6874</v>
      </c>
      <c r="N28" s="31">
        <v>-455.16230000000002</v>
      </c>
      <c r="O28" s="31">
        <v>-565.67690000000005</v>
      </c>
    </row>
    <row r="29" spans="2:15" ht="15.5" x14ac:dyDescent="0.35">
      <c r="B29" s="4"/>
      <c r="C29" s="31" t="s">
        <v>82</v>
      </c>
      <c r="D29" s="31">
        <v>-520.65239999999994</v>
      </c>
      <c r="E29" s="31">
        <v>-334.99349999999998</v>
      </c>
      <c r="F29" s="31">
        <v>-59.573399999999999</v>
      </c>
      <c r="G29" s="31">
        <v>231.80940000000001</v>
      </c>
      <c r="H29" s="31" t="s">
        <v>407</v>
      </c>
      <c r="I29" s="31">
        <v>566.80290000000002</v>
      </c>
      <c r="J29" s="31">
        <v>520.65239999999994</v>
      </c>
      <c r="K29" s="31">
        <v>334.99349999999998</v>
      </c>
      <c r="L29" s="31">
        <v>59.573399999999999</v>
      </c>
      <c r="M29" s="31">
        <v>-231.80940000000001</v>
      </c>
      <c r="N29" s="31" t="s">
        <v>406</v>
      </c>
      <c r="O29" s="31">
        <v>-566.80290000000002</v>
      </c>
    </row>
    <row r="30" spans="2:15" ht="15.5" x14ac:dyDescent="0.35">
      <c r="B30" s="4"/>
      <c r="C30" s="31" t="s">
        <v>83</v>
      </c>
      <c r="D30" s="31">
        <v>-516.52750000000003</v>
      </c>
      <c r="E30" s="31">
        <v>-326.8956</v>
      </c>
      <c r="F30" s="31">
        <v>-49.672199999999997</v>
      </c>
      <c r="G30" s="31">
        <v>240.86070000000001</v>
      </c>
      <c r="H30" s="31">
        <v>466.85520000000002</v>
      </c>
      <c r="I30" s="31">
        <v>567.75630000000001</v>
      </c>
      <c r="J30" s="31">
        <v>516.52750000000003</v>
      </c>
      <c r="K30" s="31">
        <v>326.8956</v>
      </c>
      <c r="L30" s="31">
        <v>49.672199999999997</v>
      </c>
      <c r="M30" s="31">
        <v>-240.86070000000001</v>
      </c>
      <c r="N30" s="31">
        <v>-466.85520000000002</v>
      </c>
      <c r="O30" s="31">
        <v>-567.75630000000001</v>
      </c>
    </row>
    <row r="31" spans="2:15" ht="15.5" x14ac:dyDescent="0.35">
      <c r="B31" s="4"/>
      <c r="C31" s="31" t="s">
        <v>84</v>
      </c>
      <c r="D31" s="31">
        <v>-512.24519999999995</v>
      </c>
      <c r="E31" s="31" t="s">
        <v>482</v>
      </c>
      <c r="F31" s="31" t="s">
        <v>389</v>
      </c>
      <c r="G31" s="31">
        <v>249.83869999999999</v>
      </c>
      <c r="H31" s="31">
        <v>472.48919999999998</v>
      </c>
      <c r="I31" s="31">
        <v>568.5367</v>
      </c>
      <c r="J31" s="31">
        <v>512.24519999999995</v>
      </c>
      <c r="K31" s="31" t="s">
        <v>483</v>
      </c>
      <c r="L31" s="31" t="s">
        <v>388</v>
      </c>
      <c r="M31" s="31">
        <v>-249.83869999999999</v>
      </c>
      <c r="N31" s="31">
        <v>-472.48919999999998</v>
      </c>
      <c r="O31" s="31">
        <v>-568.5367</v>
      </c>
    </row>
    <row r="32" spans="2:15" ht="15.5" x14ac:dyDescent="0.35">
      <c r="B32" s="4"/>
      <c r="C32" s="31" t="s">
        <v>86</v>
      </c>
      <c r="D32" s="31">
        <v>-507.80689999999998</v>
      </c>
      <c r="E32" s="31">
        <v>-310.40339999999998</v>
      </c>
      <c r="F32" s="31">
        <v>-29.8276</v>
      </c>
      <c r="G32" s="31">
        <v>258.7405</v>
      </c>
      <c r="H32" s="31">
        <v>477.97930000000002</v>
      </c>
      <c r="I32" s="31">
        <v>569.14390000000003</v>
      </c>
      <c r="J32" s="31">
        <v>507.80689999999998</v>
      </c>
      <c r="K32" s="31">
        <v>310.40339999999998</v>
      </c>
      <c r="L32" s="31">
        <v>29.8276</v>
      </c>
      <c r="M32" s="31">
        <v>-258.7405</v>
      </c>
      <c r="N32" s="31">
        <v>-477.97930000000002</v>
      </c>
      <c r="O32" s="31">
        <v>-569.14390000000003</v>
      </c>
    </row>
    <row r="33" spans="2:15" ht="15.5" x14ac:dyDescent="0.35">
      <c r="B33" s="4"/>
      <c r="C33" s="31" t="s">
        <v>87</v>
      </c>
      <c r="D33" s="31">
        <v>-503.21390000000002</v>
      </c>
      <c r="E33" s="31">
        <v>-302.01420000000002</v>
      </c>
      <c r="F33" s="31">
        <v>-19.8901</v>
      </c>
      <c r="G33" s="31">
        <v>267.56360000000001</v>
      </c>
      <c r="H33" s="31">
        <v>483.32380000000001</v>
      </c>
      <c r="I33" s="31">
        <v>569.57780000000002</v>
      </c>
      <c r="J33" s="31">
        <v>503.21390000000002</v>
      </c>
      <c r="K33" s="31">
        <v>302.01420000000002</v>
      </c>
      <c r="L33" s="31">
        <v>19.8901</v>
      </c>
      <c r="M33" s="31">
        <v>-267.56360000000001</v>
      </c>
      <c r="N33" s="31">
        <v>-483.32380000000001</v>
      </c>
      <c r="O33" s="31">
        <v>-569.57780000000002</v>
      </c>
    </row>
    <row r="34" spans="2:15" ht="15.5" x14ac:dyDescent="0.35">
      <c r="B34" s="4"/>
      <c r="C34" s="31" t="s">
        <v>88</v>
      </c>
      <c r="D34" s="31">
        <v>-498.4676</v>
      </c>
      <c r="E34" s="31">
        <v>-293.53309999999999</v>
      </c>
      <c r="F34" s="31">
        <v>-9.9466000000000001</v>
      </c>
      <c r="G34" s="31">
        <v>276.30509999999998</v>
      </c>
      <c r="H34" s="31">
        <v>488.52109999999999</v>
      </c>
      <c r="I34" s="31">
        <v>569.83820000000003</v>
      </c>
      <c r="J34" s="31">
        <v>498.4676</v>
      </c>
      <c r="K34" s="31">
        <v>293.53309999999999</v>
      </c>
      <c r="L34" s="31">
        <v>9.9466000000000001</v>
      </c>
      <c r="M34" s="31">
        <v>-276.30509999999998</v>
      </c>
      <c r="N34" s="31">
        <v>-488.52109999999999</v>
      </c>
      <c r="O34" s="31">
        <v>-569.83820000000003</v>
      </c>
    </row>
    <row r="35" spans="2:15" ht="15.5" x14ac:dyDescent="0.35">
      <c r="B35" s="4"/>
      <c r="C35" s="31" t="s">
        <v>17</v>
      </c>
      <c r="D35" s="31">
        <v>-493.56950000000001</v>
      </c>
      <c r="E35" s="31">
        <v>-284.96249999999998</v>
      </c>
      <c r="F35" s="31" t="s">
        <v>22</v>
      </c>
      <c r="G35" s="31">
        <v>284.96249999999998</v>
      </c>
      <c r="H35" s="31">
        <v>493.56950000000001</v>
      </c>
      <c r="I35" s="31" t="s">
        <v>351</v>
      </c>
      <c r="J35" s="31">
        <v>493.56950000000001</v>
      </c>
      <c r="K35" s="31">
        <v>284.96249999999998</v>
      </c>
      <c r="L35" s="31" t="s">
        <v>22</v>
      </c>
      <c r="M35" s="31">
        <v>-284.96249999999998</v>
      </c>
      <c r="N35" s="31">
        <v>-493.56950000000001</v>
      </c>
      <c r="O35" s="31" t="s">
        <v>350</v>
      </c>
    </row>
  </sheetData>
  <mergeCells count="1">
    <mergeCell ref="C3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CC7C-3E45-4581-8C51-0C3F0919C1FB}">
  <dimension ref="C2:O35"/>
  <sheetViews>
    <sheetView workbookViewId="0">
      <selection activeCell="B3" sqref="B3:O35"/>
    </sheetView>
  </sheetViews>
  <sheetFormatPr defaultRowHeight="14.5" x14ac:dyDescent="0.35"/>
  <sheetData>
    <row r="2" spans="3:15" ht="15" thickBot="1" x14ac:dyDescent="0.4"/>
    <row r="3" spans="3:15" ht="16" thickBot="1" x14ac:dyDescent="0.4">
      <c r="C3" s="56" t="s">
        <v>13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3:15" ht="16" thickBot="1" x14ac:dyDescent="0.4">
      <c r="C4" s="2" t="s">
        <v>0</v>
      </c>
      <c r="D4" s="7">
        <v>0</v>
      </c>
      <c r="E4" s="7">
        <v>30</v>
      </c>
      <c r="F4" s="7">
        <v>60</v>
      </c>
      <c r="G4" s="7">
        <v>90</v>
      </c>
      <c r="H4" s="7">
        <v>120</v>
      </c>
      <c r="I4" s="7">
        <v>150</v>
      </c>
      <c r="J4" s="6">
        <v>180</v>
      </c>
      <c r="K4" s="6">
        <v>210</v>
      </c>
      <c r="L4" s="6">
        <v>240</v>
      </c>
      <c r="M4" s="6">
        <v>270</v>
      </c>
      <c r="N4" s="6">
        <v>300</v>
      </c>
      <c r="O4" s="6">
        <v>330</v>
      </c>
    </row>
    <row r="5" spans="3:15" ht="16" thickBot="1" x14ac:dyDescent="0.4">
      <c r="C5" s="2">
        <v>0</v>
      </c>
      <c r="D5" s="8">
        <v>0</v>
      </c>
      <c r="E5" s="8">
        <v>1.1000000000000001E-3</v>
      </c>
      <c r="F5" s="8">
        <v>1.8E-3</v>
      </c>
      <c r="G5" s="8">
        <v>2.0999999999999999E-3</v>
      </c>
      <c r="H5" s="8">
        <v>1.8E-3</v>
      </c>
      <c r="I5" s="8">
        <v>1.1000000000000001E-3</v>
      </c>
      <c r="J5" s="9">
        <v>0</v>
      </c>
      <c r="K5" s="9">
        <v>-1.1000000000000001E-3</v>
      </c>
      <c r="L5" s="9">
        <v>-1.8E-3</v>
      </c>
      <c r="M5" s="9">
        <v>-2.0999999999999999E-3</v>
      </c>
      <c r="N5" s="9">
        <v>-1.8E-3</v>
      </c>
      <c r="O5" s="9">
        <v>-1.1000000000000001E-3</v>
      </c>
    </row>
    <row r="6" spans="3:15" ht="16" thickBot="1" x14ac:dyDescent="0.4">
      <c r="C6" s="2">
        <v>1</v>
      </c>
      <c r="D6" s="8">
        <v>0</v>
      </c>
      <c r="E6" s="8">
        <v>1.1000000000000001E-3</v>
      </c>
      <c r="F6" s="8">
        <v>1.8E-3</v>
      </c>
      <c r="G6" s="8">
        <v>2.0999999999999999E-3</v>
      </c>
      <c r="H6" s="8">
        <v>1.8E-3</v>
      </c>
      <c r="I6" s="8">
        <v>1E-3</v>
      </c>
      <c r="J6" s="9">
        <v>0</v>
      </c>
      <c r="K6" s="9">
        <v>-1.1000000000000001E-3</v>
      </c>
      <c r="L6" s="9">
        <v>-1.8E-3</v>
      </c>
      <c r="M6" s="9">
        <v>-2.0999999999999999E-3</v>
      </c>
      <c r="N6" s="9">
        <v>-1.8E-3</v>
      </c>
      <c r="O6" s="9">
        <v>-1E-3</v>
      </c>
    </row>
    <row r="7" spans="3:15" ht="16" thickBot="1" x14ac:dyDescent="0.4">
      <c r="C7" s="2">
        <v>2</v>
      </c>
      <c r="D7" s="8">
        <v>1E-4</v>
      </c>
      <c r="E7" s="8">
        <v>1.1000000000000001E-3</v>
      </c>
      <c r="F7" s="8">
        <v>1.9E-3</v>
      </c>
      <c r="G7" s="8">
        <v>2.0999999999999999E-3</v>
      </c>
      <c r="H7" s="8">
        <v>1.8E-3</v>
      </c>
      <c r="I7" s="8">
        <v>1E-3</v>
      </c>
      <c r="J7" s="9">
        <v>-1E-4</v>
      </c>
      <c r="K7" s="9">
        <v>-1.1000000000000001E-3</v>
      </c>
      <c r="L7" s="9">
        <v>-1.9E-3</v>
      </c>
      <c r="M7" s="9">
        <v>-2.0999999999999999E-3</v>
      </c>
      <c r="N7" s="9">
        <v>-1.8E-3</v>
      </c>
      <c r="O7" s="9">
        <v>-1E-3</v>
      </c>
    </row>
    <row r="8" spans="3:15" ht="16" thickBot="1" x14ac:dyDescent="0.4">
      <c r="C8" s="2">
        <v>3</v>
      </c>
      <c r="D8" s="8">
        <v>1E-4</v>
      </c>
      <c r="E8" s="8">
        <v>1.1000000000000001E-3</v>
      </c>
      <c r="F8" s="8">
        <v>1.9E-3</v>
      </c>
      <c r="G8" s="8">
        <v>2.0999999999999999E-3</v>
      </c>
      <c r="H8" s="8">
        <v>1.8E-3</v>
      </c>
      <c r="I8" s="8">
        <v>1E-3</v>
      </c>
      <c r="J8" s="9">
        <v>-1E-4</v>
      </c>
      <c r="K8" s="9">
        <v>-1.1000000000000001E-3</v>
      </c>
      <c r="L8" s="9">
        <v>-1.9E-3</v>
      </c>
      <c r="M8" s="9">
        <v>-2.0999999999999999E-3</v>
      </c>
      <c r="N8" s="9">
        <v>-1.8E-3</v>
      </c>
      <c r="O8" s="9">
        <v>-1E-3</v>
      </c>
    </row>
    <row r="9" spans="3:15" ht="16" thickBot="1" x14ac:dyDescent="0.4">
      <c r="C9" s="2">
        <v>4</v>
      </c>
      <c r="D9" s="8">
        <v>1E-4</v>
      </c>
      <c r="E9" s="8">
        <v>1.1999999999999999E-3</v>
      </c>
      <c r="F9" s="8">
        <v>1.9E-3</v>
      </c>
      <c r="G9" s="8">
        <v>2.0999999999999999E-3</v>
      </c>
      <c r="H9" s="8">
        <v>1.6999999999999999E-3</v>
      </c>
      <c r="I9" s="8">
        <v>8.9999999999999998E-4</v>
      </c>
      <c r="J9" s="9">
        <v>-1E-4</v>
      </c>
      <c r="K9" s="9">
        <v>-1.1999999999999999E-3</v>
      </c>
      <c r="L9" s="9">
        <v>-1.9E-3</v>
      </c>
      <c r="M9" s="9">
        <v>-2.0999999999999999E-3</v>
      </c>
      <c r="N9" s="9">
        <v>-1.6999999999999999E-3</v>
      </c>
      <c r="O9" s="9">
        <v>-8.9999999999999998E-4</v>
      </c>
    </row>
    <row r="10" spans="3:15" ht="16" thickBot="1" x14ac:dyDescent="0.4">
      <c r="C10" s="2">
        <v>5</v>
      </c>
      <c r="D10" s="8">
        <v>2.0000000000000001E-4</v>
      </c>
      <c r="E10" s="8">
        <v>1.1999999999999999E-3</v>
      </c>
      <c r="F10" s="8">
        <v>1.9E-3</v>
      </c>
      <c r="G10" s="8">
        <v>2.0999999999999999E-3</v>
      </c>
      <c r="H10" s="8">
        <v>1.6999999999999999E-3</v>
      </c>
      <c r="I10" s="8">
        <v>8.9999999999999998E-4</v>
      </c>
      <c r="J10" s="9">
        <v>-2.0000000000000001E-4</v>
      </c>
      <c r="K10" s="9">
        <v>-1.1999999999999999E-3</v>
      </c>
      <c r="L10" s="9">
        <v>-1.9E-3</v>
      </c>
      <c r="M10" s="9">
        <v>-2.0999999999999999E-3</v>
      </c>
      <c r="N10" s="9">
        <v>-1.6999999999999999E-3</v>
      </c>
      <c r="O10" s="9">
        <v>-8.9999999999999998E-4</v>
      </c>
    </row>
    <row r="11" spans="3:15" ht="16" thickBot="1" x14ac:dyDescent="0.4">
      <c r="C11" s="2">
        <v>6</v>
      </c>
      <c r="D11" s="8">
        <v>2.0000000000000001E-4</v>
      </c>
      <c r="E11" s="8">
        <v>1.1999999999999999E-3</v>
      </c>
      <c r="F11" s="8">
        <v>1.9E-3</v>
      </c>
      <c r="G11" s="8">
        <v>2.0999999999999999E-3</v>
      </c>
      <c r="H11" s="8">
        <v>1.6999999999999999E-3</v>
      </c>
      <c r="I11" s="8">
        <v>8.9999999999999998E-4</v>
      </c>
      <c r="J11" s="9">
        <v>-2.0000000000000001E-4</v>
      </c>
      <c r="K11" s="9">
        <v>-1.1999999999999999E-3</v>
      </c>
      <c r="L11" s="9">
        <v>-1.9E-3</v>
      </c>
      <c r="M11" s="9">
        <v>-2.0999999999999999E-3</v>
      </c>
      <c r="N11" s="9">
        <v>-1.6999999999999999E-3</v>
      </c>
      <c r="O11" s="9">
        <v>-8.9999999999999998E-4</v>
      </c>
    </row>
    <row r="12" spans="3:15" ht="16" thickBot="1" x14ac:dyDescent="0.4">
      <c r="C12" s="2">
        <v>7</v>
      </c>
      <c r="D12" s="8">
        <v>2.9999999999999997E-4</v>
      </c>
      <c r="E12" s="8">
        <v>1.2999999999999999E-3</v>
      </c>
      <c r="F12" s="8">
        <v>1.9E-3</v>
      </c>
      <c r="G12" s="8">
        <v>2.0999999999999999E-3</v>
      </c>
      <c r="H12" s="8">
        <v>1.6999999999999999E-3</v>
      </c>
      <c r="I12" s="8">
        <v>8.0000000000000004E-4</v>
      </c>
      <c r="J12" s="9">
        <v>-2.9999999999999997E-4</v>
      </c>
      <c r="K12" s="9">
        <v>-1.2999999999999999E-3</v>
      </c>
      <c r="L12" s="9">
        <v>-1.9E-3</v>
      </c>
      <c r="M12" s="9">
        <v>-2.0999999999999999E-3</v>
      </c>
      <c r="N12" s="9">
        <v>-1.6999999999999999E-3</v>
      </c>
      <c r="O12" s="9">
        <v>-8.0000000000000004E-4</v>
      </c>
    </row>
    <row r="13" spans="3:15" ht="16" thickBot="1" x14ac:dyDescent="0.4">
      <c r="C13" s="2">
        <v>8</v>
      </c>
      <c r="D13" s="8">
        <v>2.9999999999999997E-4</v>
      </c>
      <c r="E13" s="8">
        <v>1.2999999999999999E-3</v>
      </c>
      <c r="F13" s="8">
        <v>1.9E-3</v>
      </c>
      <c r="G13" s="8">
        <v>2.0999999999999999E-3</v>
      </c>
      <c r="H13" s="8">
        <v>1.6999999999999999E-3</v>
      </c>
      <c r="I13" s="8">
        <v>8.0000000000000004E-4</v>
      </c>
      <c r="J13" s="9">
        <v>-2.9999999999999997E-4</v>
      </c>
      <c r="K13" s="9">
        <v>-1.2999999999999999E-3</v>
      </c>
      <c r="L13" s="9">
        <v>-1.9E-3</v>
      </c>
      <c r="M13" s="9">
        <v>-2.0999999999999999E-3</v>
      </c>
      <c r="N13" s="9">
        <v>-1.6999999999999999E-3</v>
      </c>
      <c r="O13" s="9">
        <v>-8.0000000000000004E-4</v>
      </c>
    </row>
    <row r="14" spans="3:15" ht="16" thickBot="1" x14ac:dyDescent="0.4">
      <c r="C14" s="2">
        <v>9</v>
      </c>
      <c r="D14" s="8">
        <v>2.9999999999999997E-4</v>
      </c>
      <c r="E14" s="8">
        <v>1.2999999999999999E-3</v>
      </c>
      <c r="F14" s="8">
        <v>2E-3</v>
      </c>
      <c r="G14" s="8">
        <v>2.0999999999999999E-3</v>
      </c>
      <c r="H14" s="8">
        <v>1.6000000000000001E-3</v>
      </c>
      <c r="I14" s="8">
        <v>8.0000000000000004E-4</v>
      </c>
      <c r="J14" s="9">
        <v>-2.9999999999999997E-4</v>
      </c>
      <c r="K14" s="9">
        <v>-1.2999999999999999E-3</v>
      </c>
      <c r="L14" s="9">
        <v>-2E-3</v>
      </c>
      <c r="M14" s="9">
        <v>-2.0999999999999999E-3</v>
      </c>
      <c r="N14" s="9">
        <v>-1.6000000000000001E-3</v>
      </c>
      <c r="O14" s="9">
        <v>-8.0000000000000004E-4</v>
      </c>
    </row>
    <row r="15" spans="3:15" ht="16" thickBot="1" x14ac:dyDescent="0.4">
      <c r="C15" s="2">
        <v>10</v>
      </c>
      <c r="D15" s="8">
        <v>4.0000000000000002E-4</v>
      </c>
      <c r="E15" s="8">
        <v>1.2999999999999999E-3</v>
      </c>
      <c r="F15" s="8">
        <v>2E-3</v>
      </c>
      <c r="G15" s="8">
        <v>2.0999999999999999E-3</v>
      </c>
      <c r="H15" s="8">
        <v>1.6000000000000001E-3</v>
      </c>
      <c r="I15" s="8">
        <v>6.9999999999999999E-4</v>
      </c>
      <c r="J15" s="9">
        <v>-4.0000000000000002E-4</v>
      </c>
      <c r="K15" s="9">
        <v>-1.2999999999999999E-3</v>
      </c>
      <c r="L15" s="9">
        <v>-2E-3</v>
      </c>
      <c r="M15" s="9">
        <v>-2.0999999999999999E-3</v>
      </c>
      <c r="N15" s="9">
        <v>-1.6000000000000001E-3</v>
      </c>
      <c r="O15" s="9">
        <v>-6.9999999999999999E-4</v>
      </c>
    </row>
    <row r="16" spans="3:15" ht="16" thickBot="1" x14ac:dyDescent="0.4">
      <c r="C16" s="2">
        <v>11</v>
      </c>
      <c r="D16" s="8">
        <v>4.0000000000000002E-4</v>
      </c>
      <c r="E16" s="8">
        <v>1.4E-3</v>
      </c>
      <c r="F16" s="8">
        <v>2E-3</v>
      </c>
      <c r="G16" s="8">
        <v>2.0999999999999999E-3</v>
      </c>
      <c r="H16" s="8">
        <v>1.6000000000000001E-3</v>
      </c>
      <c r="I16" s="8">
        <v>6.9999999999999999E-4</v>
      </c>
      <c r="J16" s="9">
        <v>-4.0000000000000002E-4</v>
      </c>
      <c r="K16" s="9">
        <v>-1.4E-3</v>
      </c>
      <c r="L16" s="9">
        <v>-2E-3</v>
      </c>
      <c r="M16" s="9">
        <v>-2.0999999999999999E-3</v>
      </c>
      <c r="N16" s="9">
        <v>-1.6000000000000001E-3</v>
      </c>
      <c r="O16" s="9">
        <v>-6.9999999999999999E-4</v>
      </c>
    </row>
    <row r="17" spans="3:15" ht="16" thickBot="1" x14ac:dyDescent="0.4">
      <c r="C17" s="2">
        <v>12</v>
      </c>
      <c r="D17" s="8">
        <v>4.0000000000000002E-4</v>
      </c>
      <c r="E17" s="8">
        <v>1.4E-3</v>
      </c>
      <c r="F17" s="8">
        <v>2E-3</v>
      </c>
      <c r="G17" s="8">
        <v>2.0999999999999999E-3</v>
      </c>
      <c r="H17" s="8">
        <v>1.6000000000000001E-3</v>
      </c>
      <c r="I17" s="8">
        <v>5.9999999999999995E-4</v>
      </c>
      <c r="J17" s="9">
        <v>-4.0000000000000002E-4</v>
      </c>
      <c r="K17" s="9">
        <v>-1.4E-3</v>
      </c>
      <c r="L17" s="9">
        <v>-2E-3</v>
      </c>
      <c r="M17" s="9">
        <v>-2.0999999999999999E-3</v>
      </c>
      <c r="N17" s="9">
        <v>-1.6000000000000001E-3</v>
      </c>
      <c r="O17" s="9">
        <v>-5.9999999999999995E-4</v>
      </c>
    </row>
    <row r="18" spans="3:15" ht="16" thickBot="1" x14ac:dyDescent="0.4">
      <c r="C18" s="2">
        <v>13</v>
      </c>
      <c r="D18" s="8">
        <v>5.0000000000000001E-4</v>
      </c>
      <c r="E18" s="8">
        <v>1.4E-3</v>
      </c>
      <c r="F18" s="8">
        <v>2E-3</v>
      </c>
      <c r="G18" s="8">
        <v>2E-3</v>
      </c>
      <c r="H18" s="8">
        <v>1.5E-3</v>
      </c>
      <c r="I18" s="8">
        <v>5.9999999999999995E-4</v>
      </c>
      <c r="J18" s="9">
        <v>-5.0000000000000001E-4</v>
      </c>
      <c r="K18" s="9">
        <v>-1.4E-3</v>
      </c>
      <c r="L18" s="9">
        <v>-2E-3</v>
      </c>
      <c r="M18" s="9">
        <v>-2E-3</v>
      </c>
      <c r="N18" s="9">
        <v>-1.5E-3</v>
      </c>
      <c r="O18" s="9">
        <v>-5.9999999999999995E-4</v>
      </c>
    </row>
    <row r="19" spans="3:15" ht="16" thickBot="1" x14ac:dyDescent="0.4">
      <c r="C19" s="2">
        <v>14</v>
      </c>
      <c r="D19" s="8">
        <v>5.0000000000000001E-4</v>
      </c>
      <c r="E19" s="8">
        <v>1.5E-3</v>
      </c>
      <c r="F19" s="8">
        <v>2E-3</v>
      </c>
      <c r="G19" s="8">
        <v>2E-3</v>
      </c>
      <c r="H19" s="8">
        <v>1.5E-3</v>
      </c>
      <c r="I19" s="8">
        <v>5.9999999999999995E-4</v>
      </c>
      <c r="J19" s="9">
        <v>-5.0000000000000001E-4</v>
      </c>
      <c r="K19" s="9">
        <v>-1.5E-3</v>
      </c>
      <c r="L19" s="9">
        <v>-2E-3</v>
      </c>
      <c r="M19" s="9">
        <v>-2E-3</v>
      </c>
      <c r="N19" s="9">
        <v>-1.5E-3</v>
      </c>
      <c r="O19" s="9">
        <v>-5.9999999999999995E-4</v>
      </c>
    </row>
    <row r="20" spans="3:15" ht="16" thickBot="1" x14ac:dyDescent="0.4">
      <c r="C20" s="2">
        <v>15</v>
      </c>
      <c r="D20" s="8">
        <v>5.0000000000000001E-4</v>
      </c>
      <c r="E20" s="8">
        <v>1.5E-3</v>
      </c>
      <c r="F20" s="8">
        <v>2E-3</v>
      </c>
      <c r="G20" s="8">
        <v>2E-3</v>
      </c>
      <c r="H20" s="8">
        <v>1.5E-3</v>
      </c>
      <c r="I20" s="8">
        <v>5.0000000000000001E-4</v>
      </c>
      <c r="J20" s="9">
        <v>-5.0000000000000001E-4</v>
      </c>
      <c r="K20" s="9">
        <v>-1.5E-3</v>
      </c>
      <c r="L20" s="9">
        <v>-2E-3</v>
      </c>
      <c r="M20" s="9">
        <v>-2E-3</v>
      </c>
      <c r="N20" s="9">
        <v>-1.5E-3</v>
      </c>
      <c r="O20" s="9">
        <v>-5.0000000000000001E-4</v>
      </c>
    </row>
    <row r="21" spans="3:15" ht="16" thickBot="1" x14ac:dyDescent="0.4">
      <c r="C21" s="2">
        <v>16</v>
      </c>
      <c r="D21" s="8">
        <v>5.9999999999999995E-4</v>
      </c>
      <c r="E21" s="8">
        <v>1.5E-3</v>
      </c>
      <c r="F21" s="8">
        <v>2E-3</v>
      </c>
      <c r="G21" s="8">
        <v>2E-3</v>
      </c>
      <c r="H21" s="8">
        <v>1.5E-3</v>
      </c>
      <c r="I21" s="8">
        <v>5.0000000000000001E-4</v>
      </c>
      <c r="J21" s="9">
        <v>-5.9999999999999995E-4</v>
      </c>
      <c r="K21" s="9">
        <v>-1.5E-3</v>
      </c>
      <c r="L21" s="9">
        <v>-2E-3</v>
      </c>
      <c r="M21" s="9">
        <v>-2E-3</v>
      </c>
      <c r="N21" s="9">
        <v>-1.5E-3</v>
      </c>
      <c r="O21" s="9">
        <v>-5.0000000000000001E-4</v>
      </c>
    </row>
    <row r="22" spans="3:15" ht="16" thickBot="1" x14ac:dyDescent="0.4">
      <c r="C22" s="2">
        <v>17</v>
      </c>
      <c r="D22" s="8">
        <v>5.9999999999999995E-4</v>
      </c>
      <c r="E22" s="8">
        <v>1.5E-3</v>
      </c>
      <c r="F22" s="8">
        <v>2E-3</v>
      </c>
      <c r="G22" s="8">
        <v>2E-3</v>
      </c>
      <c r="H22" s="8">
        <v>1.4E-3</v>
      </c>
      <c r="I22" s="8">
        <v>5.0000000000000001E-4</v>
      </c>
      <c r="J22" s="9">
        <v>-5.9999999999999995E-4</v>
      </c>
      <c r="K22" s="9">
        <v>-1.5E-3</v>
      </c>
      <c r="L22" s="9">
        <v>-2E-3</v>
      </c>
      <c r="M22" s="9">
        <v>-2E-3</v>
      </c>
      <c r="N22" s="9">
        <v>-1.4E-3</v>
      </c>
      <c r="O22" s="9">
        <v>-5.0000000000000001E-4</v>
      </c>
    </row>
    <row r="23" spans="3:15" ht="16" thickBot="1" x14ac:dyDescent="0.4">
      <c r="C23" s="2">
        <v>18</v>
      </c>
      <c r="D23" s="8">
        <v>5.9999999999999995E-4</v>
      </c>
      <c r="E23" s="8">
        <v>1.6000000000000001E-3</v>
      </c>
      <c r="F23" s="8">
        <v>2.0999999999999999E-3</v>
      </c>
      <c r="G23" s="8">
        <v>2E-3</v>
      </c>
      <c r="H23" s="8">
        <v>1.4E-3</v>
      </c>
      <c r="I23" s="8">
        <v>4.0000000000000002E-4</v>
      </c>
      <c r="J23" s="9">
        <v>-5.9999999999999995E-4</v>
      </c>
      <c r="K23" s="9">
        <v>-1.6000000000000001E-3</v>
      </c>
      <c r="L23" s="9">
        <v>-2.0999999999999999E-3</v>
      </c>
      <c r="M23" s="9">
        <v>-2E-3</v>
      </c>
      <c r="N23" s="9">
        <v>-1.4E-3</v>
      </c>
      <c r="O23" s="9">
        <v>-4.0000000000000002E-4</v>
      </c>
    </row>
    <row r="24" spans="3:15" ht="16" thickBot="1" x14ac:dyDescent="0.4">
      <c r="C24" s="2">
        <v>19</v>
      </c>
      <c r="D24" s="8">
        <v>6.9999999999999999E-4</v>
      </c>
      <c r="E24" s="8">
        <v>1.6000000000000001E-3</v>
      </c>
      <c r="F24" s="8">
        <v>2.0999999999999999E-3</v>
      </c>
      <c r="G24" s="8">
        <v>2E-3</v>
      </c>
      <c r="H24" s="8">
        <v>1.4E-3</v>
      </c>
      <c r="I24" s="8">
        <v>4.0000000000000002E-4</v>
      </c>
      <c r="J24" s="9">
        <v>-6.9999999999999999E-4</v>
      </c>
      <c r="K24" s="9">
        <v>-1.6000000000000001E-3</v>
      </c>
      <c r="L24" s="9">
        <v>-2.0999999999999999E-3</v>
      </c>
      <c r="M24" s="9">
        <v>-2E-3</v>
      </c>
      <c r="N24" s="9">
        <v>-1.4E-3</v>
      </c>
      <c r="O24" s="9">
        <v>-4.0000000000000002E-4</v>
      </c>
    </row>
    <row r="25" spans="3:15" ht="16" thickBot="1" x14ac:dyDescent="0.4">
      <c r="C25" s="2">
        <v>20</v>
      </c>
      <c r="D25" s="8">
        <v>6.9999999999999999E-4</v>
      </c>
      <c r="E25" s="8">
        <v>1.6000000000000001E-3</v>
      </c>
      <c r="F25" s="8">
        <v>2.0999999999999999E-3</v>
      </c>
      <c r="G25" s="8">
        <v>2E-3</v>
      </c>
      <c r="H25" s="8">
        <v>1.2999999999999999E-3</v>
      </c>
      <c r="I25" s="8">
        <v>4.0000000000000002E-4</v>
      </c>
      <c r="J25" s="9">
        <v>-6.9999999999999999E-4</v>
      </c>
      <c r="K25" s="8">
        <v>-1.6000000000000001E-3</v>
      </c>
      <c r="L25" s="9">
        <v>-2.0999999999999999E-3</v>
      </c>
      <c r="M25" s="9">
        <v>-2E-3</v>
      </c>
      <c r="N25" s="9">
        <v>-1.2999999999999999E-3</v>
      </c>
      <c r="O25" s="9">
        <v>-4.0000000000000002E-4</v>
      </c>
    </row>
    <row r="26" spans="3:15" ht="16" thickBot="1" x14ac:dyDescent="0.4">
      <c r="C26" s="2">
        <v>21</v>
      </c>
      <c r="D26" s="8">
        <v>8.0000000000000004E-4</v>
      </c>
      <c r="E26" s="8">
        <v>1.6000000000000001E-3</v>
      </c>
      <c r="F26" s="8">
        <v>2.0999999999999999E-3</v>
      </c>
      <c r="G26" s="8">
        <v>2E-3</v>
      </c>
      <c r="H26" s="8">
        <v>1.2999999999999999E-3</v>
      </c>
      <c r="I26" s="8">
        <v>2.9999999999999997E-4</v>
      </c>
      <c r="J26" s="9">
        <v>-8.0000000000000004E-4</v>
      </c>
      <c r="K26" s="9">
        <v>-1.6000000000000001E-3</v>
      </c>
      <c r="L26" s="9">
        <v>-2.0999999999999999E-3</v>
      </c>
      <c r="M26" s="9">
        <v>-2E-3</v>
      </c>
      <c r="N26" s="9">
        <v>-1.2999999999999999E-3</v>
      </c>
      <c r="O26" s="9">
        <v>-2.9999999999999997E-4</v>
      </c>
    </row>
    <row r="27" spans="3:15" ht="16" thickBot="1" x14ac:dyDescent="0.4">
      <c r="C27" s="2">
        <v>22</v>
      </c>
      <c r="D27" s="8">
        <v>8.0000000000000004E-4</v>
      </c>
      <c r="E27" s="8">
        <v>1.6999999999999999E-3</v>
      </c>
      <c r="F27" s="8">
        <v>2.0999999999999999E-3</v>
      </c>
      <c r="G27" s="8">
        <v>1.9E-3</v>
      </c>
      <c r="H27" s="8">
        <v>1.2999999999999999E-3</v>
      </c>
      <c r="I27" s="8">
        <v>2.9999999999999997E-4</v>
      </c>
      <c r="J27" s="9">
        <v>-8.0000000000000004E-4</v>
      </c>
      <c r="K27" s="9">
        <v>-1.6999999999999999E-3</v>
      </c>
      <c r="L27" s="9">
        <v>-2.0999999999999999E-3</v>
      </c>
      <c r="M27" s="9">
        <v>-1.9E-3</v>
      </c>
      <c r="N27" s="9">
        <v>-1.2999999999999999E-3</v>
      </c>
      <c r="O27" s="9">
        <v>-2.9999999999999997E-4</v>
      </c>
    </row>
    <row r="28" spans="3:15" ht="16" thickBot="1" x14ac:dyDescent="0.4">
      <c r="C28" s="2">
        <v>23</v>
      </c>
      <c r="D28" s="8">
        <v>8.0000000000000004E-4</v>
      </c>
      <c r="E28" s="8">
        <v>1.6999999999999999E-3</v>
      </c>
      <c r="F28" s="8">
        <v>2.0999999999999999E-3</v>
      </c>
      <c r="G28" s="8">
        <v>1.9E-3</v>
      </c>
      <c r="H28" s="8">
        <v>1.2999999999999999E-3</v>
      </c>
      <c r="I28" s="8">
        <v>2.9999999999999997E-4</v>
      </c>
      <c r="J28" s="9">
        <v>-8.0000000000000004E-4</v>
      </c>
      <c r="K28" s="9">
        <v>-1.6999999999999999E-3</v>
      </c>
      <c r="L28" s="9">
        <v>-2.0999999999999999E-3</v>
      </c>
      <c r="M28" s="9">
        <v>-1.9E-3</v>
      </c>
      <c r="N28" s="9">
        <v>-1.2999999999999999E-3</v>
      </c>
      <c r="O28" s="9">
        <v>-2.9999999999999997E-4</v>
      </c>
    </row>
    <row r="29" spans="3:15" ht="16" thickBot="1" x14ac:dyDescent="0.4">
      <c r="C29" s="2">
        <v>24</v>
      </c>
      <c r="D29" s="8">
        <v>8.9999999999999998E-4</v>
      </c>
      <c r="E29" s="8">
        <v>1.6999999999999999E-3</v>
      </c>
      <c r="F29" s="8">
        <v>2.0999999999999999E-3</v>
      </c>
      <c r="G29" s="8">
        <v>1.9E-3</v>
      </c>
      <c r="H29" s="8">
        <v>1.1999999999999999E-3</v>
      </c>
      <c r="I29" s="8">
        <v>2.0000000000000001E-4</v>
      </c>
      <c r="J29" s="9">
        <v>-8.9999999999999998E-4</v>
      </c>
      <c r="K29" s="9">
        <v>-1.6999999999999999E-3</v>
      </c>
      <c r="L29" s="9">
        <v>-2.0999999999999999E-3</v>
      </c>
      <c r="M29" s="9">
        <v>-1.9E-3</v>
      </c>
      <c r="N29" s="9">
        <v>-1.1999999999999999E-3</v>
      </c>
      <c r="O29" s="9">
        <v>-2.0000000000000001E-4</v>
      </c>
    </row>
    <row r="30" spans="3:15" ht="16" thickBot="1" x14ac:dyDescent="0.4">
      <c r="C30" s="2">
        <v>25</v>
      </c>
      <c r="D30" s="8">
        <v>8.9999999999999998E-4</v>
      </c>
      <c r="E30" s="8">
        <v>1.6999999999999999E-3</v>
      </c>
      <c r="F30" s="8">
        <v>2.0999999999999999E-3</v>
      </c>
      <c r="G30" s="8">
        <v>1.9E-3</v>
      </c>
      <c r="H30" s="8">
        <v>1.1999999999999999E-3</v>
      </c>
      <c r="I30" s="8">
        <v>2.0000000000000001E-4</v>
      </c>
      <c r="J30" s="9">
        <v>-8.9999999999999998E-4</v>
      </c>
      <c r="K30" s="9">
        <v>-1.6999999999999999E-3</v>
      </c>
      <c r="L30" s="9">
        <v>-2.0999999999999999E-3</v>
      </c>
      <c r="M30" s="9">
        <v>-1.9E-3</v>
      </c>
      <c r="N30" s="9">
        <v>-1.1999999999999999E-3</v>
      </c>
      <c r="O30" s="9">
        <v>-2.0000000000000001E-4</v>
      </c>
    </row>
    <row r="31" spans="3:15" ht="16" thickBot="1" x14ac:dyDescent="0.4">
      <c r="C31" s="2">
        <v>26</v>
      </c>
      <c r="D31" s="8">
        <v>8.9999999999999998E-4</v>
      </c>
      <c r="E31" s="8">
        <v>1.6999999999999999E-3</v>
      </c>
      <c r="F31" s="8">
        <v>2.0999999999999999E-3</v>
      </c>
      <c r="G31" s="8">
        <v>1.9E-3</v>
      </c>
      <c r="H31" s="8">
        <v>1.1999999999999999E-3</v>
      </c>
      <c r="I31" s="8">
        <v>1E-4</v>
      </c>
      <c r="J31" s="9">
        <v>-8.9999999999999998E-4</v>
      </c>
      <c r="K31" s="9">
        <v>-1.6999999999999999E-3</v>
      </c>
      <c r="L31" s="9">
        <v>-2.0999999999999999E-3</v>
      </c>
      <c r="M31" s="9">
        <v>-1.9E-3</v>
      </c>
      <c r="N31" s="9">
        <v>-1.1999999999999999E-3</v>
      </c>
      <c r="O31" s="9">
        <v>-1E-4</v>
      </c>
    </row>
    <row r="32" spans="3:15" ht="16" thickBot="1" x14ac:dyDescent="0.4">
      <c r="C32" s="2">
        <v>27</v>
      </c>
      <c r="D32" s="8">
        <v>1E-3</v>
      </c>
      <c r="E32" s="8">
        <v>1.8E-3</v>
      </c>
      <c r="F32" s="8">
        <v>2.0999999999999999E-3</v>
      </c>
      <c r="G32" s="8">
        <v>1.9E-3</v>
      </c>
      <c r="H32" s="8">
        <v>1.1000000000000001E-3</v>
      </c>
      <c r="I32" s="8">
        <v>1E-4</v>
      </c>
      <c r="J32" s="9">
        <v>-1E-3</v>
      </c>
      <c r="K32" s="9">
        <v>-1.8E-3</v>
      </c>
      <c r="L32" s="9">
        <v>-2.0999999999999999E-3</v>
      </c>
      <c r="M32" s="9">
        <v>-1.9E-3</v>
      </c>
      <c r="N32" s="9">
        <v>-1.1000000000000001E-3</v>
      </c>
      <c r="O32" s="9">
        <v>-1E-4</v>
      </c>
    </row>
    <row r="33" spans="3:15" ht="16" thickBot="1" x14ac:dyDescent="0.4">
      <c r="C33" s="2">
        <v>28</v>
      </c>
      <c r="D33" s="8">
        <v>1E-3</v>
      </c>
      <c r="E33" s="8">
        <v>1.8E-3</v>
      </c>
      <c r="F33" s="8">
        <v>2.0999999999999999E-3</v>
      </c>
      <c r="G33" s="8">
        <v>1.9E-3</v>
      </c>
      <c r="H33" s="8">
        <v>1.1000000000000001E-3</v>
      </c>
      <c r="I33" s="8">
        <v>1E-4</v>
      </c>
      <c r="J33" s="9">
        <v>-1E-3</v>
      </c>
      <c r="K33" s="9">
        <v>-1.8E-3</v>
      </c>
      <c r="L33" s="9">
        <v>-2.0999999999999999E-3</v>
      </c>
      <c r="M33" s="9">
        <v>-1.9E-3</v>
      </c>
      <c r="N33" s="9">
        <v>-1.1000000000000001E-3</v>
      </c>
      <c r="O33" s="9">
        <v>-1E-4</v>
      </c>
    </row>
    <row r="34" spans="3:15" ht="16" thickBot="1" x14ac:dyDescent="0.4">
      <c r="C34" s="2">
        <v>29</v>
      </c>
      <c r="D34" s="8">
        <v>1E-3</v>
      </c>
      <c r="E34" s="8">
        <v>1.8E-3</v>
      </c>
      <c r="F34" s="8">
        <v>2.0999999999999999E-3</v>
      </c>
      <c r="G34" s="8">
        <v>1.8E-3</v>
      </c>
      <c r="H34" s="8">
        <v>1.1000000000000001E-3</v>
      </c>
      <c r="I34" s="8">
        <v>0</v>
      </c>
      <c r="J34" s="9">
        <v>-1E-3</v>
      </c>
      <c r="K34" s="9">
        <v>-1.8E-3</v>
      </c>
      <c r="L34" s="9">
        <v>-2.0999999999999999E-3</v>
      </c>
      <c r="M34" s="9">
        <v>-1.8E-3</v>
      </c>
      <c r="N34" s="9">
        <v>-1.1000000000000001E-3</v>
      </c>
      <c r="O34" s="9">
        <v>0</v>
      </c>
    </row>
    <row r="35" spans="3:15" ht="16" thickBot="1" x14ac:dyDescent="0.4">
      <c r="C35" s="2">
        <v>30</v>
      </c>
      <c r="D35" s="8">
        <v>1.1000000000000001E-3</v>
      </c>
      <c r="E35" s="8">
        <v>1.8E-3</v>
      </c>
      <c r="F35" s="8">
        <v>2.0999999999999999E-3</v>
      </c>
      <c r="G35" s="8">
        <v>1.8E-3</v>
      </c>
      <c r="H35" s="8">
        <v>1.1000000000000001E-3</v>
      </c>
      <c r="I35" s="8">
        <v>0</v>
      </c>
      <c r="J35" s="9">
        <v>-1.1000000000000001E-3</v>
      </c>
      <c r="K35" s="9">
        <v>-1.8E-3</v>
      </c>
      <c r="L35" s="9">
        <v>-2.0999999999999999E-3</v>
      </c>
      <c r="M35" s="9">
        <v>-1.8E-3</v>
      </c>
      <c r="N35" s="9">
        <v>-1.1000000000000001E-3</v>
      </c>
      <c r="O35" s="9">
        <v>0</v>
      </c>
    </row>
  </sheetData>
  <mergeCells count="1">
    <mergeCell ref="C3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0538-91FA-461B-94A6-4ECD82B83211}">
  <dimension ref="B2:O35"/>
  <sheetViews>
    <sheetView workbookViewId="0">
      <selection activeCell="B3" sqref="B3:O35"/>
    </sheetView>
  </sheetViews>
  <sheetFormatPr defaultRowHeight="14.5" x14ac:dyDescent="0.35"/>
  <sheetData>
    <row r="2" spans="2:15" ht="15" thickBot="1" x14ac:dyDescent="0.4"/>
    <row r="3" spans="2:15" ht="15.5" thickBot="1" x14ac:dyDescent="0.4">
      <c r="B3" s="10"/>
      <c r="C3" s="59" t="s">
        <v>14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2:15" ht="15.5" thickBot="1" x14ac:dyDescent="0.4">
      <c r="B4" s="10"/>
      <c r="C4" s="11" t="s">
        <v>15</v>
      </c>
      <c r="D4" s="11" t="s">
        <v>16</v>
      </c>
      <c r="E4" s="11" t="s">
        <v>17</v>
      </c>
      <c r="F4" s="11" t="s">
        <v>18</v>
      </c>
      <c r="G4" s="11" t="s">
        <v>19</v>
      </c>
      <c r="H4" s="11" t="s">
        <v>20</v>
      </c>
      <c r="I4" s="11" t="s">
        <v>21</v>
      </c>
      <c r="J4" s="12">
        <v>180</v>
      </c>
      <c r="K4" s="12">
        <v>210</v>
      </c>
      <c r="L4" s="12">
        <v>240</v>
      </c>
      <c r="M4" s="12">
        <v>270</v>
      </c>
      <c r="N4" s="12">
        <v>300</v>
      </c>
      <c r="O4" s="12">
        <v>330</v>
      </c>
    </row>
    <row r="5" spans="2:15" ht="16" thickBot="1" x14ac:dyDescent="0.4">
      <c r="C5" s="13" t="s">
        <v>16</v>
      </c>
      <c r="D5" s="13" t="s">
        <v>22</v>
      </c>
      <c r="E5" s="13">
        <v>-0.2034</v>
      </c>
      <c r="F5" s="13">
        <v>-0.35249999999999998</v>
      </c>
      <c r="G5" s="13">
        <v>-0.40679999999999999</v>
      </c>
      <c r="H5" s="13">
        <v>-0.3523</v>
      </c>
      <c r="I5" s="13">
        <v>-0.2034</v>
      </c>
      <c r="J5" s="13" t="s">
        <v>22</v>
      </c>
      <c r="K5" s="13">
        <v>0.2034</v>
      </c>
      <c r="L5" s="13">
        <v>0.35249999999999998</v>
      </c>
      <c r="M5" s="13">
        <v>0.40679999999999999</v>
      </c>
      <c r="N5" s="13">
        <v>0.3523</v>
      </c>
      <c r="O5" s="13">
        <v>0.2034</v>
      </c>
    </row>
    <row r="6" spans="2:15" ht="16" thickBot="1" x14ac:dyDescent="0.4">
      <c r="C6" s="13">
        <v>1</v>
      </c>
      <c r="D6" s="13">
        <v>-7.1000000000000004E-3</v>
      </c>
      <c r="E6" s="13">
        <v>-0.20949999999999999</v>
      </c>
      <c r="F6" s="13">
        <v>-0.35580000000000001</v>
      </c>
      <c r="G6" s="13">
        <v>-0.40670000000000001</v>
      </c>
      <c r="H6" s="13">
        <v>-0.34870000000000001</v>
      </c>
      <c r="I6" s="13">
        <v>-0.19719999999999999</v>
      </c>
      <c r="J6" s="13">
        <v>7.1000000000000004E-3</v>
      </c>
      <c r="K6" s="13">
        <v>0.20949999999999999</v>
      </c>
      <c r="L6" s="13">
        <v>0.35580000000000001</v>
      </c>
      <c r="M6" s="13">
        <v>0.40670000000000001</v>
      </c>
      <c r="N6" s="13">
        <v>0.34870000000000001</v>
      </c>
      <c r="O6" s="13">
        <v>0.19719999999999999</v>
      </c>
    </row>
    <row r="7" spans="2:15" ht="16" thickBot="1" x14ac:dyDescent="0.4">
      <c r="C7" s="13">
        <v>2</v>
      </c>
      <c r="D7" s="13">
        <v>-1.4200000000000001E-2</v>
      </c>
      <c r="E7" s="13">
        <v>-0.21560000000000001</v>
      </c>
      <c r="F7" s="13">
        <v>-0.35920000000000002</v>
      </c>
      <c r="G7" s="13">
        <v>-0.40660000000000002</v>
      </c>
      <c r="H7" s="13" t="s">
        <v>23</v>
      </c>
      <c r="I7" s="13" t="s">
        <v>24</v>
      </c>
      <c r="J7" s="13">
        <v>1.4200000000000001E-2</v>
      </c>
      <c r="K7" s="13">
        <v>0.21560000000000001</v>
      </c>
      <c r="L7" s="13">
        <v>0.35920000000000002</v>
      </c>
      <c r="M7" s="13">
        <v>0.40660000000000002</v>
      </c>
      <c r="N7" s="13" t="s">
        <v>25</v>
      </c>
      <c r="O7" s="13" t="s">
        <v>26</v>
      </c>
    </row>
    <row r="8" spans="2:15" ht="16" thickBot="1" x14ac:dyDescent="0.4">
      <c r="C8" s="13">
        <v>3</v>
      </c>
      <c r="D8" s="13">
        <v>-2.1299999999999999E-2</v>
      </c>
      <c r="E8" s="13">
        <v>-0.22159999999999999</v>
      </c>
      <c r="F8" s="13">
        <v>-0.36249999999999999</v>
      </c>
      <c r="G8" s="13">
        <v>-0.40620000000000001</v>
      </c>
      <c r="H8" s="13">
        <v>-0.3412</v>
      </c>
      <c r="I8" s="13">
        <v>-0.1847</v>
      </c>
      <c r="J8" s="13">
        <v>2.1299999999999999E-2</v>
      </c>
      <c r="K8" s="13">
        <v>0.22159999999999999</v>
      </c>
      <c r="L8" s="13">
        <v>0.36249999999999999</v>
      </c>
      <c r="M8" s="13">
        <v>0.40620000000000001</v>
      </c>
      <c r="N8" s="13">
        <v>0.3412</v>
      </c>
      <c r="O8" s="13">
        <v>0.1847</v>
      </c>
    </row>
    <row r="9" spans="2:15" ht="16" thickBot="1" x14ac:dyDescent="0.4">
      <c r="C9" s="13">
        <v>4</v>
      </c>
      <c r="D9" s="13">
        <v>-2.8400000000000002E-2</v>
      </c>
      <c r="E9" s="13">
        <v>-0.22750000000000001</v>
      </c>
      <c r="F9" s="13">
        <v>-0.36559999999999998</v>
      </c>
      <c r="G9" s="13">
        <v>-0.40579999999999999</v>
      </c>
      <c r="H9" s="13">
        <v>-0.33729999999999999</v>
      </c>
      <c r="I9" s="13">
        <v>-0.17829999999999999</v>
      </c>
      <c r="J9" s="13">
        <v>2.8400000000000002E-2</v>
      </c>
      <c r="K9" s="13">
        <v>0.22750000000000001</v>
      </c>
      <c r="L9" s="13">
        <v>0.36559999999999998</v>
      </c>
      <c r="M9" s="13">
        <v>0.40579999999999999</v>
      </c>
      <c r="N9" s="13">
        <v>0.33729999999999999</v>
      </c>
      <c r="O9" s="13">
        <v>0.17829999999999999</v>
      </c>
    </row>
    <row r="10" spans="2:15" ht="16" thickBot="1" x14ac:dyDescent="0.4">
      <c r="C10" s="13">
        <v>5</v>
      </c>
      <c r="D10" s="13">
        <v>-3.5499999999999997E-2</v>
      </c>
      <c r="E10" s="13">
        <v>-0.23330000000000001</v>
      </c>
      <c r="F10" s="13">
        <v>-0.36870000000000003</v>
      </c>
      <c r="G10" s="13">
        <v>-0.40529999999999999</v>
      </c>
      <c r="H10" s="13">
        <v>-0.3332</v>
      </c>
      <c r="I10" s="13">
        <v>-0.1719</v>
      </c>
      <c r="J10" s="13">
        <v>3.5499999999999997E-2</v>
      </c>
      <c r="K10" s="13">
        <v>0.23330000000000001</v>
      </c>
      <c r="L10" s="13">
        <v>0.36870000000000003</v>
      </c>
      <c r="M10" s="13">
        <v>0.40529999999999999</v>
      </c>
      <c r="N10" s="13">
        <v>0.3332</v>
      </c>
      <c r="O10" s="13">
        <v>0.1719</v>
      </c>
    </row>
    <row r="11" spans="2:15" ht="16" thickBot="1" x14ac:dyDescent="0.4">
      <c r="C11" s="13">
        <v>6</v>
      </c>
      <c r="D11" s="13">
        <v>-4.2500000000000003E-2</v>
      </c>
      <c r="E11" s="13">
        <v>-0.23910000000000001</v>
      </c>
      <c r="F11" s="13">
        <v>-0.37159999999999999</v>
      </c>
      <c r="G11" s="13">
        <v>-0.40460000000000002</v>
      </c>
      <c r="H11" s="13">
        <v>-0.3291</v>
      </c>
      <c r="I11" s="13">
        <v>-0.16550000000000001</v>
      </c>
      <c r="J11" s="13">
        <v>4.2500000000000003E-2</v>
      </c>
      <c r="K11" s="13">
        <v>0.23910000000000001</v>
      </c>
      <c r="L11" s="13">
        <v>0.37159999999999999</v>
      </c>
      <c r="M11" s="13">
        <v>0.40460000000000002</v>
      </c>
      <c r="N11" s="13">
        <v>0.3291</v>
      </c>
      <c r="O11" s="13">
        <v>0.16550000000000001</v>
      </c>
    </row>
    <row r="12" spans="2:15" ht="16" thickBot="1" x14ac:dyDescent="0.4">
      <c r="C12" s="13">
        <v>7</v>
      </c>
      <c r="D12" s="13">
        <v>-4.9599999999999998E-2</v>
      </c>
      <c r="E12" s="13">
        <v>-0.24479999999999999</v>
      </c>
      <c r="F12" s="13">
        <v>-0.3745</v>
      </c>
      <c r="G12" s="13">
        <v>-0.40379999999999999</v>
      </c>
      <c r="H12" s="13">
        <v>-0.32490000000000002</v>
      </c>
      <c r="I12" s="13">
        <v>-0.15890000000000001</v>
      </c>
      <c r="J12" s="13">
        <v>4.9599999999999998E-2</v>
      </c>
      <c r="K12" s="13">
        <v>0.24479999999999999</v>
      </c>
      <c r="L12" s="13">
        <v>0.3745</v>
      </c>
      <c r="M12" s="13">
        <v>0.40379999999999999</v>
      </c>
      <c r="N12" s="13">
        <v>0.32490000000000002</v>
      </c>
      <c r="O12" s="13">
        <v>0.15890000000000001</v>
      </c>
    </row>
    <row r="13" spans="2:15" ht="16" thickBot="1" x14ac:dyDescent="0.4">
      <c r="C13" s="13">
        <v>8</v>
      </c>
      <c r="D13" s="13">
        <v>-5.6599999999999998E-2</v>
      </c>
      <c r="E13" s="13">
        <v>-0.2505</v>
      </c>
      <c r="F13" s="13">
        <v>-0.37719999999999998</v>
      </c>
      <c r="G13" s="13">
        <v>-0.40279999999999999</v>
      </c>
      <c r="H13" s="13">
        <v>-0.3206</v>
      </c>
      <c r="I13" s="13">
        <v>-0.15240000000000001</v>
      </c>
      <c r="J13" s="13">
        <v>5.6599999999999998E-2</v>
      </c>
      <c r="K13" s="13">
        <v>0.2505</v>
      </c>
      <c r="L13" s="13">
        <v>0.37719999999999998</v>
      </c>
      <c r="M13" s="13">
        <v>0.40279999999999999</v>
      </c>
      <c r="N13" s="13">
        <v>0.3206</v>
      </c>
      <c r="O13" s="13">
        <v>0.15240000000000001</v>
      </c>
    </row>
    <row r="14" spans="2:15" ht="16" thickBot="1" x14ac:dyDescent="0.4">
      <c r="C14" s="13">
        <v>9</v>
      </c>
      <c r="D14" s="13">
        <v>-6.3600000000000004E-2</v>
      </c>
      <c r="E14" s="13">
        <v>-0.25600000000000001</v>
      </c>
      <c r="F14" s="13">
        <v>-0.37980000000000003</v>
      </c>
      <c r="G14" s="13">
        <v>-0.40179999999999999</v>
      </c>
      <c r="H14" s="13">
        <v>-0.31609999999999999</v>
      </c>
      <c r="I14" s="13">
        <v>-0.14580000000000001</v>
      </c>
      <c r="J14" s="13">
        <v>6.3600000000000004E-2</v>
      </c>
      <c r="K14" s="13" t="s">
        <v>27</v>
      </c>
      <c r="L14" s="13">
        <v>0.37980000000000003</v>
      </c>
      <c r="M14" s="13">
        <v>0.40179999999999999</v>
      </c>
      <c r="N14" s="13">
        <v>0.31609999999999999</v>
      </c>
      <c r="O14" s="13">
        <v>0.14580000000000001</v>
      </c>
    </row>
    <row r="15" spans="2:15" ht="16" thickBot="1" x14ac:dyDescent="0.4">
      <c r="C15" s="13">
        <v>10</v>
      </c>
      <c r="D15" s="13">
        <v>-7.0599999999999996E-2</v>
      </c>
      <c r="E15" s="13">
        <v>-0.26150000000000001</v>
      </c>
      <c r="F15" s="13">
        <v>-0.38229999999999997</v>
      </c>
      <c r="G15" s="13">
        <v>-0.40060000000000001</v>
      </c>
      <c r="H15" s="13">
        <v>-0.31159999999999999</v>
      </c>
      <c r="I15" s="13">
        <v>-0.1391</v>
      </c>
      <c r="J15" s="13">
        <v>7.0599999999999996E-2</v>
      </c>
      <c r="K15" s="13">
        <v>0.26150000000000001</v>
      </c>
      <c r="L15" s="13">
        <v>0.38229999999999997</v>
      </c>
      <c r="M15" s="13">
        <v>0.40060000000000001</v>
      </c>
      <c r="N15" s="13">
        <v>0.31159999999999999</v>
      </c>
      <c r="O15" s="13">
        <v>0.1391</v>
      </c>
    </row>
    <row r="16" spans="2:15" ht="16" thickBot="1" x14ac:dyDescent="0.4">
      <c r="C16" s="13">
        <v>11</v>
      </c>
      <c r="D16" s="13">
        <v>-7.7600000000000002E-2</v>
      </c>
      <c r="E16" s="13">
        <v>-0.26690000000000003</v>
      </c>
      <c r="F16" s="13">
        <v>-0.3846</v>
      </c>
      <c r="G16" s="13">
        <v>-0.39929999999999999</v>
      </c>
      <c r="H16" s="13">
        <v>-0.307</v>
      </c>
      <c r="I16" s="13">
        <v>-0.13239999999999999</v>
      </c>
      <c r="J16" s="13">
        <v>7.7600000000000002E-2</v>
      </c>
      <c r="K16" s="13">
        <v>0.26690000000000003</v>
      </c>
      <c r="L16" s="13">
        <v>0.3846</v>
      </c>
      <c r="M16" s="13">
        <v>0.39929999999999999</v>
      </c>
      <c r="N16" s="13" t="s">
        <v>28</v>
      </c>
      <c r="O16" s="13">
        <v>0.13239999999999999</v>
      </c>
    </row>
    <row r="17" spans="3:15" ht="16" thickBot="1" x14ac:dyDescent="0.4">
      <c r="C17" s="13">
        <v>12</v>
      </c>
      <c r="D17" s="13">
        <v>-8.4599999999999995E-2</v>
      </c>
      <c r="E17" s="13">
        <v>-0.2722</v>
      </c>
      <c r="F17" s="13">
        <v>-0.38690000000000002</v>
      </c>
      <c r="G17" s="13">
        <v>-0.39789999999999998</v>
      </c>
      <c r="H17" s="13">
        <v>-0.30230000000000001</v>
      </c>
      <c r="I17" s="13">
        <v>-0.12570000000000001</v>
      </c>
      <c r="J17" s="13">
        <v>8.4599999999999995E-2</v>
      </c>
      <c r="K17" s="13">
        <v>0.2722</v>
      </c>
      <c r="L17" s="13">
        <v>0.38690000000000002</v>
      </c>
      <c r="M17" s="13">
        <v>0.39789999999999998</v>
      </c>
      <c r="N17" s="13">
        <v>0.30230000000000001</v>
      </c>
      <c r="O17" s="13">
        <v>0.12570000000000001</v>
      </c>
    </row>
    <row r="18" spans="3:15" ht="16" thickBot="1" x14ac:dyDescent="0.4">
      <c r="C18" s="13">
        <v>13</v>
      </c>
      <c r="D18" s="13">
        <v>-9.1499999999999998E-2</v>
      </c>
      <c r="E18" s="13">
        <v>-0.27739999999999998</v>
      </c>
      <c r="F18" s="13" t="s">
        <v>29</v>
      </c>
      <c r="G18" s="13">
        <v>-0.39639999999999997</v>
      </c>
      <c r="H18" s="13">
        <v>-0.29749999999999999</v>
      </c>
      <c r="I18" s="13">
        <v>-0.11890000000000001</v>
      </c>
      <c r="J18" s="13">
        <v>9.1499999999999998E-2</v>
      </c>
      <c r="K18" s="13">
        <v>0.27739999999999998</v>
      </c>
      <c r="L18" s="13" t="s">
        <v>30</v>
      </c>
      <c r="M18" s="13">
        <v>0.39639999999999997</v>
      </c>
      <c r="N18" s="13">
        <v>0.29749999999999999</v>
      </c>
      <c r="O18" s="13">
        <v>0.11890000000000001</v>
      </c>
    </row>
    <row r="19" spans="3:15" ht="16" thickBot="1" x14ac:dyDescent="0.4">
      <c r="C19" s="13">
        <v>14</v>
      </c>
      <c r="D19" s="13">
        <v>-9.8400000000000001E-2</v>
      </c>
      <c r="E19" s="13">
        <v>-0.28260000000000002</v>
      </c>
      <c r="F19" s="13" t="s">
        <v>31</v>
      </c>
      <c r="G19" s="13">
        <v>-0.3947</v>
      </c>
      <c r="H19" s="13">
        <v>-0.29260000000000003</v>
      </c>
      <c r="I19" s="13">
        <v>-0.11210000000000001</v>
      </c>
      <c r="J19" s="13">
        <v>9.8400000000000001E-2</v>
      </c>
      <c r="K19" s="13">
        <v>0.28260000000000002</v>
      </c>
      <c r="L19" s="13" t="s">
        <v>32</v>
      </c>
      <c r="M19" s="13">
        <v>0.3947</v>
      </c>
      <c r="N19" s="13">
        <v>0.29260000000000003</v>
      </c>
      <c r="O19" s="13">
        <v>0.11210000000000001</v>
      </c>
    </row>
    <row r="20" spans="3:15" ht="16" thickBot="1" x14ac:dyDescent="0.4">
      <c r="C20" s="13">
        <v>15</v>
      </c>
      <c r="D20" s="13">
        <v>-0.1053</v>
      </c>
      <c r="E20" s="13">
        <v>-0.28770000000000001</v>
      </c>
      <c r="F20" s="13">
        <v>-0.39290000000000003</v>
      </c>
      <c r="G20" s="13">
        <v>-0.39290000000000003</v>
      </c>
      <c r="H20" s="13">
        <v>-0.28770000000000001</v>
      </c>
      <c r="I20" s="13">
        <v>-0.1053</v>
      </c>
      <c r="J20" s="13">
        <v>0.1053</v>
      </c>
      <c r="K20" s="13">
        <v>0.28770000000000001</v>
      </c>
      <c r="L20" s="13">
        <v>0.39290000000000003</v>
      </c>
      <c r="M20" s="13">
        <v>0.39290000000000003</v>
      </c>
      <c r="N20" s="13">
        <v>0.28770000000000001</v>
      </c>
      <c r="O20" s="13">
        <v>0.1053</v>
      </c>
    </row>
    <row r="21" spans="3:15" ht="16" thickBot="1" x14ac:dyDescent="0.4">
      <c r="C21" s="13">
        <v>16</v>
      </c>
      <c r="D21" s="13">
        <v>-0.11210000000000001</v>
      </c>
      <c r="E21" s="13">
        <v>-0.29260000000000003</v>
      </c>
      <c r="F21" s="13">
        <v>-0.3947</v>
      </c>
      <c r="G21" s="13" t="s">
        <v>31</v>
      </c>
      <c r="H21" s="13">
        <v>-0.28260000000000002</v>
      </c>
      <c r="I21" s="13">
        <v>-9.8400000000000001E-2</v>
      </c>
      <c r="J21" s="13">
        <v>0.11210000000000001</v>
      </c>
      <c r="K21" s="13">
        <v>0.29260000000000003</v>
      </c>
      <c r="L21" s="13">
        <v>0.3947</v>
      </c>
      <c r="M21" s="13" t="s">
        <v>32</v>
      </c>
      <c r="N21" s="13">
        <v>0.28260000000000002</v>
      </c>
      <c r="O21" s="13">
        <v>9.8400000000000001E-2</v>
      </c>
    </row>
    <row r="22" spans="3:15" ht="16" thickBot="1" x14ac:dyDescent="0.4">
      <c r="C22" s="13">
        <v>17</v>
      </c>
      <c r="D22" s="13">
        <v>-0.11890000000000001</v>
      </c>
      <c r="E22" s="13">
        <v>-0.29749999999999999</v>
      </c>
      <c r="F22" s="13">
        <v>-0.39639999999999997</v>
      </c>
      <c r="G22" s="13">
        <v>-0.38900000000000001</v>
      </c>
      <c r="H22" s="13">
        <v>-0.27739999999999998</v>
      </c>
      <c r="I22" s="13">
        <v>-9.1499999999999998E-2</v>
      </c>
      <c r="J22" s="13">
        <v>0.11890000000000001</v>
      </c>
      <c r="K22" s="13">
        <v>0.29749999999999999</v>
      </c>
      <c r="L22" s="13">
        <v>0.39639999999999997</v>
      </c>
      <c r="M22" s="13" t="s">
        <v>30</v>
      </c>
      <c r="N22" s="13">
        <v>0.27739999999999998</v>
      </c>
      <c r="O22" s="13">
        <v>9.1499999999999998E-2</v>
      </c>
    </row>
    <row r="23" spans="3:15" ht="16" thickBot="1" x14ac:dyDescent="0.4">
      <c r="C23" s="13">
        <v>18</v>
      </c>
      <c r="D23" s="13">
        <v>-0.12570000000000001</v>
      </c>
      <c r="E23" s="13">
        <v>-0.30230000000000001</v>
      </c>
      <c r="F23" s="13">
        <v>-0.39789999999999998</v>
      </c>
      <c r="G23" s="13">
        <v>-0.38690000000000002</v>
      </c>
      <c r="H23" s="13">
        <v>-0.2722</v>
      </c>
      <c r="I23" s="13">
        <v>-8.4599999999999995E-2</v>
      </c>
      <c r="J23" s="13">
        <v>0.12570000000000001</v>
      </c>
      <c r="K23" s="13">
        <v>0.30230000000000001</v>
      </c>
      <c r="L23" s="13">
        <v>0.39789999999999998</v>
      </c>
      <c r="M23" s="13">
        <v>0.38690000000000002</v>
      </c>
      <c r="N23" s="13">
        <v>0.2722</v>
      </c>
      <c r="O23" s="13">
        <v>8.4599999999999995E-2</v>
      </c>
    </row>
    <row r="24" spans="3:15" ht="16" thickBot="1" x14ac:dyDescent="0.4">
      <c r="C24" s="13">
        <v>19</v>
      </c>
      <c r="D24" s="13">
        <v>-0.13239999999999999</v>
      </c>
      <c r="E24" s="13" t="s">
        <v>33</v>
      </c>
      <c r="F24" s="13">
        <v>-0.39929999999999999</v>
      </c>
      <c r="G24" s="13">
        <v>-0.3846</v>
      </c>
      <c r="H24" s="13">
        <v>-0.26690000000000003</v>
      </c>
      <c r="I24" s="13">
        <v>-7.7600000000000002E-2</v>
      </c>
      <c r="J24" s="13">
        <v>0.13239999999999999</v>
      </c>
      <c r="K24" s="13" t="s">
        <v>28</v>
      </c>
      <c r="L24" s="13">
        <v>0.39929999999999999</v>
      </c>
      <c r="M24" s="13">
        <v>0.3846</v>
      </c>
      <c r="N24" s="13">
        <v>0.26690000000000003</v>
      </c>
      <c r="O24" s="13">
        <v>7.7600000000000002E-2</v>
      </c>
    </row>
    <row r="25" spans="3:15" ht="16" thickBot="1" x14ac:dyDescent="0.4">
      <c r="C25" s="13">
        <v>20</v>
      </c>
      <c r="D25" s="13">
        <v>-0.1391</v>
      </c>
      <c r="E25" s="13">
        <v>-0.31159999999999999</v>
      </c>
      <c r="F25" s="13">
        <v>-0.40060000000000001</v>
      </c>
      <c r="G25" s="13">
        <v>-0.38229999999999997</v>
      </c>
      <c r="H25" s="13">
        <v>-0.26150000000000001</v>
      </c>
      <c r="I25" s="13">
        <v>-7.0599999999999996E-2</v>
      </c>
      <c r="J25" s="13">
        <v>0.1391</v>
      </c>
      <c r="K25" s="13">
        <v>0.31159999999999999</v>
      </c>
      <c r="L25" s="13">
        <v>0.40060000000000001</v>
      </c>
      <c r="M25" s="13">
        <v>0.38229999999999997</v>
      </c>
      <c r="N25" s="13">
        <v>0.26150000000000001</v>
      </c>
      <c r="O25" s="13">
        <v>7.0599999999999996E-2</v>
      </c>
    </row>
    <row r="26" spans="3:15" ht="16" thickBot="1" x14ac:dyDescent="0.4">
      <c r="C26" s="13">
        <v>21</v>
      </c>
      <c r="D26" s="13">
        <v>-0.14580000000000001</v>
      </c>
      <c r="E26" s="13">
        <v>-0.31609999999999999</v>
      </c>
      <c r="F26" s="13">
        <v>-0.40179999999999999</v>
      </c>
      <c r="G26" s="13">
        <v>-0.37980000000000003</v>
      </c>
      <c r="H26" s="13" t="s">
        <v>34</v>
      </c>
      <c r="I26" s="13">
        <v>-6.3600000000000004E-2</v>
      </c>
      <c r="J26" s="13">
        <v>0.14580000000000001</v>
      </c>
      <c r="K26" s="13">
        <v>0.31609999999999999</v>
      </c>
      <c r="L26" s="13">
        <v>0.40179999999999999</v>
      </c>
      <c r="M26" s="13">
        <v>0.37980000000000003</v>
      </c>
      <c r="N26" s="13" t="s">
        <v>27</v>
      </c>
      <c r="O26" s="13">
        <v>6.3600000000000004E-2</v>
      </c>
    </row>
    <row r="27" spans="3:15" ht="16" thickBot="1" x14ac:dyDescent="0.4">
      <c r="C27" s="13">
        <v>22</v>
      </c>
      <c r="D27" s="13">
        <v>-0.15240000000000001</v>
      </c>
      <c r="E27" s="13">
        <v>-0.3206</v>
      </c>
      <c r="F27" s="13">
        <v>-0.40279999999999999</v>
      </c>
      <c r="G27" s="13">
        <v>-0.37719999999999998</v>
      </c>
      <c r="H27" s="13">
        <v>-0.2505</v>
      </c>
      <c r="I27" s="13">
        <v>-5.6599999999999998E-2</v>
      </c>
      <c r="J27" s="13">
        <v>0.15240000000000001</v>
      </c>
      <c r="K27" s="13">
        <v>0.3206</v>
      </c>
      <c r="L27" s="13">
        <v>0.40279999999999999</v>
      </c>
      <c r="M27" s="13">
        <v>0.37719999999999998</v>
      </c>
      <c r="N27" s="13">
        <v>0.2505</v>
      </c>
      <c r="O27" s="13">
        <v>5.6599999999999998E-2</v>
      </c>
    </row>
    <row r="28" spans="3:15" ht="16" thickBot="1" x14ac:dyDescent="0.4">
      <c r="C28" s="13">
        <v>23</v>
      </c>
      <c r="D28" s="13">
        <v>-0.15890000000000001</v>
      </c>
      <c r="E28" s="13">
        <v>-0.32490000000000002</v>
      </c>
      <c r="F28" s="13">
        <v>-0.40379999999999999</v>
      </c>
      <c r="G28" s="13">
        <v>-0.3745</v>
      </c>
      <c r="H28" s="13">
        <v>-0.24479999999999999</v>
      </c>
      <c r="I28" s="13">
        <v>-4.9599999999999998E-2</v>
      </c>
      <c r="J28" s="13">
        <v>0.15890000000000001</v>
      </c>
      <c r="K28" s="13">
        <v>0.32490000000000002</v>
      </c>
      <c r="L28" s="13">
        <v>0.40379999999999999</v>
      </c>
      <c r="M28" s="13">
        <v>0.3745</v>
      </c>
      <c r="N28" s="13">
        <v>0.24479999999999999</v>
      </c>
      <c r="O28" s="13">
        <v>4.9599999999999998E-2</v>
      </c>
    </row>
    <row r="29" spans="3:15" ht="16" thickBot="1" x14ac:dyDescent="0.4">
      <c r="C29" s="13">
        <v>24</v>
      </c>
      <c r="D29" s="13">
        <v>-0.16550000000000001</v>
      </c>
      <c r="E29" s="13">
        <v>-0.3291</v>
      </c>
      <c r="F29" s="13">
        <v>-0.40460000000000002</v>
      </c>
      <c r="G29" s="13">
        <v>-0.37159999999999999</v>
      </c>
      <c r="H29" s="13">
        <v>-0.23910000000000001</v>
      </c>
      <c r="I29" s="13">
        <v>-4.2500000000000003E-2</v>
      </c>
      <c r="J29" s="13">
        <v>0.16550000000000001</v>
      </c>
      <c r="K29" s="13">
        <v>0.3291</v>
      </c>
      <c r="L29" s="13">
        <v>0.40460000000000002</v>
      </c>
      <c r="M29" s="13">
        <v>0.37159999999999999</v>
      </c>
      <c r="N29" s="13">
        <v>0.23910000000000001</v>
      </c>
      <c r="O29" s="13">
        <v>4.2500000000000003E-2</v>
      </c>
    </row>
    <row r="30" spans="3:15" ht="16" thickBot="1" x14ac:dyDescent="0.4">
      <c r="C30" s="13">
        <v>25</v>
      </c>
      <c r="D30" s="13">
        <v>-0.1719</v>
      </c>
      <c r="E30" s="13">
        <v>-0.3332</v>
      </c>
      <c r="F30" s="13">
        <v>-0.40529999999999999</v>
      </c>
      <c r="G30" s="13">
        <v>-0.36870000000000003</v>
      </c>
      <c r="H30" s="13">
        <v>-0.23330000000000001</v>
      </c>
      <c r="I30" s="13">
        <v>-3.5499999999999997E-2</v>
      </c>
      <c r="J30" s="13">
        <v>0.1719</v>
      </c>
      <c r="K30" s="13">
        <v>0.3332</v>
      </c>
      <c r="L30" s="13">
        <v>0.40529999999999999</v>
      </c>
      <c r="M30" s="13">
        <v>0.36870000000000003</v>
      </c>
      <c r="N30" s="13">
        <v>0.23330000000000001</v>
      </c>
      <c r="O30" s="13">
        <v>3.5499999999999997E-2</v>
      </c>
    </row>
    <row r="31" spans="3:15" ht="16" thickBot="1" x14ac:dyDescent="0.4">
      <c r="C31" s="13">
        <v>26</v>
      </c>
      <c r="D31" s="13">
        <v>-0.17829999999999999</v>
      </c>
      <c r="E31" s="13">
        <v>-0.3372</v>
      </c>
      <c r="F31" s="13">
        <v>-0.40579999999999999</v>
      </c>
      <c r="G31" s="13">
        <v>-0.36559999999999998</v>
      </c>
      <c r="H31" s="13">
        <v>-0.22750000000000001</v>
      </c>
      <c r="I31" s="13">
        <v>-2.8400000000000002E-2</v>
      </c>
      <c r="J31" s="13">
        <v>0.17829999999999999</v>
      </c>
      <c r="K31" s="13">
        <v>0.3372</v>
      </c>
      <c r="L31" s="13">
        <v>0.40579999999999999</v>
      </c>
      <c r="M31" s="13">
        <v>0.36559999999999998</v>
      </c>
      <c r="N31" s="13">
        <v>0.22750000000000001</v>
      </c>
      <c r="O31" s="13">
        <v>2.8400000000000002E-2</v>
      </c>
    </row>
    <row r="32" spans="3:15" ht="16" thickBot="1" x14ac:dyDescent="0.4">
      <c r="C32" s="13">
        <v>27</v>
      </c>
      <c r="D32" s="13">
        <v>-0.1847</v>
      </c>
      <c r="E32" s="13">
        <v>-0.3412</v>
      </c>
      <c r="F32" s="13">
        <v>-0.40620000000000001</v>
      </c>
      <c r="G32" s="13">
        <v>-0.36249999999999999</v>
      </c>
      <c r="H32" s="13">
        <v>-0.22159999999999999</v>
      </c>
      <c r="I32" s="13">
        <v>-2.1299999999999999E-2</v>
      </c>
      <c r="J32" s="13">
        <v>0.1847</v>
      </c>
      <c r="K32" s="13">
        <v>0.3412</v>
      </c>
      <c r="L32" s="13">
        <v>0.40620000000000001</v>
      </c>
      <c r="M32" s="13">
        <v>0.36249999999999999</v>
      </c>
      <c r="N32" s="13">
        <v>0.22159999999999999</v>
      </c>
      <c r="O32" s="13">
        <v>2.1299999999999999E-2</v>
      </c>
    </row>
    <row r="33" spans="3:15" ht="16" thickBot="1" x14ac:dyDescent="0.4">
      <c r="C33" s="13">
        <v>28</v>
      </c>
      <c r="D33" s="13" t="s">
        <v>24</v>
      </c>
      <c r="E33" s="13" t="s">
        <v>23</v>
      </c>
      <c r="F33" s="13">
        <v>-0.40660000000000002</v>
      </c>
      <c r="G33" s="13">
        <v>-0.35920000000000002</v>
      </c>
      <c r="H33" s="13">
        <v>-0.21560000000000001</v>
      </c>
      <c r="I33" s="13">
        <v>-1.4200000000000001E-2</v>
      </c>
      <c r="J33" s="13" t="s">
        <v>26</v>
      </c>
      <c r="K33" s="13" t="s">
        <v>25</v>
      </c>
      <c r="L33" s="13">
        <v>0.40660000000000002</v>
      </c>
      <c r="M33" s="13">
        <v>0.35920000000000002</v>
      </c>
      <c r="N33" s="13">
        <v>0.21560000000000001</v>
      </c>
      <c r="O33" s="13">
        <v>1.4200000000000001E-2</v>
      </c>
    </row>
    <row r="34" spans="3:15" ht="16" thickBot="1" x14ac:dyDescent="0.4">
      <c r="C34" s="13">
        <v>29</v>
      </c>
      <c r="D34" s="13">
        <v>-0.19719999999999999</v>
      </c>
      <c r="E34" s="13">
        <v>-0.34870000000000001</v>
      </c>
      <c r="F34" s="13">
        <v>-0.40670000000000001</v>
      </c>
      <c r="G34" s="13">
        <v>-0.35580000000000001</v>
      </c>
      <c r="H34" s="13">
        <v>-0.20949999999999999</v>
      </c>
      <c r="I34" s="13">
        <v>-7.1000000000000004E-3</v>
      </c>
      <c r="J34" s="13">
        <v>0.19719999999999999</v>
      </c>
      <c r="K34" s="13">
        <v>0.34870000000000001</v>
      </c>
      <c r="L34" s="13">
        <v>0.40670000000000001</v>
      </c>
      <c r="M34" s="13">
        <v>0.35580000000000001</v>
      </c>
      <c r="N34" s="13">
        <v>0.20949999999999999</v>
      </c>
      <c r="O34" s="13">
        <v>7.1000000000000004E-3</v>
      </c>
    </row>
    <row r="35" spans="3:15" ht="16" thickBot="1" x14ac:dyDescent="0.4">
      <c r="C35" s="13">
        <v>30</v>
      </c>
      <c r="D35" s="13">
        <v>-0.2034</v>
      </c>
      <c r="E35" s="13">
        <v>-0.3523</v>
      </c>
      <c r="F35" s="13">
        <v>-0.40679999999999999</v>
      </c>
      <c r="G35" s="13">
        <v>-0.3523</v>
      </c>
      <c r="H35" s="13">
        <v>-0.2034</v>
      </c>
      <c r="I35" s="13" t="s">
        <v>22</v>
      </c>
      <c r="J35" s="13">
        <v>0.2034</v>
      </c>
      <c r="K35" s="13">
        <v>0.3523</v>
      </c>
      <c r="L35" s="13">
        <v>0.40679999999999999</v>
      </c>
      <c r="M35" s="13">
        <v>0.3523</v>
      </c>
      <c r="N35" s="13">
        <v>0.2034</v>
      </c>
      <c r="O35" s="13" t="s">
        <v>22</v>
      </c>
    </row>
  </sheetData>
  <mergeCells count="1">
    <mergeCell ref="C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24B2-1648-477D-BECF-EA427C0AF2A2}">
  <dimension ref="C2:O35"/>
  <sheetViews>
    <sheetView workbookViewId="0">
      <selection activeCell="B3" sqref="B3:O35"/>
    </sheetView>
  </sheetViews>
  <sheetFormatPr defaultRowHeight="14.5" x14ac:dyDescent="0.35"/>
  <sheetData>
    <row r="2" spans="3:15" ht="15" thickBot="1" x14ac:dyDescent="0.4"/>
    <row r="3" spans="3:15" ht="15.5" thickBot="1" x14ac:dyDescent="0.4">
      <c r="C3" s="60" t="s">
        <v>35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</row>
    <row r="4" spans="3:15" ht="15.5" thickBot="1" x14ac:dyDescent="0.4"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4" t="s">
        <v>21</v>
      </c>
      <c r="J4" s="14" t="s">
        <v>36</v>
      </c>
      <c r="K4" s="14" t="s">
        <v>37</v>
      </c>
      <c r="L4" s="14" t="s">
        <v>38</v>
      </c>
      <c r="M4" s="14" t="s">
        <v>39</v>
      </c>
      <c r="N4" s="14" t="s">
        <v>40</v>
      </c>
      <c r="O4" s="14" t="s">
        <v>41</v>
      </c>
    </row>
    <row r="5" spans="3:15" ht="16" thickBot="1" x14ac:dyDescent="0.4">
      <c r="C5" s="13">
        <v>0</v>
      </c>
      <c r="D5" s="13" t="s">
        <v>22</v>
      </c>
      <c r="E5" s="13">
        <v>8.0999999999999996E-3</v>
      </c>
      <c r="F5" s="13">
        <v>1.3899999999999999E-2</v>
      </c>
      <c r="G5" s="13">
        <v>1.61E-2</v>
      </c>
      <c r="H5" s="13">
        <v>1.3899999999999999E-2</v>
      </c>
      <c r="I5" s="13">
        <v>8.0999999999999996E-3</v>
      </c>
      <c r="J5" s="13" t="s">
        <v>22</v>
      </c>
      <c r="K5" s="13">
        <v>-8.0999999999999996E-3</v>
      </c>
      <c r="L5" s="13">
        <v>-1.3899999999999999E-2</v>
      </c>
      <c r="M5" s="13">
        <v>-1.61E-2</v>
      </c>
      <c r="N5" s="13">
        <v>-1.3899999999999999E-2</v>
      </c>
      <c r="O5" s="13">
        <v>-8.0999999999999996E-3</v>
      </c>
    </row>
    <row r="6" spans="3:15" ht="16" thickBot="1" x14ac:dyDescent="0.4">
      <c r="C6" s="13" t="s">
        <v>42</v>
      </c>
      <c r="D6" s="13">
        <v>2.9999999999999997E-4</v>
      </c>
      <c r="E6" s="13">
        <v>8.3000000000000001E-3</v>
      </c>
      <c r="F6" s="13">
        <v>1.41E-2</v>
      </c>
      <c r="G6" s="13">
        <v>1.61E-2</v>
      </c>
      <c r="H6" s="13">
        <v>1.38E-2</v>
      </c>
      <c r="I6" s="13">
        <v>7.7999999999999996E-3</v>
      </c>
      <c r="J6" s="13">
        <v>-2.9999999999999997E-4</v>
      </c>
      <c r="K6" s="13">
        <v>-8.3000000000000001E-3</v>
      </c>
      <c r="L6" s="13">
        <v>-1.41E-2</v>
      </c>
      <c r="M6" s="13">
        <v>-1.61E-2</v>
      </c>
      <c r="N6" s="13">
        <v>-1.38E-2</v>
      </c>
      <c r="O6" s="13">
        <v>-7.7999999999999996E-3</v>
      </c>
    </row>
    <row r="7" spans="3:15" ht="16" thickBot="1" x14ac:dyDescent="0.4">
      <c r="C7" s="13" t="s">
        <v>43</v>
      </c>
      <c r="D7" s="13">
        <v>5.9999999999999995E-4</v>
      </c>
      <c r="E7" s="13">
        <v>8.5000000000000006E-3</v>
      </c>
      <c r="F7" s="13">
        <v>1.4200000000000001E-2</v>
      </c>
      <c r="G7" s="13">
        <v>1.61E-2</v>
      </c>
      <c r="H7" s="13">
        <v>1.37E-2</v>
      </c>
      <c r="I7" s="13">
        <v>7.6E-3</v>
      </c>
      <c r="J7" s="13">
        <v>-5.9999999999999995E-4</v>
      </c>
      <c r="K7" s="13">
        <v>-8.5000000000000006E-3</v>
      </c>
      <c r="L7" s="13">
        <v>-1.4200000000000001E-2</v>
      </c>
      <c r="M7" s="13">
        <v>-1.61E-2</v>
      </c>
      <c r="N7" s="13">
        <v>-1.37E-2</v>
      </c>
      <c r="O7" s="13">
        <v>-7.6E-3</v>
      </c>
    </row>
    <row r="8" spans="3:15" ht="16" thickBot="1" x14ac:dyDescent="0.4">
      <c r="C8" s="13" t="s">
        <v>44</v>
      </c>
      <c r="D8" s="13">
        <v>8.0000000000000004E-4</v>
      </c>
      <c r="E8" s="13">
        <v>8.8000000000000005E-3</v>
      </c>
      <c r="F8" s="13">
        <v>1.43E-2</v>
      </c>
      <c r="G8" s="13">
        <v>1.61E-2</v>
      </c>
      <c r="H8" s="13">
        <v>1.35E-2</v>
      </c>
      <c r="I8" s="13">
        <v>7.3000000000000001E-3</v>
      </c>
      <c r="J8" s="13">
        <v>-8.0000000000000004E-4</v>
      </c>
      <c r="K8" s="13">
        <v>-8.8000000000000005E-3</v>
      </c>
      <c r="L8" s="13">
        <v>-1.43E-2</v>
      </c>
      <c r="M8" s="13">
        <v>-1.61E-2</v>
      </c>
      <c r="N8" s="13">
        <v>-1.35E-2</v>
      </c>
      <c r="O8" s="13">
        <v>-7.3000000000000001E-3</v>
      </c>
    </row>
    <row r="9" spans="3:15" ht="16" thickBot="1" x14ac:dyDescent="0.4">
      <c r="C9" s="13" t="s">
        <v>45</v>
      </c>
      <c r="D9" s="13">
        <v>1.1000000000000001E-3</v>
      </c>
      <c r="E9" s="13" t="s">
        <v>46</v>
      </c>
      <c r="F9" s="13">
        <v>1.4500000000000001E-2</v>
      </c>
      <c r="G9" s="13">
        <v>1.61E-2</v>
      </c>
      <c r="H9" s="13">
        <v>1.3299999999999999E-2</v>
      </c>
      <c r="I9" s="13">
        <v>7.1000000000000004E-3</v>
      </c>
      <c r="J9" s="13">
        <v>-1.1000000000000001E-3</v>
      </c>
      <c r="K9" s="13">
        <v>-8.9999999999999993E-3</v>
      </c>
      <c r="L9" s="13">
        <v>-1.4500000000000001E-2</v>
      </c>
      <c r="M9" s="13">
        <v>-1.61E-2</v>
      </c>
      <c r="N9" s="13">
        <v>-1.3299999999999999E-2</v>
      </c>
      <c r="O9" s="13">
        <v>-7.1000000000000004E-3</v>
      </c>
    </row>
    <row r="10" spans="3:15" ht="16" thickBot="1" x14ac:dyDescent="0.4">
      <c r="C10" s="13" t="s">
        <v>47</v>
      </c>
      <c r="D10" s="13">
        <v>1.4E-3</v>
      </c>
      <c r="E10" s="13">
        <v>9.1999999999999998E-3</v>
      </c>
      <c r="F10" s="13">
        <v>1.46E-2</v>
      </c>
      <c r="G10" s="13" t="s">
        <v>48</v>
      </c>
      <c r="H10" s="13">
        <v>1.32E-2</v>
      </c>
      <c r="I10" s="13">
        <v>6.7999999999999996E-3</v>
      </c>
      <c r="J10" s="13">
        <v>-1.4E-3</v>
      </c>
      <c r="K10" s="13">
        <v>-9.1999999999999998E-3</v>
      </c>
      <c r="L10" s="13">
        <v>-1.46E-2</v>
      </c>
      <c r="M10" s="13" t="s">
        <v>49</v>
      </c>
      <c r="N10" s="13">
        <v>-1.32E-2</v>
      </c>
      <c r="O10" s="13">
        <v>-6.7999999999999996E-3</v>
      </c>
    </row>
    <row r="11" spans="3:15" ht="16" thickBot="1" x14ac:dyDescent="0.4">
      <c r="C11" s="13" t="s">
        <v>50</v>
      </c>
      <c r="D11" s="13">
        <v>1.6999999999999999E-3</v>
      </c>
      <c r="E11" s="13">
        <v>9.4999999999999998E-3</v>
      </c>
      <c r="F11" s="13">
        <v>1.47E-2</v>
      </c>
      <c r="G11" s="13" t="s">
        <v>48</v>
      </c>
      <c r="H11" s="13" t="s">
        <v>51</v>
      </c>
      <c r="I11" s="13">
        <v>6.4999999999999997E-3</v>
      </c>
      <c r="J11" s="13">
        <v>-1.6999999999999999E-3</v>
      </c>
      <c r="K11" s="13">
        <v>-9.4999999999999998E-3</v>
      </c>
      <c r="L11" s="13">
        <v>-1.47E-2</v>
      </c>
      <c r="M11" s="13" t="s">
        <v>49</v>
      </c>
      <c r="N11" s="13" t="s">
        <v>52</v>
      </c>
      <c r="O11" s="13">
        <v>-6.4999999999999997E-3</v>
      </c>
    </row>
    <row r="12" spans="3:15" ht="16" thickBot="1" x14ac:dyDescent="0.4">
      <c r="C12" s="13" t="s">
        <v>53</v>
      </c>
      <c r="D12" s="13" t="s">
        <v>54</v>
      </c>
      <c r="E12" s="13">
        <v>9.7000000000000003E-3</v>
      </c>
      <c r="F12" s="13">
        <v>1.4800000000000001E-2</v>
      </c>
      <c r="G12" s="13" t="s">
        <v>48</v>
      </c>
      <c r="H12" s="13">
        <v>1.29E-2</v>
      </c>
      <c r="I12" s="13">
        <v>6.3E-3</v>
      </c>
      <c r="J12" s="13" t="s">
        <v>55</v>
      </c>
      <c r="K12" s="13">
        <v>-9.7000000000000003E-3</v>
      </c>
      <c r="L12" s="13">
        <v>-1.4800000000000001E-2</v>
      </c>
      <c r="M12" s="13" t="s">
        <v>49</v>
      </c>
      <c r="N12" s="13">
        <v>-1.29E-2</v>
      </c>
      <c r="O12" s="13">
        <v>-6.3E-3</v>
      </c>
    </row>
    <row r="13" spans="3:15" ht="16" thickBot="1" x14ac:dyDescent="0.4">
      <c r="C13" s="13" t="s">
        <v>56</v>
      </c>
      <c r="D13" s="13">
        <v>2.2000000000000001E-3</v>
      </c>
      <c r="E13" s="13">
        <v>9.9000000000000008E-3</v>
      </c>
      <c r="F13" s="13">
        <v>1.49E-2</v>
      </c>
      <c r="G13" s="13">
        <v>1.5900000000000001E-2</v>
      </c>
      <c r="H13" s="13">
        <v>1.2699999999999999E-2</v>
      </c>
      <c r="I13" s="13" t="s">
        <v>57</v>
      </c>
      <c r="J13" s="13">
        <v>-2.2000000000000001E-3</v>
      </c>
      <c r="K13" s="13">
        <v>-9.9000000000000008E-3</v>
      </c>
      <c r="L13" s="13">
        <v>-1.49E-2</v>
      </c>
      <c r="M13" s="13">
        <v>-1.5900000000000001E-2</v>
      </c>
      <c r="N13" s="13">
        <v>-1.2699999999999999E-2</v>
      </c>
      <c r="O13" s="13" t="s">
        <v>58</v>
      </c>
    </row>
    <row r="14" spans="3:15" ht="16" thickBot="1" x14ac:dyDescent="0.4">
      <c r="C14" s="13" t="s">
        <v>59</v>
      </c>
      <c r="D14" s="13">
        <v>2.5000000000000001E-3</v>
      </c>
      <c r="E14" s="13">
        <v>1.01E-2</v>
      </c>
      <c r="F14" s="13" t="s">
        <v>60</v>
      </c>
      <c r="G14" s="13">
        <v>1.5900000000000001E-2</v>
      </c>
      <c r="H14" s="13">
        <v>1.2500000000000001E-2</v>
      </c>
      <c r="I14" s="13">
        <v>5.7999999999999996E-3</v>
      </c>
      <c r="J14" s="13">
        <v>-2.5000000000000001E-3</v>
      </c>
      <c r="K14" s="13">
        <v>-1.01E-2</v>
      </c>
      <c r="L14" s="13" t="s">
        <v>61</v>
      </c>
      <c r="M14" s="13">
        <v>-1.5900000000000001E-2</v>
      </c>
      <c r="N14" s="13">
        <v>-1.2500000000000001E-2</v>
      </c>
      <c r="O14" s="13">
        <v>-5.7999999999999996E-3</v>
      </c>
    </row>
    <row r="15" spans="3:15" ht="16" thickBot="1" x14ac:dyDescent="0.4">
      <c r="C15" s="13" t="s">
        <v>62</v>
      </c>
      <c r="D15" s="13">
        <v>2.8E-3</v>
      </c>
      <c r="E15" s="13">
        <v>1.03E-2</v>
      </c>
      <c r="F15" s="13">
        <v>1.5100000000000001E-2</v>
      </c>
      <c r="G15" s="13">
        <v>1.5900000000000001E-2</v>
      </c>
      <c r="H15" s="13">
        <v>1.23E-2</v>
      </c>
      <c r="I15" s="13">
        <v>5.4999999999999997E-3</v>
      </c>
      <c r="J15" s="13">
        <v>-2.8E-3</v>
      </c>
      <c r="K15" s="13">
        <v>-1.03E-2</v>
      </c>
      <c r="L15" s="13">
        <v>-1.5100000000000001E-2</v>
      </c>
      <c r="M15" s="13">
        <v>-1.5900000000000001E-2</v>
      </c>
      <c r="N15" s="13">
        <v>-1.23E-2</v>
      </c>
      <c r="O15" s="13">
        <v>-5.4999999999999997E-3</v>
      </c>
    </row>
    <row r="16" spans="3:15" ht="16" thickBot="1" x14ac:dyDescent="0.4">
      <c r="C16" s="13" t="s">
        <v>63</v>
      </c>
      <c r="D16" s="13">
        <v>3.0999999999999999E-3</v>
      </c>
      <c r="E16" s="13">
        <v>1.06E-2</v>
      </c>
      <c r="F16" s="13">
        <v>1.52E-2</v>
      </c>
      <c r="G16" s="13">
        <v>1.5800000000000002E-2</v>
      </c>
      <c r="H16" s="13">
        <v>1.2200000000000001E-2</v>
      </c>
      <c r="I16" s="13">
        <v>5.1999999999999998E-3</v>
      </c>
      <c r="J16" s="13">
        <v>-3.0999999999999999E-3</v>
      </c>
      <c r="K16" s="13">
        <v>-1.06E-2</v>
      </c>
      <c r="L16" s="13">
        <v>-1.52E-2</v>
      </c>
      <c r="M16" s="13">
        <v>-1.5800000000000002E-2</v>
      </c>
      <c r="N16" s="13">
        <v>-1.2200000000000001E-2</v>
      </c>
      <c r="O16" s="13">
        <v>-5.1999999999999998E-3</v>
      </c>
    </row>
    <row r="17" spans="3:15" ht="16" thickBot="1" x14ac:dyDescent="0.4">
      <c r="C17" s="13" t="s">
        <v>64</v>
      </c>
      <c r="D17" s="13">
        <v>3.3E-3</v>
      </c>
      <c r="E17" s="13">
        <v>1.0800000000000001E-2</v>
      </c>
      <c r="F17" s="13">
        <v>1.5299999999999999E-2</v>
      </c>
      <c r="G17" s="13">
        <v>1.5699999999999999E-2</v>
      </c>
      <c r="H17" s="13">
        <v>1.2E-2</v>
      </c>
      <c r="I17" s="13" t="s">
        <v>65</v>
      </c>
      <c r="J17" s="13">
        <v>-3.3E-3</v>
      </c>
      <c r="K17" s="13">
        <v>-1.0800000000000001E-2</v>
      </c>
      <c r="L17" s="13">
        <v>-1.5299999999999999E-2</v>
      </c>
      <c r="M17" s="13">
        <v>-1.5699999999999999E-2</v>
      </c>
      <c r="N17" s="13" t="s">
        <v>66</v>
      </c>
      <c r="O17" s="13" t="s">
        <v>67</v>
      </c>
    </row>
    <row r="18" spans="3:15" ht="16" thickBot="1" x14ac:dyDescent="0.4">
      <c r="C18" s="13" t="s">
        <v>68</v>
      </c>
      <c r="D18" s="13">
        <v>3.5999999999999999E-3</v>
      </c>
      <c r="E18" s="13" t="s">
        <v>69</v>
      </c>
      <c r="F18" s="13">
        <v>1.54E-2</v>
      </c>
      <c r="G18" s="13">
        <v>1.5699999999999999E-2</v>
      </c>
      <c r="H18" s="13">
        <v>1.18E-2</v>
      </c>
      <c r="I18" s="13">
        <v>4.7000000000000002E-3</v>
      </c>
      <c r="J18" s="13">
        <v>-3.5999999999999999E-3</v>
      </c>
      <c r="K18" s="13" t="s">
        <v>70</v>
      </c>
      <c r="L18" s="13">
        <v>-1.54E-2</v>
      </c>
      <c r="M18" s="13">
        <v>-1.5699999999999999E-2</v>
      </c>
      <c r="N18" s="13">
        <v>-1.18E-2</v>
      </c>
      <c r="O18" s="13">
        <v>-4.7000000000000002E-3</v>
      </c>
    </row>
    <row r="19" spans="3:15" ht="16" thickBot="1" x14ac:dyDescent="0.4">
      <c r="C19" s="13" t="s">
        <v>71</v>
      </c>
      <c r="D19" s="13">
        <v>3.8999999999999998E-3</v>
      </c>
      <c r="E19" s="13">
        <v>1.12E-2</v>
      </c>
      <c r="F19" s="13">
        <v>1.55E-2</v>
      </c>
      <c r="G19" s="13">
        <v>1.5599999999999999E-2</v>
      </c>
      <c r="H19" s="13">
        <v>1.1599999999999999E-2</v>
      </c>
      <c r="I19" s="13">
        <v>4.4000000000000003E-3</v>
      </c>
      <c r="J19" s="13">
        <v>-3.8999999999999998E-3</v>
      </c>
      <c r="K19" s="13">
        <v>-1.12E-2</v>
      </c>
      <c r="L19" s="13">
        <v>-1.55E-2</v>
      </c>
      <c r="M19" s="13">
        <v>-1.5599999999999999E-2</v>
      </c>
      <c r="N19" s="13">
        <v>-1.1599999999999999E-2</v>
      </c>
      <c r="O19" s="13">
        <v>-4.4000000000000003E-3</v>
      </c>
    </row>
    <row r="20" spans="3:15" ht="16" thickBot="1" x14ac:dyDescent="0.4">
      <c r="C20" s="13" t="s">
        <v>72</v>
      </c>
      <c r="D20" s="13">
        <v>4.1999999999999997E-3</v>
      </c>
      <c r="E20" s="13">
        <v>1.14E-2</v>
      </c>
      <c r="F20" s="13">
        <v>1.5599999999999999E-2</v>
      </c>
      <c r="G20" s="13">
        <v>1.5599999999999999E-2</v>
      </c>
      <c r="H20" s="13">
        <v>1.14E-2</v>
      </c>
      <c r="I20" s="13">
        <v>4.1999999999999997E-3</v>
      </c>
      <c r="J20" s="13">
        <v>-4.1999999999999997E-3</v>
      </c>
      <c r="K20" s="13">
        <v>-1.14E-2</v>
      </c>
      <c r="L20" s="13">
        <v>-1.5599999999999999E-2</v>
      </c>
      <c r="M20" s="13">
        <v>-1.5599999999999999E-2</v>
      </c>
      <c r="N20" s="13">
        <v>-1.14E-2</v>
      </c>
      <c r="O20" s="13">
        <v>-4.1999999999999997E-3</v>
      </c>
    </row>
    <row r="21" spans="3:15" ht="16" thickBot="1" x14ac:dyDescent="0.4">
      <c r="C21" s="13" t="s">
        <v>73</v>
      </c>
      <c r="D21" s="13">
        <v>4.1999999999999997E-3</v>
      </c>
      <c r="E21" s="13">
        <v>1.1599999999999999E-2</v>
      </c>
      <c r="F21" s="13">
        <v>1.5599999999999999E-2</v>
      </c>
      <c r="G21" s="13">
        <v>1.55E-2</v>
      </c>
      <c r="H21" s="13">
        <v>1.12E-2</v>
      </c>
      <c r="I21" s="13">
        <v>3.8999999999999998E-3</v>
      </c>
      <c r="J21" s="13">
        <v>-4.1999999999999997E-3</v>
      </c>
      <c r="K21" s="13">
        <v>-1.1599999999999999E-2</v>
      </c>
      <c r="L21" s="13">
        <v>-1.5599999999999999E-2</v>
      </c>
      <c r="M21" s="13">
        <v>-1.55E-2</v>
      </c>
      <c r="N21" s="13">
        <v>-1.12E-2</v>
      </c>
      <c r="O21" s="13">
        <v>-3.8999999999999998E-3</v>
      </c>
    </row>
    <row r="22" spans="3:15" ht="16" thickBot="1" x14ac:dyDescent="0.4">
      <c r="C22" s="13" t="s">
        <v>74</v>
      </c>
      <c r="D22" s="13">
        <v>4.7000000000000002E-3</v>
      </c>
      <c r="E22" s="13">
        <v>1.18E-2</v>
      </c>
      <c r="F22" s="13">
        <v>1.5699999999999999E-2</v>
      </c>
      <c r="G22" s="13">
        <v>1.54E-2</v>
      </c>
      <c r="H22" s="13" t="s">
        <v>69</v>
      </c>
      <c r="I22" s="13">
        <v>3.5999999999999999E-3</v>
      </c>
      <c r="J22" s="13">
        <v>-4.7000000000000002E-3</v>
      </c>
      <c r="K22" s="13">
        <v>-1.18E-2</v>
      </c>
      <c r="L22" s="13">
        <v>-1.5699999999999999E-2</v>
      </c>
      <c r="M22" s="13">
        <v>-1.54E-2</v>
      </c>
      <c r="N22" s="13" t="s">
        <v>70</v>
      </c>
      <c r="O22" s="13">
        <v>-3.5999999999999999E-3</v>
      </c>
    </row>
    <row r="23" spans="3:15" ht="16" thickBot="1" x14ac:dyDescent="0.4">
      <c r="C23" s="13" t="s">
        <v>75</v>
      </c>
      <c r="D23" s="13" t="s">
        <v>65</v>
      </c>
      <c r="E23" s="13" t="s">
        <v>76</v>
      </c>
      <c r="F23" s="13">
        <v>1.5699999999999999E-2</v>
      </c>
      <c r="G23" s="13">
        <v>1.5299999999999999E-2</v>
      </c>
      <c r="H23" s="13">
        <v>1.0800000000000001E-2</v>
      </c>
      <c r="I23" s="13">
        <v>3.3E-3</v>
      </c>
      <c r="J23" s="13">
        <v>-5.0000000000000001E-3</v>
      </c>
      <c r="K23" s="13" t="s">
        <v>66</v>
      </c>
      <c r="L23" s="13">
        <v>-1.5699999999999999E-2</v>
      </c>
      <c r="M23" s="13">
        <v>-1.5299999999999999E-2</v>
      </c>
      <c r="N23" s="13">
        <v>-1.0800000000000001E-2</v>
      </c>
      <c r="O23" s="13">
        <v>-3.3E-3</v>
      </c>
    </row>
    <row r="24" spans="3:15" ht="16" thickBot="1" x14ac:dyDescent="0.4">
      <c r="C24" s="13" t="s">
        <v>77</v>
      </c>
      <c r="D24" s="13">
        <v>5.1999999999999998E-3</v>
      </c>
      <c r="E24" s="13">
        <v>1.2200000000000001E-2</v>
      </c>
      <c r="F24" s="13">
        <v>1.5800000000000002E-2</v>
      </c>
      <c r="G24" s="13">
        <v>1.52E-2</v>
      </c>
      <c r="H24" s="13">
        <v>1.06E-2</v>
      </c>
      <c r="I24" s="13">
        <v>3.0999999999999999E-3</v>
      </c>
      <c r="J24" s="13">
        <v>-5.1999999999999998E-3</v>
      </c>
      <c r="K24" s="13">
        <v>-1.2200000000000001E-2</v>
      </c>
      <c r="L24" s="13">
        <v>-1.5800000000000002E-2</v>
      </c>
      <c r="M24" s="13">
        <v>-1.52E-2</v>
      </c>
      <c r="N24" s="13">
        <v>-1.06E-2</v>
      </c>
      <c r="O24" s="13">
        <v>-3.0999999999999999E-3</v>
      </c>
    </row>
    <row r="25" spans="3:15" ht="16" thickBot="1" x14ac:dyDescent="0.4">
      <c r="C25" s="13" t="s">
        <v>78</v>
      </c>
      <c r="D25" s="13">
        <v>5.4999999999999997E-3</v>
      </c>
      <c r="E25" s="13">
        <v>1.23E-2</v>
      </c>
      <c r="F25" s="13">
        <v>1.5900000000000001E-2</v>
      </c>
      <c r="G25" s="13">
        <v>1.5100000000000001E-2</v>
      </c>
      <c r="H25" s="13">
        <v>1.03E-2</v>
      </c>
      <c r="I25" s="13">
        <v>2.8E-3</v>
      </c>
      <c r="J25" s="13">
        <v>-5.4999999999999997E-3</v>
      </c>
      <c r="K25" s="13">
        <v>-1.23E-2</v>
      </c>
      <c r="L25" s="13">
        <v>-1.5900000000000001E-2</v>
      </c>
      <c r="M25" s="13">
        <v>-1.5100000000000001E-2</v>
      </c>
      <c r="N25" s="13">
        <v>-1.03E-2</v>
      </c>
      <c r="O25" s="13">
        <v>-2.8E-3</v>
      </c>
    </row>
    <row r="26" spans="3:15" ht="16" thickBot="1" x14ac:dyDescent="0.4">
      <c r="C26" s="13" t="s">
        <v>79</v>
      </c>
      <c r="D26" s="13">
        <v>5.7999999999999996E-3</v>
      </c>
      <c r="E26" s="13">
        <v>1.2500000000000001E-2</v>
      </c>
      <c r="F26" s="13">
        <v>1.5900000000000001E-2</v>
      </c>
      <c r="G26" s="13" t="s">
        <v>60</v>
      </c>
      <c r="H26" s="13">
        <v>1.01E-2</v>
      </c>
      <c r="I26" s="13">
        <v>2.5000000000000001E-3</v>
      </c>
      <c r="J26" s="13">
        <v>-5.7999999999999996E-3</v>
      </c>
      <c r="K26" s="13">
        <v>-1.2500000000000001E-2</v>
      </c>
      <c r="L26" s="13">
        <v>-1.5900000000000001E-2</v>
      </c>
      <c r="M26" s="13" t="s">
        <v>61</v>
      </c>
      <c r="N26" s="13">
        <v>-1.01E-2</v>
      </c>
      <c r="O26" s="13">
        <v>-2.5000000000000001E-3</v>
      </c>
    </row>
    <row r="27" spans="3:15" ht="16" thickBot="1" x14ac:dyDescent="0.4">
      <c r="C27" s="13" t="s">
        <v>80</v>
      </c>
      <c r="D27" s="13" t="s">
        <v>57</v>
      </c>
      <c r="E27" s="13">
        <v>1.2699999999999999E-2</v>
      </c>
      <c r="F27" s="13">
        <v>1.5900000000000001E-2</v>
      </c>
      <c r="G27" s="13">
        <v>1.49E-2</v>
      </c>
      <c r="H27" s="13">
        <v>9.9000000000000008E-3</v>
      </c>
      <c r="I27" s="13">
        <v>2.2000000000000001E-3</v>
      </c>
      <c r="J27" s="13" t="s">
        <v>58</v>
      </c>
      <c r="K27" s="13">
        <v>-1.2699999999999999E-2</v>
      </c>
      <c r="L27" s="13">
        <v>-1.5900000000000001E-2</v>
      </c>
      <c r="M27" s="13">
        <v>-1.49E-2</v>
      </c>
      <c r="N27" s="13">
        <v>-9.9000000000000008E-3</v>
      </c>
      <c r="O27" s="13">
        <v>-2.2000000000000001E-3</v>
      </c>
    </row>
    <row r="28" spans="3:15" ht="16" thickBot="1" x14ac:dyDescent="0.4">
      <c r="C28" s="13" t="s">
        <v>81</v>
      </c>
      <c r="D28" s="13">
        <v>6.3E-3</v>
      </c>
      <c r="E28" s="13">
        <v>1.29E-2</v>
      </c>
      <c r="F28" s="13" t="s">
        <v>48</v>
      </c>
      <c r="G28" s="13">
        <v>1.4800000000000001E-2</v>
      </c>
      <c r="H28" s="13">
        <v>9.7000000000000003E-3</v>
      </c>
      <c r="I28" s="13" t="s">
        <v>54</v>
      </c>
      <c r="J28" s="13">
        <v>-6.3E-3</v>
      </c>
      <c r="K28" s="13">
        <v>-1.29E-2</v>
      </c>
      <c r="L28" s="13" t="s">
        <v>49</v>
      </c>
      <c r="M28" s="13">
        <v>-1.4800000000000001E-2</v>
      </c>
      <c r="N28" s="13">
        <v>-9.7000000000000003E-3</v>
      </c>
      <c r="O28" s="13" t="s">
        <v>55</v>
      </c>
    </row>
    <row r="29" spans="3:15" ht="16" thickBot="1" x14ac:dyDescent="0.4">
      <c r="C29" s="13" t="s">
        <v>82</v>
      </c>
      <c r="D29" s="13">
        <v>6.4999999999999997E-3</v>
      </c>
      <c r="E29" s="13" t="s">
        <v>51</v>
      </c>
      <c r="F29" s="13" t="s">
        <v>48</v>
      </c>
      <c r="G29" s="13">
        <v>1.47E-2</v>
      </c>
      <c r="H29" s="13">
        <v>9.4999999999999998E-3</v>
      </c>
      <c r="I29" s="13">
        <v>1.6999999999999999E-3</v>
      </c>
      <c r="J29" s="13">
        <v>-6.4999999999999997E-3</v>
      </c>
      <c r="K29" s="13" t="s">
        <v>52</v>
      </c>
      <c r="L29" s="13" t="s">
        <v>49</v>
      </c>
      <c r="M29" s="13">
        <v>-1.47E-2</v>
      </c>
      <c r="N29" s="13">
        <v>-9.4999999999999998E-3</v>
      </c>
      <c r="O29" s="13">
        <v>-1.6999999999999999E-3</v>
      </c>
    </row>
    <row r="30" spans="3:15" ht="16" thickBot="1" x14ac:dyDescent="0.4">
      <c r="C30" s="13" t="s">
        <v>83</v>
      </c>
      <c r="D30" s="13">
        <v>6.7999999999999996E-3</v>
      </c>
      <c r="E30" s="13">
        <v>1.32E-2</v>
      </c>
      <c r="F30" s="13" t="s">
        <v>48</v>
      </c>
      <c r="G30" s="13">
        <v>1.46E-2</v>
      </c>
      <c r="H30" s="13">
        <v>9.1999999999999998E-3</v>
      </c>
      <c r="I30" s="13">
        <v>1.4E-3</v>
      </c>
      <c r="J30" s="13">
        <v>-6.7999999999999996E-3</v>
      </c>
      <c r="K30" s="13">
        <v>-1.32E-2</v>
      </c>
      <c r="L30" s="13" t="s">
        <v>49</v>
      </c>
      <c r="M30" s="13">
        <v>-1.46E-2</v>
      </c>
      <c r="N30" s="13">
        <v>-9.1999999999999998E-3</v>
      </c>
      <c r="O30" s="13">
        <v>-1.4E-3</v>
      </c>
    </row>
    <row r="31" spans="3:15" ht="16" thickBot="1" x14ac:dyDescent="0.4">
      <c r="C31" s="13" t="s">
        <v>84</v>
      </c>
      <c r="D31" s="13">
        <v>7.1000000000000004E-3</v>
      </c>
      <c r="E31" s="13">
        <v>1.3299999999999999E-2</v>
      </c>
      <c r="F31" s="13">
        <v>1.61E-2</v>
      </c>
      <c r="G31" s="13">
        <v>1.4500000000000001E-2</v>
      </c>
      <c r="H31" s="13" t="s">
        <v>46</v>
      </c>
      <c r="I31" s="13">
        <v>1.1000000000000001E-3</v>
      </c>
      <c r="J31" s="13">
        <v>-7.1000000000000004E-3</v>
      </c>
      <c r="K31" s="13">
        <v>-1.3299999999999999E-2</v>
      </c>
      <c r="L31" s="13">
        <v>-1.61E-2</v>
      </c>
      <c r="M31" s="13">
        <v>-1.4500000000000001E-2</v>
      </c>
      <c r="N31" s="13" t="s">
        <v>85</v>
      </c>
      <c r="O31" s="13">
        <v>-1.1000000000000001E-3</v>
      </c>
    </row>
    <row r="32" spans="3:15" ht="16" thickBot="1" x14ac:dyDescent="0.4">
      <c r="C32" s="13" t="s">
        <v>86</v>
      </c>
      <c r="D32" s="13">
        <v>7.3000000000000001E-3</v>
      </c>
      <c r="E32" s="13">
        <v>1.35E-2</v>
      </c>
      <c r="F32" s="13">
        <v>1.61E-2</v>
      </c>
      <c r="G32" s="13">
        <v>1.43E-2</v>
      </c>
      <c r="H32" s="13">
        <v>8.8000000000000005E-3</v>
      </c>
      <c r="I32" s="13">
        <v>8.0000000000000004E-4</v>
      </c>
      <c r="J32" s="13">
        <v>-7.3000000000000001E-3</v>
      </c>
      <c r="K32" s="13">
        <v>-1.35E-2</v>
      </c>
      <c r="L32" s="13">
        <v>-1.61E-2</v>
      </c>
      <c r="M32" s="13">
        <v>-1.43E-2</v>
      </c>
      <c r="N32" s="13">
        <v>-8.8000000000000005E-3</v>
      </c>
      <c r="O32" s="13">
        <v>-8.0000000000000004E-4</v>
      </c>
    </row>
    <row r="33" spans="3:15" ht="16" thickBot="1" x14ac:dyDescent="0.4">
      <c r="C33" s="13" t="s">
        <v>87</v>
      </c>
      <c r="D33" s="13">
        <v>7.6E-3</v>
      </c>
      <c r="E33" s="13">
        <v>1.37E-2</v>
      </c>
      <c r="F33" s="13">
        <v>1.61E-2</v>
      </c>
      <c r="G33" s="13">
        <v>1.4200000000000001E-2</v>
      </c>
      <c r="H33" s="13">
        <v>8.5000000000000006E-3</v>
      </c>
      <c r="I33" s="13">
        <v>5.9999999999999995E-4</v>
      </c>
      <c r="J33" s="13">
        <v>-7.6E-3</v>
      </c>
      <c r="K33" s="13">
        <v>-1.37E-2</v>
      </c>
      <c r="L33" s="13">
        <v>-1.61E-2</v>
      </c>
      <c r="M33" s="13">
        <v>-1.4200000000000001E-2</v>
      </c>
      <c r="N33" s="13">
        <v>-8.5000000000000006E-3</v>
      </c>
      <c r="O33" s="13">
        <v>-5.9999999999999995E-4</v>
      </c>
    </row>
    <row r="34" spans="3:15" ht="16" thickBot="1" x14ac:dyDescent="0.4">
      <c r="C34" s="13" t="s">
        <v>88</v>
      </c>
      <c r="D34" s="13">
        <v>7.7999999999999996E-3</v>
      </c>
      <c r="E34" s="13">
        <v>1.38E-2</v>
      </c>
      <c r="F34" s="13">
        <v>1.61E-2</v>
      </c>
      <c r="G34" s="13">
        <v>1.41E-2</v>
      </c>
      <c r="H34" s="13">
        <v>8.3000000000000001E-3</v>
      </c>
      <c r="I34" s="13">
        <v>2.9999999999999997E-4</v>
      </c>
      <c r="J34" s="13">
        <v>-7.7999999999999996E-3</v>
      </c>
      <c r="K34" s="13">
        <v>-1.38E-2</v>
      </c>
      <c r="L34" s="13">
        <v>-1.61E-2</v>
      </c>
      <c r="M34" s="13">
        <v>-1.41E-2</v>
      </c>
      <c r="N34" s="13">
        <v>-8.3000000000000001E-3</v>
      </c>
      <c r="O34" s="13">
        <v>-2.9999999999999997E-4</v>
      </c>
    </row>
    <row r="35" spans="3:15" ht="16" thickBot="1" x14ac:dyDescent="0.4">
      <c r="C35" s="13" t="s">
        <v>17</v>
      </c>
      <c r="D35" s="13">
        <v>8.0999999999999996E-3</v>
      </c>
      <c r="E35" s="13">
        <v>1.3899999999999999E-2</v>
      </c>
      <c r="F35" s="13">
        <v>1.61E-2</v>
      </c>
      <c r="G35" s="13">
        <v>1.3899999999999999E-2</v>
      </c>
      <c r="H35" s="13">
        <v>8.0999999999999996E-3</v>
      </c>
      <c r="I35" s="13" t="s">
        <v>22</v>
      </c>
      <c r="J35" s="13">
        <v>-8.0999999999999996E-3</v>
      </c>
      <c r="K35" s="13">
        <v>-1.3899999999999999E-2</v>
      </c>
      <c r="L35" s="13">
        <v>-1.61E-2</v>
      </c>
      <c r="M35" s="13">
        <v>-1.3899999999999999E-2</v>
      </c>
      <c r="N35" s="13">
        <v>-8.0999999999999996E-3</v>
      </c>
      <c r="O35" s="13" t="s">
        <v>22</v>
      </c>
    </row>
  </sheetData>
  <mergeCells count="1">
    <mergeCell ref="C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FEB7-D0C5-4E99-973F-81D711A84D52}">
  <dimension ref="C2:O35"/>
  <sheetViews>
    <sheetView workbookViewId="0">
      <selection activeCell="B3" sqref="B3:O35"/>
    </sheetView>
  </sheetViews>
  <sheetFormatPr defaultRowHeight="14.5" x14ac:dyDescent="0.35"/>
  <sheetData>
    <row r="2" spans="3:15" ht="15" thickBot="1" x14ac:dyDescent="0.4"/>
    <row r="3" spans="3:15" ht="16" thickBot="1" x14ac:dyDescent="0.4">
      <c r="C3" s="56" t="s">
        <v>89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3:15" ht="16" thickBot="1" x14ac:dyDescent="0.4">
      <c r="C4" s="2" t="s">
        <v>0</v>
      </c>
      <c r="D4" s="7">
        <v>0</v>
      </c>
      <c r="E4" s="7">
        <v>30</v>
      </c>
      <c r="F4" s="7">
        <v>60</v>
      </c>
      <c r="G4" s="7">
        <v>90</v>
      </c>
      <c r="H4" s="7">
        <v>120</v>
      </c>
      <c r="I4" s="7">
        <v>150</v>
      </c>
      <c r="J4" s="6">
        <v>180</v>
      </c>
      <c r="K4" s="6">
        <v>210</v>
      </c>
      <c r="L4" s="6">
        <v>240</v>
      </c>
      <c r="M4" s="6">
        <v>270</v>
      </c>
      <c r="N4" s="6">
        <v>300</v>
      </c>
      <c r="O4" s="6">
        <v>330</v>
      </c>
    </row>
    <row r="5" spans="3:15" ht="16" thickBot="1" x14ac:dyDescent="0.4">
      <c r="C5" s="2">
        <v>0</v>
      </c>
      <c r="D5" s="8">
        <v>0</v>
      </c>
      <c r="E5" s="8">
        <v>-2.5999999999999999E-3</v>
      </c>
      <c r="F5" s="8">
        <v>-4.4000000000000003E-3</v>
      </c>
      <c r="G5" s="8">
        <v>-5.1000000000000004E-3</v>
      </c>
      <c r="H5" s="8">
        <v>-4.4000000000000003E-3</v>
      </c>
      <c r="I5" s="8">
        <v>-2.5999999999999999E-3</v>
      </c>
      <c r="J5" s="9">
        <v>0</v>
      </c>
      <c r="K5" s="9">
        <v>2.5999999999999999E-3</v>
      </c>
      <c r="L5" s="9">
        <v>4.4000000000000003E-3</v>
      </c>
      <c r="M5" s="9">
        <v>5.1000000000000004E-3</v>
      </c>
      <c r="N5" s="9">
        <v>4.4000000000000003E-3</v>
      </c>
      <c r="O5" s="9">
        <v>2.5999999999999999E-3</v>
      </c>
    </row>
    <row r="6" spans="3:15" ht="16" thickBot="1" x14ac:dyDescent="0.4">
      <c r="C6" s="2">
        <v>1</v>
      </c>
      <c r="D6" s="8">
        <v>-1E-4</v>
      </c>
      <c r="E6" s="8">
        <v>-2.5999999999999999E-3</v>
      </c>
      <c r="F6" s="8">
        <v>-4.4999999999999997E-3</v>
      </c>
      <c r="G6" s="8">
        <v>-5.1000000000000004E-3</v>
      </c>
      <c r="H6" s="8">
        <v>-4.4000000000000003E-3</v>
      </c>
      <c r="I6" s="8">
        <v>-2.5000000000000001E-3</v>
      </c>
      <c r="J6" s="9">
        <v>1E-4</v>
      </c>
      <c r="K6" s="9">
        <v>2.5999999999999999E-3</v>
      </c>
      <c r="L6" s="9">
        <v>4.4999999999999997E-3</v>
      </c>
      <c r="M6" s="9">
        <v>5.1000000000000004E-3</v>
      </c>
      <c r="N6" s="9">
        <v>4.4000000000000003E-3</v>
      </c>
      <c r="O6" s="9">
        <v>2.5000000000000001E-3</v>
      </c>
    </row>
    <row r="7" spans="3:15" ht="16" thickBot="1" x14ac:dyDescent="0.4">
      <c r="C7" s="2">
        <v>2</v>
      </c>
      <c r="D7" s="8">
        <v>-2.0000000000000001E-4</v>
      </c>
      <c r="E7" s="8">
        <v>-2.7000000000000001E-3</v>
      </c>
      <c r="F7" s="8">
        <v>-4.4999999999999997E-3</v>
      </c>
      <c r="G7" s="8">
        <v>-5.1000000000000004E-3</v>
      </c>
      <c r="H7" s="8">
        <v>-4.3E-3</v>
      </c>
      <c r="I7" s="8">
        <v>-2.3999999999999998E-3</v>
      </c>
      <c r="J7" s="9">
        <v>2.0000000000000001E-4</v>
      </c>
      <c r="K7" s="9">
        <v>2.7000000000000001E-3</v>
      </c>
      <c r="L7" s="9">
        <v>4.4999999999999997E-3</v>
      </c>
      <c r="M7" s="9">
        <v>5.1000000000000004E-3</v>
      </c>
      <c r="N7" s="9">
        <v>4.3E-3</v>
      </c>
      <c r="O7" s="9">
        <v>2.3999999999999998E-3</v>
      </c>
    </row>
    <row r="8" spans="3:15" ht="16" thickBot="1" x14ac:dyDescent="0.4">
      <c r="C8" s="2">
        <v>3</v>
      </c>
      <c r="D8" s="8">
        <v>-2.9999999999999997E-4</v>
      </c>
      <c r="E8" s="8">
        <v>-2.8E-3</v>
      </c>
      <c r="F8" s="8">
        <v>-4.4999999999999997E-3</v>
      </c>
      <c r="G8" s="8">
        <v>-5.1000000000000004E-3</v>
      </c>
      <c r="H8" s="8">
        <v>-4.3E-3</v>
      </c>
      <c r="I8" s="8">
        <v>-2.3E-3</v>
      </c>
      <c r="J8" s="9">
        <v>2.9999999999999997E-4</v>
      </c>
      <c r="K8" s="9">
        <v>2.8E-3</v>
      </c>
      <c r="L8" s="9">
        <v>4.4999999999999997E-3</v>
      </c>
      <c r="M8" s="9">
        <v>5.1000000000000004E-3</v>
      </c>
      <c r="N8" s="9">
        <v>4.3E-3</v>
      </c>
      <c r="O8" s="9">
        <v>2.3E-3</v>
      </c>
    </row>
    <row r="9" spans="3:15" ht="16" thickBot="1" x14ac:dyDescent="0.4">
      <c r="C9" s="2">
        <v>4</v>
      </c>
      <c r="D9" s="8">
        <v>-4.0000000000000002E-4</v>
      </c>
      <c r="E9" s="8">
        <v>-2.8999999999999998E-3</v>
      </c>
      <c r="F9" s="8">
        <v>-4.5999999999999999E-3</v>
      </c>
      <c r="G9" s="8">
        <v>-5.1000000000000004E-3</v>
      </c>
      <c r="H9" s="8">
        <v>-4.1999999999999997E-3</v>
      </c>
      <c r="I9" s="8">
        <v>-2.2000000000000001E-3</v>
      </c>
      <c r="J9" s="9">
        <v>4.0000000000000002E-4</v>
      </c>
      <c r="K9" s="9">
        <v>2.8999999999999998E-3</v>
      </c>
      <c r="L9" s="9">
        <v>4.5999999999999999E-3</v>
      </c>
      <c r="M9" s="9">
        <v>5.1000000000000004E-3</v>
      </c>
      <c r="N9" s="9">
        <v>4.1999999999999997E-3</v>
      </c>
      <c r="O9" s="9">
        <v>2.2000000000000001E-3</v>
      </c>
    </row>
    <row r="10" spans="3:15" ht="16" thickBot="1" x14ac:dyDescent="0.4">
      <c r="C10" s="2">
        <v>5</v>
      </c>
      <c r="D10" s="8">
        <v>-4.0000000000000002E-4</v>
      </c>
      <c r="E10" s="8">
        <v>-2.8999999999999998E-3</v>
      </c>
      <c r="F10" s="8">
        <v>-4.5999999999999999E-3</v>
      </c>
      <c r="G10" s="8">
        <v>-5.1000000000000004E-3</v>
      </c>
      <c r="H10" s="8">
        <v>-4.1999999999999997E-3</v>
      </c>
      <c r="I10" s="8">
        <v>-2.2000000000000001E-3</v>
      </c>
      <c r="J10" s="9">
        <v>4.0000000000000002E-4</v>
      </c>
      <c r="K10" s="9">
        <v>2.8999999999999998E-3</v>
      </c>
      <c r="L10" s="9">
        <v>4.5999999999999999E-3</v>
      </c>
      <c r="M10" s="9">
        <v>5.1000000000000004E-3</v>
      </c>
      <c r="N10" s="9">
        <v>4.1999999999999997E-3</v>
      </c>
      <c r="O10" s="9">
        <v>2.2000000000000001E-3</v>
      </c>
    </row>
    <row r="11" spans="3:15" ht="16" thickBot="1" x14ac:dyDescent="0.4">
      <c r="C11" s="2">
        <v>6</v>
      </c>
      <c r="D11" s="8">
        <v>-5.0000000000000001E-4</v>
      </c>
      <c r="E11" s="8">
        <v>-3.0000000000000001E-3</v>
      </c>
      <c r="F11" s="8">
        <v>-4.7000000000000002E-3</v>
      </c>
      <c r="G11" s="8">
        <v>-5.1000000000000004E-3</v>
      </c>
      <c r="H11" s="8">
        <v>-4.1000000000000003E-3</v>
      </c>
      <c r="I11" s="8">
        <v>-2.0999999999999999E-3</v>
      </c>
      <c r="J11" s="9">
        <v>5.0000000000000001E-4</v>
      </c>
      <c r="K11" s="9">
        <v>3.0000000000000001E-3</v>
      </c>
      <c r="L11" s="9">
        <v>4.7000000000000002E-3</v>
      </c>
      <c r="M11" s="9">
        <v>5.1000000000000004E-3</v>
      </c>
      <c r="N11" s="9">
        <v>4.1000000000000003E-3</v>
      </c>
      <c r="O11" s="9">
        <v>2.0999999999999999E-3</v>
      </c>
    </row>
    <row r="12" spans="3:15" ht="16" thickBot="1" x14ac:dyDescent="0.4">
      <c r="C12" s="2">
        <v>7</v>
      </c>
      <c r="D12" s="8">
        <v>-5.9999999999999995E-4</v>
      </c>
      <c r="E12" s="8">
        <v>-3.0999999999999999E-3</v>
      </c>
      <c r="F12" s="8">
        <v>-4.7000000000000002E-3</v>
      </c>
      <c r="G12" s="8">
        <v>-5.1000000000000004E-3</v>
      </c>
      <c r="H12" s="8">
        <v>-4.1000000000000003E-3</v>
      </c>
      <c r="I12" s="8">
        <v>-2E-3</v>
      </c>
      <c r="J12" s="9">
        <v>5.9999999999999995E-4</v>
      </c>
      <c r="K12" s="9">
        <v>3.0999999999999999E-3</v>
      </c>
      <c r="L12" s="9">
        <v>4.7000000000000002E-3</v>
      </c>
      <c r="M12" s="9">
        <v>5.1000000000000004E-3</v>
      </c>
      <c r="N12" s="9">
        <v>4.1000000000000003E-3</v>
      </c>
      <c r="O12" s="9">
        <v>2E-3</v>
      </c>
    </row>
    <row r="13" spans="3:15" ht="16" thickBot="1" x14ac:dyDescent="0.4">
      <c r="C13" s="2">
        <v>8</v>
      </c>
      <c r="D13" s="8">
        <v>-6.9999999999999999E-4</v>
      </c>
      <c r="E13" s="8">
        <v>-3.0999999999999999E-3</v>
      </c>
      <c r="F13" s="8">
        <v>-4.7000000000000002E-3</v>
      </c>
      <c r="G13" s="8">
        <v>-5.1000000000000004E-3</v>
      </c>
      <c r="H13" s="8">
        <v>-4.0000000000000001E-3</v>
      </c>
      <c r="I13" s="8">
        <v>-1.9E-3</v>
      </c>
      <c r="J13" s="9">
        <v>6.9999999999999999E-4</v>
      </c>
      <c r="K13" s="9">
        <v>3.0999999999999999E-3</v>
      </c>
      <c r="L13" s="9">
        <v>4.7000000000000002E-3</v>
      </c>
      <c r="M13" s="9">
        <v>5.1000000000000004E-3</v>
      </c>
      <c r="N13" s="9">
        <v>4.0000000000000001E-3</v>
      </c>
      <c r="O13" s="9">
        <v>1.9E-3</v>
      </c>
    </row>
    <row r="14" spans="3:15" ht="16" thickBot="1" x14ac:dyDescent="0.4">
      <c r="C14" s="2">
        <v>9</v>
      </c>
      <c r="D14" s="8">
        <v>-8.0000000000000004E-4</v>
      </c>
      <c r="E14" s="8">
        <v>-3.2000000000000002E-3</v>
      </c>
      <c r="F14" s="8">
        <v>-4.7999999999999996E-3</v>
      </c>
      <c r="G14" s="8">
        <v>-5.0000000000000001E-3</v>
      </c>
      <c r="H14" s="8">
        <v>-4.0000000000000001E-3</v>
      </c>
      <c r="I14" s="8">
        <v>-1.8E-3</v>
      </c>
      <c r="J14" s="9">
        <v>8.0000000000000004E-4</v>
      </c>
      <c r="K14" s="9">
        <v>3.2000000000000002E-3</v>
      </c>
      <c r="L14" s="9">
        <v>4.7999999999999996E-3</v>
      </c>
      <c r="M14" s="9">
        <v>5.0000000000000001E-3</v>
      </c>
      <c r="N14" s="9">
        <v>4.0000000000000001E-3</v>
      </c>
      <c r="O14" s="9">
        <v>1.8E-3</v>
      </c>
    </row>
    <row r="15" spans="3:15" ht="16" thickBot="1" x14ac:dyDescent="0.4">
      <c r="C15" s="2">
        <v>10</v>
      </c>
      <c r="D15" s="8">
        <v>-8.9999999999999998E-4</v>
      </c>
      <c r="E15" s="8">
        <v>-3.3E-3</v>
      </c>
      <c r="F15" s="8">
        <v>-4.7999999999999996E-3</v>
      </c>
      <c r="G15" s="8">
        <v>-5.0000000000000001E-3</v>
      </c>
      <c r="H15" s="8">
        <v>-3.8999999999999998E-3</v>
      </c>
      <c r="I15" s="8">
        <v>-1.6999999999999999E-3</v>
      </c>
      <c r="J15" s="9">
        <v>8.9999999999999998E-4</v>
      </c>
      <c r="K15" s="9">
        <v>3.3E-3</v>
      </c>
      <c r="L15" s="9">
        <v>4.7999999999999996E-3</v>
      </c>
      <c r="M15" s="9">
        <v>5.0000000000000001E-3</v>
      </c>
      <c r="N15" s="9">
        <v>3.8999999999999998E-3</v>
      </c>
      <c r="O15" s="9">
        <v>1.6999999999999999E-3</v>
      </c>
    </row>
    <row r="16" spans="3:15" ht="16" thickBot="1" x14ac:dyDescent="0.4">
      <c r="C16" s="2">
        <v>11</v>
      </c>
      <c r="D16" s="8">
        <v>-1E-3</v>
      </c>
      <c r="E16" s="8">
        <v>-3.3E-3</v>
      </c>
      <c r="F16" s="8">
        <v>-4.7999999999999996E-3</v>
      </c>
      <c r="G16" s="8">
        <v>-5.0000000000000001E-3</v>
      </c>
      <c r="H16" s="8">
        <v>-3.8E-3</v>
      </c>
      <c r="I16" s="8">
        <v>-1.6999999999999999E-3</v>
      </c>
      <c r="J16" s="9">
        <v>1E-3</v>
      </c>
      <c r="K16" s="9">
        <v>3.3E-3</v>
      </c>
      <c r="L16" s="9">
        <v>4.7999999999999996E-3</v>
      </c>
      <c r="M16" s="9">
        <v>5.0000000000000001E-3</v>
      </c>
      <c r="N16" s="9">
        <v>3.8E-3</v>
      </c>
      <c r="O16" s="9">
        <v>1.6999999999999999E-3</v>
      </c>
    </row>
    <row r="17" spans="3:15" ht="16" thickBot="1" x14ac:dyDescent="0.4">
      <c r="C17" s="2">
        <v>12</v>
      </c>
      <c r="D17" s="8">
        <v>-1.1000000000000001E-3</v>
      </c>
      <c r="E17" s="8">
        <v>-3.3999999999999998E-3</v>
      </c>
      <c r="F17" s="8">
        <v>-4.8999999999999998E-3</v>
      </c>
      <c r="G17" s="8">
        <v>-5.0000000000000001E-3</v>
      </c>
      <c r="H17" s="8">
        <v>-3.8E-3</v>
      </c>
      <c r="I17" s="8">
        <v>-1.6000000000000001E-3</v>
      </c>
      <c r="J17" s="9">
        <v>1.1000000000000001E-3</v>
      </c>
      <c r="K17" s="9">
        <v>3.3999999999999998E-3</v>
      </c>
      <c r="L17" s="9">
        <v>4.8999999999999998E-3</v>
      </c>
      <c r="M17" s="9">
        <v>5.0000000000000001E-3</v>
      </c>
      <c r="N17" s="9">
        <v>3.8E-3</v>
      </c>
      <c r="O17" s="9">
        <v>1.6000000000000001E-3</v>
      </c>
    </row>
    <row r="18" spans="3:15" ht="16" thickBot="1" x14ac:dyDescent="0.4">
      <c r="C18" s="2">
        <v>13</v>
      </c>
      <c r="D18" s="8">
        <v>-1.1000000000000001E-3</v>
      </c>
      <c r="E18" s="8">
        <v>-3.5000000000000001E-3</v>
      </c>
      <c r="F18" s="8">
        <v>-4.8999999999999998E-3</v>
      </c>
      <c r="G18" s="8">
        <v>-5.0000000000000001E-3</v>
      </c>
      <c r="H18" s="8">
        <v>-3.7000000000000002E-3</v>
      </c>
      <c r="I18" s="8">
        <v>-1.5E-3</v>
      </c>
      <c r="J18" s="9">
        <v>1.1000000000000001E-3</v>
      </c>
      <c r="K18" s="9">
        <v>3.5000000000000001E-3</v>
      </c>
      <c r="L18" s="9">
        <v>4.8999999999999998E-3</v>
      </c>
      <c r="M18" s="9">
        <v>5.0000000000000001E-3</v>
      </c>
      <c r="N18" s="9">
        <v>3.7000000000000002E-3</v>
      </c>
      <c r="O18" s="9">
        <v>1.5E-3</v>
      </c>
    </row>
    <row r="19" spans="3:15" ht="16" thickBot="1" x14ac:dyDescent="0.4">
      <c r="C19" s="2">
        <v>14</v>
      </c>
      <c r="D19" s="8">
        <v>-1.1999999999999999E-3</v>
      </c>
      <c r="E19" s="8">
        <v>-3.5000000000000001E-3</v>
      </c>
      <c r="F19" s="8">
        <v>-4.8999999999999998E-3</v>
      </c>
      <c r="G19" s="8">
        <v>-4.8999999999999998E-3</v>
      </c>
      <c r="H19" s="8">
        <v>-3.7000000000000002E-3</v>
      </c>
      <c r="I19" s="8">
        <v>-1.4E-3</v>
      </c>
      <c r="J19" s="9">
        <v>1.1999999999999999E-3</v>
      </c>
      <c r="K19" s="9">
        <v>3.5000000000000001E-3</v>
      </c>
      <c r="L19" s="9">
        <v>4.8999999999999998E-3</v>
      </c>
      <c r="M19" s="9">
        <v>4.8999999999999998E-3</v>
      </c>
      <c r="N19" s="9">
        <v>3.7000000000000002E-3</v>
      </c>
      <c r="O19" s="9">
        <v>1.4E-3</v>
      </c>
    </row>
    <row r="20" spans="3:15" ht="16" thickBot="1" x14ac:dyDescent="0.4">
      <c r="C20" s="2">
        <v>15</v>
      </c>
      <c r="D20" s="8">
        <v>-1.2999999999999999E-3</v>
      </c>
      <c r="E20" s="8">
        <v>-3.5999999999999999E-3</v>
      </c>
      <c r="F20" s="8">
        <v>-4.8999999999999998E-3</v>
      </c>
      <c r="G20" s="8">
        <v>-4.8999999999999998E-3</v>
      </c>
      <c r="H20" s="8">
        <v>-3.5999999999999999E-3</v>
      </c>
      <c r="I20" s="8">
        <v>-1.2999999999999999E-3</v>
      </c>
      <c r="J20" s="9">
        <v>1.2999999999999999E-3</v>
      </c>
      <c r="K20" s="9">
        <v>3.5999999999999999E-3</v>
      </c>
      <c r="L20" s="9">
        <v>4.8999999999999998E-3</v>
      </c>
      <c r="M20" s="9">
        <v>4.8999999999999998E-3</v>
      </c>
      <c r="N20" s="9">
        <v>3.5999999999999999E-3</v>
      </c>
      <c r="O20" s="9">
        <v>1.2999999999999999E-3</v>
      </c>
    </row>
    <row r="21" spans="3:15" ht="16" thickBot="1" x14ac:dyDescent="0.4">
      <c r="C21" s="2">
        <v>16</v>
      </c>
      <c r="D21" s="8">
        <v>-1.4E-3</v>
      </c>
      <c r="E21" s="8">
        <v>-3.7000000000000002E-3</v>
      </c>
      <c r="F21" s="8">
        <v>-4.8999999999999998E-3</v>
      </c>
      <c r="G21" s="8">
        <v>-4.8999999999999998E-3</v>
      </c>
      <c r="H21" s="8">
        <v>-3.5000000000000001E-3</v>
      </c>
      <c r="I21" s="8">
        <v>-1.1999999999999999E-3</v>
      </c>
      <c r="J21" s="9">
        <v>1.4E-3</v>
      </c>
      <c r="K21" s="9">
        <v>3.7000000000000002E-3</v>
      </c>
      <c r="L21" s="9">
        <v>4.8999999999999998E-3</v>
      </c>
      <c r="M21" s="9">
        <v>4.8999999999999998E-3</v>
      </c>
      <c r="N21" s="9">
        <v>3.5000000000000001E-3</v>
      </c>
      <c r="O21" s="9">
        <v>1.1999999999999999E-3</v>
      </c>
    </row>
    <row r="22" spans="3:15" ht="16" thickBot="1" x14ac:dyDescent="0.4">
      <c r="C22" s="2">
        <v>17</v>
      </c>
      <c r="D22" s="8">
        <v>-1.5E-3</v>
      </c>
      <c r="E22" s="8">
        <v>-3.7000000000000002E-3</v>
      </c>
      <c r="F22" s="8">
        <v>-5.0000000000000001E-3</v>
      </c>
      <c r="G22" s="8">
        <v>-4.8999999999999998E-3</v>
      </c>
      <c r="H22" s="8">
        <v>-3.5000000000000001E-3</v>
      </c>
      <c r="I22" s="8">
        <v>-1.1000000000000001E-3</v>
      </c>
      <c r="J22" s="9">
        <v>1.5E-3</v>
      </c>
      <c r="K22" s="9">
        <v>3.7000000000000002E-3</v>
      </c>
      <c r="L22" s="9">
        <v>5.0000000000000001E-3</v>
      </c>
      <c r="M22" s="9">
        <v>4.8999999999999998E-3</v>
      </c>
      <c r="N22" s="9">
        <v>3.5000000000000001E-3</v>
      </c>
      <c r="O22" s="9">
        <v>1.1000000000000001E-3</v>
      </c>
    </row>
    <row r="23" spans="3:15" ht="16" thickBot="1" x14ac:dyDescent="0.4">
      <c r="C23" s="2">
        <v>18</v>
      </c>
      <c r="D23" s="8">
        <v>-1.6000000000000001E-3</v>
      </c>
      <c r="E23" s="8">
        <v>-3.8E-3</v>
      </c>
      <c r="F23" s="8">
        <v>-5.0000000000000001E-3</v>
      </c>
      <c r="G23" s="8">
        <v>-4.8999999999999998E-3</v>
      </c>
      <c r="H23" s="8">
        <v>-3.3999999999999998E-3</v>
      </c>
      <c r="I23" s="8">
        <v>-1.1000000000000001E-3</v>
      </c>
      <c r="J23" s="9">
        <v>1.6000000000000001E-3</v>
      </c>
      <c r="K23" s="9">
        <v>3.8E-3</v>
      </c>
      <c r="L23" s="9">
        <v>5.0000000000000001E-3</v>
      </c>
      <c r="M23" s="9">
        <v>4.8999999999999998E-3</v>
      </c>
      <c r="N23" s="9">
        <v>3.3999999999999998E-3</v>
      </c>
      <c r="O23" s="9">
        <v>1.1000000000000001E-3</v>
      </c>
    </row>
    <row r="24" spans="3:15" ht="16" thickBot="1" x14ac:dyDescent="0.4">
      <c r="C24" s="2">
        <v>19</v>
      </c>
      <c r="D24" s="8">
        <v>-1.6999999999999999E-3</v>
      </c>
      <c r="E24" s="8">
        <v>-3.8E-3</v>
      </c>
      <c r="F24" s="8">
        <v>-5.0000000000000001E-3</v>
      </c>
      <c r="G24" s="8">
        <v>-4.7999999999999996E-3</v>
      </c>
      <c r="H24" s="8">
        <v>-3.3E-3</v>
      </c>
      <c r="I24" s="8">
        <v>-1E-3</v>
      </c>
      <c r="J24" s="9">
        <v>1.6999999999999999E-3</v>
      </c>
      <c r="K24" s="9">
        <v>3.8E-3</v>
      </c>
      <c r="L24" s="9">
        <v>5.0000000000000001E-3</v>
      </c>
      <c r="M24" s="9">
        <v>4.7999999999999996E-3</v>
      </c>
      <c r="N24" s="9">
        <v>3.3E-3</v>
      </c>
      <c r="O24" s="9">
        <v>1E-3</v>
      </c>
    </row>
    <row r="25" spans="3:15" ht="16" thickBot="1" x14ac:dyDescent="0.4">
      <c r="C25" s="2">
        <v>20</v>
      </c>
      <c r="D25" s="8">
        <v>-1.6999999999999999E-3</v>
      </c>
      <c r="E25" s="8">
        <v>-3.8999999999999998E-3</v>
      </c>
      <c r="F25" s="8">
        <v>-5.0000000000000001E-3</v>
      </c>
      <c r="G25" s="8">
        <v>-4.7999999999999996E-3</v>
      </c>
      <c r="H25" s="8">
        <v>-3.3E-3</v>
      </c>
      <c r="I25" s="8">
        <v>-8.9999999999999998E-4</v>
      </c>
      <c r="J25" s="9">
        <v>1.6999999999999999E-3</v>
      </c>
      <c r="K25" s="8">
        <v>3.8999999999999998E-3</v>
      </c>
      <c r="L25" s="9">
        <v>5.0000000000000001E-3</v>
      </c>
      <c r="M25" s="9">
        <v>4.7999999999999996E-3</v>
      </c>
      <c r="N25" s="9">
        <v>3.3E-3</v>
      </c>
      <c r="O25" s="9">
        <v>8.9999999999999998E-4</v>
      </c>
    </row>
    <row r="26" spans="3:15" ht="16" thickBot="1" x14ac:dyDescent="0.4">
      <c r="C26" s="2">
        <v>21</v>
      </c>
      <c r="D26" s="8">
        <v>-1.8E-3</v>
      </c>
      <c r="E26" s="8">
        <v>-4.0000000000000001E-3</v>
      </c>
      <c r="F26" s="8">
        <v>-5.0000000000000001E-3</v>
      </c>
      <c r="G26" s="8">
        <v>-4.7999999999999996E-3</v>
      </c>
      <c r="H26" s="8">
        <v>-3.2000000000000002E-3</v>
      </c>
      <c r="I26" s="8">
        <v>-8.0000000000000004E-4</v>
      </c>
      <c r="J26" s="9">
        <v>1.8E-3</v>
      </c>
      <c r="K26" s="9">
        <v>4.0000000000000001E-3</v>
      </c>
      <c r="L26" s="9">
        <v>5.0000000000000001E-3</v>
      </c>
      <c r="M26" s="9">
        <v>4.7999999999999996E-3</v>
      </c>
      <c r="N26" s="9">
        <v>3.2000000000000002E-3</v>
      </c>
      <c r="O26" s="9">
        <v>8.0000000000000004E-4</v>
      </c>
    </row>
    <row r="27" spans="3:15" ht="16" thickBot="1" x14ac:dyDescent="0.4">
      <c r="C27" s="2">
        <v>22</v>
      </c>
      <c r="D27" s="8">
        <v>-1.9E-3</v>
      </c>
      <c r="E27" s="8">
        <v>-4.0000000000000001E-3</v>
      </c>
      <c r="F27" s="8">
        <v>-5.1000000000000004E-3</v>
      </c>
      <c r="G27" s="8">
        <v>-4.7000000000000002E-3</v>
      </c>
      <c r="H27" s="8">
        <v>-3.0999999999999999E-3</v>
      </c>
      <c r="I27" s="8">
        <v>-6.9999999999999999E-4</v>
      </c>
      <c r="J27" s="9">
        <v>1.9E-3</v>
      </c>
      <c r="K27" s="9">
        <v>4.0000000000000001E-3</v>
      </c>
      <c r="L27" s="9">
        <v>5.1000000000000004E-3</v>
      </c>
      <c r="M27" s="9">
        <v>4.7000000000000002E-3</v>
      </c>
      <c r="N27" s="9">
        <v>3.0999999999999999E-3</v>
      </c>
      <c r="O27" s="9">
        <v>6.9999999999999999E-4</v>
      </c>
    </row>
    <row r="28" spans="3:15" ht="16" thickBot="1" x14ac:dyDescent="0.4">
      <c r="C28" s="2">
        <v>23</v>
      </c>
      <c r="D28" s="8">
        <v>-2E-3</v>
      </c>
      <c r="E28" s="8">
        <v>-4.1000000000000003E-3</v>
      </c>
      <c r="F28" s="8">
        <v>-5.1000000000000004E-3</v>
      </c>
      <c r="G28" s="8">
        <v>-4.7000000000000002E-3</v>
      </c>
      <c r="H28" s="8">
        <v>-3.0999999999999999E-3</v>
      </c>
      <c r="I28" s="8">
        <v>-5.9999999999999995E-4</v>
      </c>
      <c r="J28" s="9">
        <v>2E-3</v>
      </c>
      <c r="K28" s="9">
        <v>4.1000000000000003E-3</v>
      </c>
      <c r="L28" s="9">
        <v>5.1000000000000004E-3</v>
      </c>
      <c r="M28" s="9">
        <v>4.7000000000000002E-3</v>
      </c>
      <c r="N28" s="9">
        <v>3.0999999999999999E-3</v>
      </c>
      <c r="O28" s="9">
        <v>5.9999999999999995E-4</v>
      </c>
    </row>
    <row r="29" spans="3:15" ht="16" thickBot="1" x14ac:dyDescent="0.4">
      <c r="C29" s="2">
        <v>24</v>
      </c>
      <c r="D29" s="8">
        <v>-2.0999999999999999E-3</v>
      </c>
      <c r="E29" s="8">
        <v>-4.1000000000000003E-3</v>
      </c>
      <c r="F29" s="8">
        <v>-5.1000000000000004E-3</v>
      </c>
      <c r="G29" s="8">
        <v>-4.7000000000000002E-3</v>
      </c>
      <c r="H29" s="8">
        <v>-3.0000000000000001E-3</v>
      </c>
      <c r="I29" s="8">
        <v>-5.0000000000000001E-4</v>
      </c>
      <c r="J29" s="9">
        <v>2.0999999999999999E-3</v>
      </c>
      <c r="K29" s="9">
        <v>4.1000000000000003E-3</v>
      </c>
      <c r="L29" s="9">
        <v>5.1000000000000004E-3</v>
      </c>
      <c r="M29" s="9">
        <v>4.7000000000000002E-3</v>
      </c>
      <c r="N29" s="9">
        <v>3.0000000000000001E-3</v>
      </c>
      <c r="O29" s="9">
        <v>5.0000000000000001E-4</v>
      </c>
    </row>
    <row r="30" spans="3:15" ht="16" thickBot="1" x14ac:dyDescent="0.4">
      <c r="C30" s="2">
        <v>25</v>
      </c>
      <c r="D30" s="8">
        <v>-2.2000000000000001E-3</v>
      </c>
      <c r="E30" s="8">
        <v>-4.1999999999999997E-3</v>
      </c>
      <c r="F30" s="8">
        <v>-5.1000000000000004E-3</v>
      </c>
      <c r="G30" s="8">
        <v>-4.5999999999999999E-3</v>
      </c>
      <c r="H30" s="8">
        <v>-2.8999999999999998E-3</v>
      </c>
      <c r="I30" s="8">
        <v>-4.0000000000000002E-4</v>
      </c>
      <c r="J30" s="9">
        <v>2.2000000000000001E-3</v>
      </c>
      <c r="K30" s="9">
        <v>4.1999999999999997E-3</v>
      </c>
      <c r="L30" s="9">
        <v>5.1000000000000004E-3</v>
      </c>
      <c r="M30" s="9">
        <v>4.5999999999999999E-3</v>
      </c>
      <c r="N30" s="9">
        <v>2.8999999999999998E-3</v>
      </c>
      <c r="O30" s="9">
        <v>4.0000000000000002E-4</v>
      </c>
    </row>
    <row r="31" spans="3:15" ht="16" thickBot="1" x14ac:dyDescent="0.4">
      <c r="C31" s="2">
        <v>26</v>
      </c>
      <c r="D31" s="8">
        <v>-2.2000000000000001E-3</v>
      </c>
      <c r="E31" s="8">
        <v>-4.1999999999999997E-3</v>
      </c>
      <c r="F31" s="8">
        <v>-5.1000000000000004E-3</v>
      </c>
      <c r="G31" s="8">
        <v>-4.5999999999999999E-3</v>
      </c>
      <c r="H31" s="8">
        <v>-2.8999999999999998E-3</v>
      </c>
      <c r="I31" s="8">
        <v>-4.0000000000000002E-4</v>
      </c>
      <c r="J31" s="9">
        <v>2.2000000000000001E-3</v>
      </c>
      <c r="K31" s="9">
        <v>4.1999999999999997E-3</v>
      </c>
      <c r="L31" s="9">
        <v>5.1000000000000004E-3</v>
      </c>
      <c r="M31" s="9">
        <v>4.5999999999999999E-3</v>
      </c>
      <c r="N31" s="9">
        <v>2.8999999999999998E-3</v>
      </c>
      <c r="O31" s="9">
        <v>4.0000000000000002E-4</v>
      </c>
    </row>
    <row r="32" spans="3:15" ht="16" thickBot="1" x14ac:dyDescent="0.4">
      <c r="C32" s="2">
        <v>27</v>
      </c>
      <c r="D32" s="8">
        <v>-2.3E-3</v>
      </c>
      <c r="E32" s="8">
        <v>-4.3E-3</v>
      </c>
      <c r="F32" s="8">
        <v>-5.1000000000000004E-3</v>
      </c>
      <c r="G32" s="8">
        <v>-4.4999999999999997E-3</v>
      </c>
      <c r="H32" s="8">
        <v>-2.8E-3</v>
      </c>
      <c r="I32" s="8">
        <v>-2.9999999999999997E-4</v>
      </c>
      <c r="J32" s="9">
        <v>2.3E-3</v>
      </c>
      <c r="K32" s="9">
        <v>4.3E-3</v>
      </c>
      <c r="L32" s="9">
        <v>5.1000000000000004E-3</v>
      </c>
      <c r="M32" s="9">
        <v>4.4999999999999997E-3</v>
      </c>
      <c r="N32" s="9">
        <v>2.8E-3</v>
      </c>
      <c r="O32" s="9">
        <v>2.9999999999999997E-4</v>
      </c>
    </row>
    <row r="33" spans="3:15" ht="16" thickBot="1" x14ac:dyDescent="0.4">
      <c r="C33" s="2">
        <v>28</v>
      </c>
      <c r="D33" s="8">
        <v>-2.3999999999999998E-3</v>
      </c>
      <c r="E33" s="8">
        <v>-4.3E-3</v>
      </c>
      <c r="F33" s="8">
        <v>-5.1000000000000004E-3</v>
      </c>
      <c r="G33" s="8">
        <v>-4.4999999999999997E-3</v>
      </c>
      <c r="H33" s="8">
        <v>-2.7000000000000001E-3</v>
      </c>
      <c r="I33" s="8">
        <v>-2.0000000000000001E-4</v>
      </c>
      <c r="J33" s="9">
        <v>2.3999999999999998E-3</v>
      </c>
      <c r="K33" s="9">
        <v>4.3E-3</v>
      </c>
      <c r="L33" s="9">
        <v>5.1000000000000004E-3</v>
      </c>
      <c r="M33" s="9">
        <v>4.4999999999999997E-3</v>
      </c>
      <c r="N33" s="9">
        <v>2.7000000000000001E-3</v>
      </c>
      <c r="O33" s="9">
        <v>2.0000000000000001E-4</v>
      </c>
    </row>
    <row r="34" spans="3:15" ht="16" thickBot="1" x14ac:dyDescent="0.4">
      <c r="C34" s="2">
        <v>29</v>
      </c>
      <c r="D34" s="8">
        <v>-2.5000000000000001E-3</v>
      </c>
      <c r="E34" s="8">
        <v>-4.4000000000000003E-3</v>
      </c>
      <c r="F34" s="8">
        <v>-5.1000000000000004E-3</v>
      </c>
      <c r="G34" s="8">
        <v>-4.4999999999999997E-3</v>
      </c>
      <c r="H34" s="8">
        <v>-2.5999999999999999E-3</v>
      </c>
      <c r="I34" s="8">
        <v>-1E-4</v>
      </c>
      <c r="J34" s="9">
        <v>2.5000000000000001E-3</v>
      </c>
      <c r="K34" s="9">
        <v>4.4000000000000003E-3</v>
      </c>
      <c r="L34" s="9">
        <v>5.1000000000000004E-3</v>
      </c>
      <c r="M34" s="9">
        <v>4.4999999999999997E-3</v>
      </c>
      <c r="N34" s="9">
        <v>2.5999999999999999E-3</v>
      </c>
      <c r="O34" s="9">
        <v>1E-4</v>
      </c>
    </row>
    <row r="35" spans="3:15" ht="16" thickBot="1" x14ac:dyDescent="0.4">
      <c r="C35" s="2">
        <v>30</v>
      </c>
      <c r="D35" s="8">
        <v>-2.5999999999999999E-3</v>
      </c>
      <c r="E35" s="8">
        <v>-4.4000000000000003E-3</v>
      </c>
      <c r="F35" s="8">
        <v>-5.1000000000000004E-3</v>
      </c>
      <c r="G35" s="8">
        <v>-4.4000000000000003E-3</v>
      </c>
      <c r="H35" s="8">
        <v>-2.5999999999999999E-3</v>
      </c>
      <c r="I35" s="8">
        <v>0</v>
      </c>
      <c r="J35" s="9">
        <v>2.5999999999999999E-3</v>
      </c>
      <c r="K35" s="9">
        <v>4.4000000000000003E-3</v>
      </c>
      <c r="L35" s="9">
        <v>5.1000000000000004E-3</v>
      </c>
      <c r="M35" s="9">
        <v>4.4000000000000003E-3</v>
      </c>
      <c r="N35" s="9">
        <v>2.5999999999999999E-3</v>
      </c>
      <c r="O35" s="9">
        <v>0</v>
      </c>
    </row>
  </sheetData>
  <mergeCells count="1">
    <mergeCell ref="C3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F99-6585-41AA-835E-256C3E0CB11D}">
  <dimension ref="C2:O35"/>
  <sheetViews>
    <sheetView workbookViewId="0">
      <selection activeCell="B3" sqref="B3:O35"/>
    </sheetView>
  </sheetViews>
  <sheetFormatPr defaultRowHeight="14.5" x14ac:dyDescent="0.35"/>
  <sheetData>
    <row r="2" spans="3:15" ht="15" thickBot="1" x14ac:dyDescent="0.4"/>
    <row r="3" spans="3:15" ht="16" thickBot="1" x14ac:dyDescent="0.4">
      <c r="C3" s="56" t="s">
        <v>90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3:15" ht="16" thickBot="1" x14ac:dyDescent="0.4">
      <c r="C4" s="2" t="s">
        <v>0</v>
      </c>
      <c r="D4" s="7">
        <v>0</v>
      </c>
      <c r="E4" s="7">
        <v>30</v>
      </c>
      <c r="F4" s="7">
        <v>60</v>
      </c>
      <c r="G4" s="7">
        <v>90</v>
      </c>
      <c r="H4" s="7">
        <v>120</v>
      </c>
      <c r="I4" s="7">
        <v>150</v>
      </c>
      <c r="J4" s="6">
        <v>180</v>
      </c>
      <c r="K4" s="6">
        <v>210</v>
      </c>
      <c r="L4" s="6">
        <v>240</v>
      </c>
      <c r="M4" s="6">
        <v>270</v>
      </c>
      <c r="N4" s="6">
        <v>300</v>
      </c>
      <c r="O4" s="6">
        <v>330</v>
      </c>
    </row>
    <row r="5" spans="3:15" ht="16" thickBot="1" x14ac:dyDescent="0.4">
      <c r="C5" s="2">
        <v>0</v>
      </c>
      <c r="D5" s="8">
        <v>0</v>
      </c>
      <c r="E5" s="8">
        <v>-3.7000000000000002E-3</v>
      </c>
      <c r="F5" s="8">
        <v>-6.4000000000000003E-3</v>
      </c>
      <c r="G5" s="8">
        <v>-7.4000000000000003E-3</v>
      </c>
      <c r="H5" s="8">
        <v>-6.4000000000000003E-3</v>
      </c>
      <c r="I5" s="8">
        <v>-3.7000000000000002E-3</v>
      </c>
      <c r="J5" s="9">
        <v>0</v>
      </c>
      <c r="K5" s="9">
        <v>3.7000000000000002E-3</v>
      </c>
      <c r="L5" s="9">
        <v>6.4000000000000003E-3</v>
      </c>
      <c r="M5" s="9">
        <v>7.4000000000000003E-3</v>
      </c>
      <c r="N5" s="9">
        <v>6.4000000000000003E-3</v>
      </c>
      <c r="O5" s="9">
        <v>3.7000000000000002E-3</v>
      </c>
    </row>
    <row r="6" spans="3:15" ht="16" thickBot="1" x14ac:dyDescent="0.4">
      <c r="C6" s="2">
        <v>1</v>
      </c>
      <c r="D6" s="8">
        <v>-1E-4</v>
      </c>
      <c r="E6" s="8">
        <v>-3.8E-3</v>
      </c>
      <c r="F6" s="8">
        <v>-6.4999999999999997E-3</v>
      </c>
      <c r="G6" s="8">
        <v>-7.4000000000000003E-3</v>
      </c>
      <c r="H6" s="8">
        <v>-6.3E-3</v>
      </c>
      <c r="I6" s="8">
        <v>-3.5999999999999999E-3</v>
      </c>
      <c r="J6" s="9">
        <v>1E-4</v>
      </c>
      <c r="K6" s="9">
        <v>3.8E-3</v>
      </c>
      <c r="L6" s="9">
        <v>6.4999999999999997E-3</v>
      </c>
      <c r="M6" s="9">
        <v>7.4000000000000003E-3</v>
      </c>
      <c r="N6" s="9">
        <v>6.3E-3</v>
      </c>
      <c r="O6" s="9">
        <v>3.5999999999999999E-3</v>
      </c>
    </row>
    <row r="7" spans="3:15" ht="16" thickBot="1" x14ac:dyDescent="0.4">
      <c r="C7" s="2">
        <v>2</v>
      </c>
      <c r="D7" s="8">
        <v>-2.9999999999999997E-4</v>
      </c>
      <c r="E7" s="8">
        <v>-3.8999999999999998E-3</v>
      </c>
      <c r="F7" s="8">
        <v>-6.4999999999999997E-3</v>
      </c>
      <c r="G7" s="8">
        <v>-7.4000000000000003E-3</v>
      </c>
      <c r="H7" s="8">
        <v>-6.3E-3</v>
      </c>
      <c r="I7" s="8">
        <v>-3.5000000000000001E-3</v>
      </c>
      <c r="J7" s="9">
        <v>2.9999999999999997E-4</v>
      </c>
      <c r="K7" s="9">
        <v>3.8999999999999998E-3</v>
      </c>
      <c r="L7" s="9">
        <v>6.4999999999999997E-3</v>
      </c>
      <c r="M7" s="9">
        <v>7.4000000000000003E-3</v>
      </c>
      <c r="N7" s="9">
        <v>6.3E-3</v>
      </c>
      <c r="O7" s="9">
        <v>3.5000000000000001E-3</v>
      </c>
    </row>
    <row r="8" spans="3:15" ht="16" thickBot="1" x14ac:dyDescent="0.4">
      <c r="C8" s="2">
        <v>3</v>
      </c>
      <c r="D8" s="8">
        <v>-4.0000000000000002E-4</v>
      </c>
      <c r="E8" s="8">
        <v>-4.0000000000000001E-3</v>
      </c>
      <c r="F8" s="8">
        <v>-6.6E-3</v>
      </c>
      <c r="G8" s="8">
        <v>-7.4000000000000003E-3</v>
      </c>
      <c r="H8" s="8">
        <v>-6.1999999999999998E-3</v>
      </c>
      <c r="I8" s="8">
        <v>-3.3999999999999998E-3</v>
      </c>
      <c r="J8" s="9">
        <v>4.0000000000000002E-4</v>
      </c>
      <c r="K8" s="9">
        <v>4.0000000000000001E-3</v>
      </c>
      <c r="L8" s="9">
        <v>6.6E-3</v>
      </c>
      <c r="M8" s="9">
        <v>7.4000000000000003E-3</v>
      </c>
      <c r="N8" s="9">
        <v>6.1999999999999998E-3</v>
      </c>
      <c r="O8" s="9">
        <v>3.3999999999999998E-3</v>
      </c>
    </row>
    <row r="9" spans="3:15" ht="16" thickBot="1" x14ac:dyDescent="0.4">
      <c r="C9" s="2">
        <v>4</v>
      </c>
      <c r="D9" s="8">
        <v>-5.0000000000000001E-4</v>
      </c>
      <c r="E9" s="8">
        <v>-4.1000000000000003E-3</v>
      </c>
      <c r="F9" s="8">
        <v>-6.7000000000000002E-3</v>
      </c>
      <c r="G9" s="8">
        <v>-7.4000000000000003E-3</v>
      </c>
      <c r="H9" s="8">
        <v>-6.1000000000000004E-3</v>
      </c>
      <c r="I9" s="8">
        <v>-3.2000000000000002E-3</v>
      </c>
      <c r="J9" s="9">
        <v>5.0000000000000001E-4</v>
      </c>
      <c r="K9" s="9">
        <v>4.1000000000000003E-3</v>
      </c>
      <c r="L9" s="9">
        <v>6.7000000000000002E-3</v>
      </c>
      <c r="M9" s="9">
        <v>7.4000000000000003E-3</v>
      </c>
      <c r="N9" s="9">
        <v>6.1000000000000004E-3</v>
      </c>
      <c r="O9" s="9">
        <v>3.2000000000000002E-3</v>
      </c>
    </row>
    <row r="10" spans="3:15" ht="16" thickBot="1" x14ac:dyDescent="0.4">
      <c r="C10" s="2">
        <v>5</v>
      </c>
      <c r="D10" s="8">
        <v>-5.9999999999999995E-4</v>
      </c>
      <c r="E10" s="8">
        <v>-4.1999999999999997E-3</v>
      </c>
      <c r="F10" s="8">
        <v>-6.7000000000000002E-3</v>
      </c>
      <c r="G10" s="8">
        <v>-7.4000000000000003E-3</v>
      </c>
      <c r="H10" s="8">
        <v>-6.1000000000000004E-3</v>
      </c>
      <c r="I10" s="8">
        <v>-3.0999999999999999E-3</v>
      </c>
      <c r="J10" s="9">
        <v>5.9999999999999995E-4</v>
      </c>
      <c r="K10" s="9">
        <v>4.1999999999999997E-3</v>
      </c>
      <c r="L10" s="9">
        <v>6.7000000000000002E-3</v>
      </c>
      <c r="M10" s="9">
        <v>7.4000000000000003E-3</v>
      </c>
      <c r="N10" s="9">
        <v>6.1000000000000004E-3</v>
      </c>
      <c r="O10" s="9">
        <v>3.0999999999999999E-3</v>
      </c>
    </row>
    <row r="11" spans="3:15" ht="16" thickBot="1" x14ac:dyDescent="0.4">
      <c r="C11" s="2">
        <v>6</v>
      </c>
      <c r="D11" s="8">
        <v>-8.0000000000000004E-4</v>
      </c>
      <c r="E11" s="8">
        <v>-4.3E-3</v>
      </c>
      <c r="F11" s="8">
        <v>-6.7999999999999996E-3</v>
      </c>
      <c r="G11" s="8">
        <v>-7.4000000000000003E-3</v>
      </c>
      <c r="H11" s="8">
        <v>-6.0000000000000001E-3</v>
      </c>
      <c r="I11" s="8">
        <v>-3.0000000000000001E-3</v>
      </c>
      <c r="J11" s="9">
        <v>8.0000000000000004E-4</v>
      </c>
      <c r="K11" s="9">
        <v>4.3E-3</v>
      </c>
      <c r="L11" s="9">
        <v>6.7999999999999996E-3</v>
      </c>
      <c r="M11" s="9">
        <v>7.4000000000000003E-3</v>
      </c>
      <c r="N11" s="9">
        <v>6.0000000000000001E-3</v>
      </c>
      <c r="O11" s="9">
        <v>3.0000000000000001E-3</v>
      </c>
    </row>
    <row r="12" spans="3:15" ht="16" thickBot="1" x14ac:dyDescent="0.4">
      <c r="C12" s="2">
        <v>7</v>
      </c>
      <c r="D12" s="8">
        <v>-8.9999999999999998E-4</v>
      </c>
      <c r="E12" s="8">
        <v>-4.4999999999999997E-3</v>
      </c>
      <c r="F12" s="8">
        <v>-6.7999999999999996E-3</v>
      </c>
      <c r="G12" s="8">
        <v>-7.3000000000000001E-3</v>
      </c>
      <c r="H12" s="8">
        <v>-5.8999999999999999E-3</v>
      </c>
      <c r="I12" s="8">
        <v>-2.8999999999999998E-3</v>
      </c>
      <c r="J12" s="9">
        <v>8.9999999999999998E-4</v>
      </c>
      <c r="K12" s="9">
        <v>4.4999999999999997E-3</v>
      </c>
      <c r="L12" s="9">
        <v>6.7999999999999996E-3</v>
      </c>
      <c r="M12" s="9">
        <v>7.3000000000000001E-3</v>
      </c>
      <c r="N12" s="9">
        <v>5.8999999999999999E-3</v>
      </c>
      <c r="O12" s="9">
        <v>2.8999999999999998E-3</v>
      </c>
    </row>
    <row r="13" spans="3:15" ht="16" thickBot="1" x14ac:dyDescent="0.4">
      <c r="C13" s="2">
        <v>8</v>
      </c>
      <c r="D13" s="8">
        <v>-1E-3</v>
      </c>
      <c r="E13" s="8">
        <v>-4.5999999999999999E-3</v>
      </c>
      <c r="F13" s="8">
        <v>-6.8999999999999999E-3</v>
      </c>
      <c r="G13" s="8">
        <v>-7.3000000000000001E-3</v>
      </c>
      <c r="H13" s="8">
        <v>-5.7999999999999996E-3</v>
      </c>
      <c r="I13" s="8">
        <v>-2.8E-3</v>
      </c>
      <c r="J13" s="9">
        <v>1E-3</v>
      </c>
      <c r="K13" s="9">
        <v>4.5999999999999999E-3</v>
      </c>
      <c r="L13" s="9">
        <v>6.8999999999999999E-3</v>
      </c>
      <c r="M13" s="9">
        <v>7.3000000000000001E-3</v>
      </c>
      <c r="N13" s="9">
        <v>5.7999999999999996E-3</v>
      </c>
      <c r="O13" s="9">
        <v>2.8E-3</v>
      </c>
    </row>
    <row r="14" spans="3:15" ht="16" thickBot="1" x14ac:dyDescent="0.4">
      <c r="C14" s="2">
        <v>9</v>
      </c>
      <c r="D14" s="8">
        <v>-1.1999999999999999E-3</v>
      </c>
      <c r="E14" s="8">
        <v>-4.7000000000000002E-3</v>
      </c>
      <c r="F14" s="8">
        <v>-6.8999999999999999E-3</v>
      </c>
      <c r="G14" s="8">
        <v>-7.3000000000000001E-3</v>
      </c>
      <c r="H14" s="8">
        <v>-5.7999999999999996E-3</v>
      </c>
      <c r="I14" s="8">
        <v>-2.7000000000000001E-3</v>
      </c>
      <c r="J14" s="9">
        <v>1.1999999999999999E-3</v>
      </c>
      <c r="K14" s="9">
        <v>4.7000000000000002E-3</v>
      </c>
      <c r="L14" s="9">
        <v>6.8999999999999999E-3</v>
      </c>
      <c r="M14" s="9">
        <v>7.3000000000000001E-3</v>
      </c>
      <c r="N14" s="9">
        <v>5.7999999999999996E-3</v>
      </c>
      <c r="O14" s="9">
        <v>2.7000000000000001E-3</v>
      </c>
    </row>
    <row r="15" spans="3:15" ht="16" thickBot="1" x14ac:dyDescent="0.4">
      <c r="C15" s="2">
        <v>10</v>
      </c>
      <c r="D15" s="8">
        <v>-1.2999999999999999E-3</v>
      </c>
      <c r="E15" s="8">
        <v>-4.7999999999999996E-3</v>
      </c>
      <c r="F15" s="8">
        <v>-7.0000000000000001E-3</v>
      </c>
      <c r="G15" s="8">
        <v>-7.3000000000000001E-3</v>
      </c>
      <c r="H15" s="8">
        <v>-5.7000000000000002E-3</v>
      </c>
      <c r="I15" s="8">
        <v>-2.5000000000000001E-3</v>
      </c>
      <c r="J15" s="9">
        <v>1.2999999999999999E-3</v>
      </c>
      <c r="K15" s="9">
        <v>4.7999999999999996E-3</v>
      </c>
      <c r="L15" s="9">
        <v>7.0000000000000001E-3</v>
      </c>
      <c r="M15" s="9">
        <v>7.3000000000000001E-3</v>
      </c>
      <c r="N15" s="9">
        <v>5.7000000000000002E-3</v>
      </c>
      <c r="O15" s="9">
        <v>2.5000000000000001E-3</v>
      </c>
    </row>
    <row r="16" spans="3:15" ht="16" thickBot="1" x14ac:dyDescent="0.4">
      <c r="C16" s="2">
        <v>11</v>
      </c>
      <c r="D16" s="8">
        <v>-1.4E-3</v>
      </c>
      <c r="E16" s="8">
        <v>-4.8999999999999998E-3</v>
      </c>
      <c r="F16" s="8">
        <v>-7.0000000000000001E-3</v>
      </c>
      <c r="G16" s="8">
        <v>-7.3000000000000001E-3</v>
      </c>
      <c r="H16" s="8">
        <v>-5.5999999999999999E-3</v>
      </c>
      <c r="I16" s="8">
        <v>-2.3999999999999998E-3</v>
      </c>
      <c r="J16" s="9">
        <v>1.4E-3</v>
      </c>
      <c r="K16" s="9">
        <v>4.8999999999999998E-3</v>
      </c>
      <c r="L16" s="9">
        <v>7.0000000000000001E-3</v>
      </c>
      <c r="M16" s="9">
        <v>7.3000000000000001E-3</v>
      </c>
      <c r="N16" s="9">
        <v>5.5999999999999999E-3</v>
      </c>
      <c r="O16" s="9">
        <v>2.3999999999999998E-3</v>
      </c>
    </row>
    <row r="17" spans="3:15" ht="16" thickBot="1" x14ac:dyDescent="0.4">
      <c r="C17" s="2">
        <v>12</v>
      </c>
      <c r="D17" s="8">
        <v>-1.5E-3</v>
      </c>
      <c r="E17" s="8">
        <v>-5.0000000000000001E-3</v>
      </c>
      <c r="F17" s="8">
        <v>-7.0000000000000001E-3</v>
      </c>
      <c r="G17" s="8">
        <v>-7.1999999999999998E-3</v>
      </c>
      <c r="H17" s="8">
        <v>-5.4999999999999997E-3</v>
      </c>
      <c r="I17" s="8">
        <v>-2.3E-3</v>
      </c>
      <c r="J17" s="9">
        <v>1.5E-3</v>
      </c>
      <c r="K17" s="9">
        <v>5.0000000000000001E-3</v>
      </c>
      <c r="L17" s="9">
        <v>7.0000000000000001E-3</v>
      </c>
      <c r="M17" s="9">
        <v>7.1999999999999998E-3</v>
      </c>
      <c r="N17" s="9">
        <v>5.4999999999999997E-3</v>
      </c>
      <c r="O17" s="9">
        <v>2.3E-3</v>
      </c>
    </row>
    <row r="18" spans="3:15" ht="16" thickBot="1" x14ac:dyDescent="0.4">
      <c r="C18" s="2">
        <v>13</v>
      </c>
      <c r="D18" s="8">
        <v>-1.6999999999999999E-3</v>
      </c>
      <c r="E18" s="8">
        <v>-5.0000000000000001E-3</v>
      </c>
      <c r="F18" s="8">
        <v>-7.1000000000000004E-3</v>
      </c>
      <c r="G18" s="8">
        <v>-7.1999999999999998E-3</v>
      </c>
      <c r="H18" s="8">
        <v>-5.4000000000000003E-3</v>
      </c>
      <c r="I18" s="8">
        <v>-2.2000000000000001E-3</v>
      </c>
      <c r="J18" s="9">
        <v>1.6999999999999999E-3</v>
      </c>
      <c r="K18" s="9">
        <v>5.0000000000000001E-3</v>
      </c>
      <c r="L18" s="9">
        <v>7.1000000000000004E-3</v>
      </c>
      <c r="M18" s="9">
        <v>7.1999999999999998E-3</v>
      </c>
      <c r="N18" s="9">
        <v>5.4000000000000003E-3</v>
      </c>
      <c r="O18" s="9">
        <v>2.2000000000000001E-3</v>
      </c>
    </row>
    <row r="19" spans="3:15" ht="16" thickBot="1" x14ac:dyDescent="0.4">
      <c r="C19" s="2">
        <v>14</v>
      </c>
      <c r="D19" s="8">
        <v>-1.8E-3</v>
      </c>
      <c r="E19" s="8">
        <v>-5.1000000000000004E-3</v>
      </c>
      <c r="F19" s="8">
        <v>-7.1000000000000004E-3</v>
      </c>
      <c r="G19" s="8">
        <v>-7.1999999999999998E-3</v>
      </c>
      <c r="H19" s="8">
        <v>-5.3E-3</v>
      </c>
      <c r="I19" s="8">
        <v>-2E-3</v>
      </c>
      <c r="J19" s="9">
        <v>1.8E-3</v>
      </c>
      <c r="K19" s="9">
        <v>5.1000000000000004E-3</v>
      </c>
      <c r="L19" s="9">
        <v>7.1000000000000004E-3</v>
      </c>
      <c r="M19" s="9">
        <v>7.1999999999999998E-3</v>
      </c>
      <c r="N19" s="9">
        <v>5.3E-3</v>
      </c>
      <c r="O19" s="9">
        <v>2E-3</v>
      </c>
    </row>
    <row r="20" spans="3:15" ht="16" thickBot="1" x14ac:dyDescent="0.4">
      <c r="C20" s="2">
        <v>15</v>
      </c>
      <c r="D20" s="8">
        <v>-1.9E-3</v>
      </c>
      <c r="E20" s="8">
        <v>-5.1999999999999998E-3</v>
      </c>
      <c r="F20" s="8">
        <v>-7.1000000000000004E-3</v>
      </c>
      <c r="G20" s="8">
        <v>-7.1000000000000004E-3</v>
      </c>
      <c r="H20" s="8">
        <v>-5.1999999999999998E-3</v>
      </c>
      <c r="I20" s="8">
        <v>-1.9E-3</v>
      </c>
      <c r="J20" s="9">
        <v>1.9E-3</v>
      </c>
      <c r="K20" s="9">
        <v>5.1999999999999998E-3</v>
      </c>
      <c r="L20" s="9">
        <v>7.1000000000000004E-3</v>
      </c>
      <c r="M20" s="9">
        <v>7.1000000000000004E-3</v>
      </c>
      <c r="N20" s="9">
        <v>5.1999999999999998E-3</v>
      </c>
      <c r="O20" s="9">
        <v>1.9E-3</v>
      </c>
    </row>
    <row r="21" spans="3:15" ht="16" thickBot="1" x14ac:dyDescent="0.4">
      <c r="C21" s="2">
        <v>16</v>
      </c>
      <c r="D21" s="8">
        <v>-2E-3</v>
      </c>
      <c r="E21" s="8">
        <v>-5.3E-3</v>
      </c>
      <c r="F21" s="8">
        <v>-7.1999999999999998E-3</v>
      </c>
      <c r="G21" s="8">
        <v>-7.1000000000000004E-3</v>
      </c>
      <c r="H21" s="8">
        <v>-5.1000000000000004E-3</v>
      </c>
      <c r="I21" s="8">
        <v>-1.8E-3</v>
      </c>
      <c r="J21" s="9">
        <v>2E-3</v>
      </c>
      <c r="K21" s="9">
        <v>5.3E-3</v>
      </c>
      <c r="L21" s="9">
        <v>7.1999999999999998E-3</v>
      </c>
      <c r="M21" s="9">
        <v>7.1000000000000004E-3</v>
      </c>
      <c r="N21" s="9">
        <v>5.1000000000000004E-3</v>
      </c>
      <c r="O21" s="9">
        <v>1.8E-3</v>
      </c>
    </row>
    <row r="22" spans="3:15" ht="16" thickBot="1" x14ac:dyDescent="0.4">
      <c r="C22" s="2">
        <v>17</v>
      </c>
      <c r="D22" s="8">
        <v>-2.2000000000000001E-3</v>
      </c>
      <c r="E22" s="8">
        <v>-5.4000000000000003E-3</v>
      </c>
      <c r="F22" s="8">
        <v>-7.1999999999999998E-3</v>
      </c>
      <c r="G22" s="8">
        <v>-7.1000000000000004E-3</v>
      </c>
      <c r="H22" s="8">
        <v>-5.0000000000000001E-3</v>
      </c>
      <c r="I22" s="8">
        <v>-1.6999999999999999E-3</v>
      </c>
      <c r="J22" s="9">
        <v>2.2000000000000001E-3</v>
      </c>
      <c r="K22" s="9">
        <v>5.4000000000000003E-3</v>
      </c>
      <c r="L22" s="9">
        <v>7.1999999999999998E-3</v>
      </c>
      <c r="M22" s="9">
        <v>7.1000000000000004E-3</v>
      </c>
      <c r="N22" s="9">
        <v>5.0000000000000001E-3</v>
      </c>
      <c r="O22" s="9">
        <v>1.6999999999999999E-3</v>
      </c>
    </row>
    <row r="23" spans="3:15" ht="16" thickBot="1" x14ac:dyDescent="0.4">
      <c r="C23" s="2">
        <v>18</v>
      </c>
      <c r="D23" s="8">
        <v>-2.3E-3</v>
      </c>
      <c r="E23" s="8">
        <v>-5.4999999999999997E-3</v>
      </c>
      <c r="F23" s="8">
        <v>-7.1999999999999998E-3</v>
      </c>
      <c r="G23" s="8">
        <v>-7.0000000000000001E-3</v>
      </c>
      <c r="H23" s="8">
        <v>-5.0000000000000001E-3</v>
      </c>
      <c r="I23" s="8">
        <v>-1.5E-3</v>
      </c>
      <c r="J23" s="9">
        <v>2.3E-3</v>
      </c>
      <c r="K23" s="9">
        <v>5.4999999999999997E-3</v>
      </c>
      <c r="L23" s="9">
        <v>7.1999999999999998E-3</v>
      </c>
      <c r="M23" s="9">
        <v>7.0000000000000001E-3</v>
      </c>
      <c r="N23" s="9">
        <v>5.0000000000000001E-3</v>
      </c>
      <c r="O23" s="9">
        <v>1.5E-3</v>
      </c>
    </row>
    <row r="24" spans="3:15" ht="16" thickBot="1" x14ac:dyDescent="0.4">
      <c r="C24" s="2">
        <v>19</v>
      </c>
      <c r="D24" s="8">
        <v>-2.3999999999999998E-3</v>
      </c>
      <c r="E24" s="8">
        <v>-5.5999999999999999E-3</v>
      </c>
      <c r="F24" s="8">
        <v>-7.3000000000000001E-3</v>
      </c>
      <c r="G24" s="8">
        <v>-7.0000000000000001E-3</v>
      </c>
      <c r="H24" s="8">
        <v>-4.8999999999999998E-3</v>
      </c>
      <c r="I24" s="8">
        <v>-1.4E-3</v>
      </c>
      <c r="J24" s="9">
        <v>2.3999999999999998E-3</v>
      </c>
      <c r="K24" s="9">
        <v>5.5999999999999999E-3</v>
      </c>
      <c r="L24" s="9">
        <v>7.3000000000000001E-3</v>
      </c>
      <c r="M24" s="9">
        <v>7.0000000000000001E-3</v>
      </c>
      <c r="N24" s="9">
        <v>4.8999999999999998E-3</v>
      </c>
      <c r="O24" s="9">
        <v>1.4E-3</v>
      </c>
    </row>
    <row r="25" spans="3:15" ht="16" thickBot="1" x14ac:dyDescent="0.4">
      <c r="C25" s="2">
        <v>20</v>
      </c>
      <c r="D25" s="8">
        <v>-2.5000000000000001E-3</v>
      </c>
      <c r="E25" s="8">
        <v>-5.7000000000000002E-3</v>
      </c>
      <c r="F25" s="8">
        <v>-7.3000000000000001E-3</v>
      </c>
      <c r="G25" s="8">
        <v>-7.0000000000000001E-3</v>
      </c>
      <c r="H25" s="8">
        <v>-4.7999999999999996E-3</v>
      </c>
      <c r="I25" s="8">
        <v>-1.2999999999999999E-3</v>
      </c>
      <c r="J25" s="9">
        <v>2.5000000000000001E-3</v>
      </c>
      <c r="K25" s="8">
        <v>5.7000000000000002E-3</v>
      </c>
      <c r="L25" s="9">
        <v>7.3000000000000001E-3</v>
      </c>
      <c r="M25" s="9">
        <v>7.0000000000000001E-3</v>
      </c>
      <c r="N25" s="9">
        <v>4.7999999999999996E-3</v>
      </c>
      <c r="O25" s="9">
        <v>1.2999999999999999E-3</v>
      </c>
    </row>
    <row r="26" spans="3:15" ht="16" thickBot="1" x14ac:dyDescent="0.4">
      <c r="C26" s="2">
        <v>21</v>
      </c>
      <c r="D26" s="8">
        <v>-2.7000000000000001E-3</v>
      </c>
      <c r="E26" s="8">
        <v>-5.7999999999999996E-3</v>
      </c>
      <c r="F26" s="8">
        <v>-7.3000000000000001E-3</v>
      </c>
      <c r="G26" s="8">
        <v>-6.8999999999999999E-3</v>
      </c>
      <c r="H26" s="8">
        <v>-4.7000000000000002E-3</v>
      </c>
      <c r="I26" s="8">
        <v>-1.1999999999999999E-3</v>
      </c>
      <c r="J26" s="9">
        <v>2.7000000000000001E-3</v>
      </c>
      <c r="K26" s="9">
        <v>5.7999999999999996E-3</v>
      </c>
      <c r="L26" s="9">
        <v>7.3000000000000001E-3</v>
      </c>
      <c r="M26" s="9">
        <v>6.8999999999999999E-3</v>
      </c>
      <c r="N26" s="9">
        <v>4.7000000000000002E-3</v>
      </c>
      <c r="O26" s="9">
        <v>1.1999999999999999E-3</v>
      </c>
    </row>
    <row r="27" spans="3:15" ht="16" thickBot="1" x14ac:dyDescent="0.4">
      <c r="C27" s="2">
        <v>22</v>
      </c>
      <c r="D27" s="8">
        <v>-2.8E-3</v>
      </c>
      <c r="E27" s="8">
        <v>-5.7999999999999996E-3</v>
      </c>
      <c r="F27" s="8">
        <v>-7.3000000000000001E-3</v>
      </c>
      <c r="G27" s="8">
        <v>-6.8999999999999999E-3</v>
      </c>
      <c r="H27" s="8">
        <v>-4.5999999999999999E-3</v>
      </c>
      <c r="I27" s="8">
        <v>-1E-3</v>
      </c>
      <c r="J27" s="9">
        <v>2.8E-3</v>
      </c>
      <c r="K27" s="9">
        <v>5.7999999999999996E-3</v>
      </c>
      <c r="L27" s="9">
        <v>7.3000000000000001E-3</v>
      </c>
      <c r="M27" s="9">
        <v>6.8999999999999999E-3</v>
      </c>
      <c r="N27" s="9">
        <v>4.5999999999999999E-3</v>
      </c>
      <c r="O27" s="9">
        <v>1E-3</v>
      </c>
    </row>
    <row r="28" spans="3:15" ht="16" thickBot="1" x14ac:dyDescent="0.4">
      <c r="C28" s="2">
        <v>23</v>
      </c>
      <c r="D28" s="8">
        <v>-2.8999999999999998E-3</v>
      </c>
      <c r="E28" s="8">
        <v>-5.8999999999999999E-3</v>
      </c>
      <c r="F28" s="8">
        <v>-7.3000000000000001E-3</v>
      </c>
      <c r="G28" s="8">
        <v>-6.7999999999999996E-3</v>
      </c>
      <c r="H28" s="8">
        <v>-4.4999999999999997E-3</v>
      </c>
      <c r="I28" s="8">
        <v>-8.9999999999999998E-4</v>
      </c>
      <c r="J28" s="9">
        <v>2.8999999999999998E-3</v>
      </c>
      <c r="K28" s="9">
        <v>5.8999999999999999E-3</v>
      </c>
      <c r="L28" s="9">
        <v>7.3000000000000001E-3</v>
      </c>
      <c r="M28" s="9">
        <v>6.7999999999999996E-3</v>
      </c>
      <c r="N28" s="9">
        <v>4.4999999999999997E-3</v>
      </c>
      <c r="O28" s="9">
        <v>8.9999999999999998E-4</v>
      </c>
    </row>
    <row r="29" spans="3:15" ht="16" thickBot="1" x14ac:dyDescent="0.4">
      <c r="C29" s="2">
        <v>24</v>
      </c>
      <c r="D29" s="8">
        <v>-3.0000000000000001E-3</v>
      </c>
      <c r="E29" s="8">
        <v>-6.0000000000000001E-3</v>
      </c>
      <c r="F29" s="8">
        <v>-7.4000000000000003E-3</v>
      </c>
      <c r="G29" s="8">
        <v>-6.7999999999999996E-3</v>
      </c>
      <c r="H29" s="8">
        <v>-4.3E-3</v>
      </c>
      <c r="I29" s="8">
        <v>-8.0000000000000004E-4</v>
      </c>
      <c r="J29" s="9">
        <v>3.0000000000000001E-3</v>
      </c>
      <c r="K29" s="9">
        <v>6.0000000000000001E-3</v>
      </c>
      <c r="L29" s="9">
        <v>7.4000000000000003E-3</v>
      </c>
      <c r="M29" s="9">
        <v>6.7999999999999996E-3</v>
      </c>
      <c r="N29" s="9">
        <v>4.3E-3</v>
      </c>
      <c r="O29" s="9">
        <v>8.0000000000000004E-4</v>
      </c>
    </row>
    <row r="30" spans="3:15" ht="16" thickBot="1" x14ac:dyDescent="0.4">
      <c r="C30" s="2">
        <v>25</v>
      </c>
      <c r="D30" s="8">
        <v>-3.0999999999999999E-3</v>
      </c>
      <c r="E30" s="8">
        <v>-6.1000000000000004E-3</v>
      </c>
      <c r="F30" s="8">
        <v>-7.4000000000000003E-3</v>
      </c>
      <c r="G30" s="8">
        <v>-6.7000000000000002E-3</v>
      </c>
      <c r="H30" s="8">
        <v>-4.1999999999999997E-3</v>
      </c>
      <c r="I30" s="8">
        <v>-5.9999999999999995E-4</v>
      </c>
      <c r="J30" s="9">
        <v>3.0999999999999999E-3</v>
      </c>
      <c r="K30" s="9">
        <v>6.1000000000000004E-3</v>
      </c>
      <c r="L30" s="9">
        <v>7.4000000000000003E-3</v>
      </c>
      <c r="M30" s="9">
        <v>6.7000000000000002E-3</v>
      </c>
      <c r="N30" s="9">
        <v>4.1999999999999997E-3</v>
      </c>
      <c r="O30" s="9">
        <v>5.9999999999999995E-4</v>
      </c>
    </row>
    <row r="31" spans="3:15" ht="16" thickBot="1" x14ac:dyDescent="0.4">
      <c r="C31" s="2">
        <v>26</v>
      </c>
      <c r="D31" s="8">
        <v>-3.2000000000000002E-3</v>
      </c>
      <c r="E31" s="8">
        <v>-6.1000000000000004E-3</v>
      </c>
      <c r="F31" s="8">
        <v>-7.4000000000000003E-3</v>
      </c>
      <c r="G31" s="8">
        <v>-6.7000000000000002E-3</v>
      </c>
      <c r="H31" s="8">
        <v>-4.1000000000000003E-3</v>
      </c>
      <c r="I31" s="8">
        <v>-5.0000000000000001E-4</v>
      </c>
      <c r="J31" s="9">
        <v>3.2000000000000002E-3</v>
      </c>
      <c r="K31" s="9">
        <v>6.1000000000000004E-3</v>
      </c>
      <c r="L31" s="9">
        <v>7.4000000000000003E-3</v>
      </c>
      <c r="M31" s="9">
        <v>6.7000000000000002E-3</v>
      </c>
      <c r="N31" s="9">
        <v>4.1000000000000003E-3</v>
      </c>
      <c r="O31" s="9">
        <v>5.0000000000000001E-4</v>
      </c>
    </row>
    <row r="32" spans="3:15" ht="16" thickBot="1" x14ac:dyDescent="0.4">
      <c r="C32" s="2">
        <v>27</v>
      </c>
      <c r="D32" s="8">
        <v>-3.3999999999999998E-3</v>
      </c>
      <c r="E32" s="8">
        <v>-6.1999999999999998E-3</v>
      </c>
      <c r="F32" s="8">
        <v>-7.4000000000000003E-3</v>
      </c>
      <c r="G32" s="8">
        <v>-6.6E-3</v>
      </c>
      <c r="H32" s="8">
        <v>-4.0000000000000001E-3</v>
      </c>
      <c r="I32" s="8">
        <v>-4.0000000000000002E-4</v>
      </c>
      <c r="J32" s="9">
        <v>3.3999999999999998E-3</v>
      </c>
      <c r="K32" s="9">
        <v>6.1999999999999998E-3</v>
      </c>
      <c r="L32" s="9">
        <v>7.4000000000000003E-3</v>
      </c>
      <c r="M32" s="9">
        <v>6.6E-3</v>
      </c>
      <c r="N32" s="9">
        <v>4.0000000000000001E-3</v>
      </c>
      <c r="O32" s="9">
        <v>4.0000000000000002E-4</v>
      </c>
    </row>
    <row r="33" spans="3:15" ht="16" thickBot="1" x14ac:dyDescent="0.4">
      <c r="C33" s="2">
        <v>28</v>
      </c>
      <c r="D33" s="8">
        <v>-3.5000000000000001E-3</v>
      </c>
      <c r="E33" s="8">
        <v>-6.3E-3</v>
      </c>
      <c r="F33" s="8">
        <v>-7.4000000000000003E-3</v>
      </c>
      <c r="G33" s="8">
        <v>-6.4999999999999997E-3</v>
      </c>
      <c r="H33" s="8">
        <v>-3.8999999999999998E-3</v>
      </c>
      <c r="I33" s="8">
        <v>-2.9999999999999997E-4</v>
      </c>
      <c r="J33" s="9">
        <v>3.5000000000000001E-3</v>
      </c>
      <c r="K33" s="9">
        <v>6.3E-3</v>
      </c>
      <c r="L33" s="9">
        <v>7.4000000000000003E-3</v>
      </c>
      <c r="M33" s="9">
        <v>6.4999999999999997E-3</v>
      </c>
      <c r="N33" s="9">
        <v>3.8999999999999998E-3</v>
      </c>
      <c r="O33" s="9">
        <v>2.9999999999999997E-4</v>
      </c>
    </row>
    <row r="34" spans="3:15" ht="16" thickBot="1" x14ac:dyDescent="0.4">
      <c r="C34" s="2">
        <v>29</v>
      </c>
      <c r="D34" s="8">
        <v>-3.5999999999999999E-3</v>
      </c>
      <c r="E34" s="8">
        <v>-6.3E-3</v>
      </c>
      <c r="F34" s="8">
        <v>-7.4000000000000003E-3</v>
      </c>
      <c r="G34" s="8">
        <v>-6.4999999999999997E-3</v>
      </c>
      <c r="H34" s="8">
        <v>-3.8E-3</v>
      </c>
      <c r="I34" s="8">
        <v>-1E-4</v>
      </c>
      <c r="J34" s="9">
        <v>3.5999999999999999E-3</v>
      </c>
      <c r="K34" s="9">
        <v>6.3E-3</v>
      </c>
      <c r="L34" s="9">
        <v>7.4000000000000003E-3</v>
      </c>
      <c r="M34" s="9">
        <v>6.4999999999999997E-3</v>
      </c>
      <c r="N34" s="9">
        <v>3.8E-3</v>
      </c>
      <c r="O34" s="9">
        <v>1E-4</v>
      </c>
    </row>
    <row r="35" spans="3:15" ht="16" thickBot="1" x14ac:dyDescent="0.4">
      <c r="C35" s="2">
        <v>30</v>
      </c>
      <c r="D35" s="8">
        <v>-3.7000000000000002E-3</v>
      </c>
      <c r="E35" s="8">
        <v>-6.4000000000000003E-3</v>
      </c>
      <c r="F35" s="8">
        <v>-7.4000000000000003E-3</v>
      </c>
      <c r="G35" s="8">
        <v>-6.4000000000000003E-3</v>
      </c>
      <c r="H35" s="8">
        <v>-3.7000000000000002E-3</v>
      </c>
      <c r="I35" s="8">
        <v>0</v>
      </c>
      <c r="J35" s="9">
        <v>3.7000000000000002E-3</v>
      </c>
      <c r="K35" s="9">
        <v>6.4000000000000003E-3</v>
      </c>
      <c r="L35" s="9">
        <v>7.4000000000000003E-3</v>
      </c>
      <c r="M35" s="9">
        <v>6.4000000000000003E-3</v>
      </c>
      <c r="N35" s="9">
        <v>3.7000000000000002E-3</v>
      </c>
      <c r="O35" s="9">
        <v>0</v>
      </c>
    </row>
  </sheetData>
  <mergeCells count="1">
    <mergeCell ref="C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Tahun Majmuah</vt:lpstr>
      <vt:lpstr>Tahun Mabsutoh</vt:lpstr>
      <vt:lpstr>Bulan H</vt:lpstr>
      <vt:lpstr>T1</vt:lpstr>
      <vt:lpstr>T2</vt:lpstr>
      <vt:lpstr>T3</vt:lpstr>
      <vt:lpstr>T4</vt:lpstr>
      <vt:lpstr>T5</vt:lpstr>
      <vt:lpstr>T6</vt:lpstr>
      <vt:lpstr>T7</vt:lpstr>
      <vt:lpstr>T8</vt:lpstr>
      <vt:lpstr>Majmuah M</vt:lpstr>
      <vt:lpstr>Mabsutoh M</vt:lpstr>
      <vt:lpstr>Bulan M</vt:lpstr>
      <vt:lpstr>Deklinasi Matahari</vt:lpstr>
      <vt:lpstr> Majmuah H</vt:lpstr>
      <vt:lpstr>Mabsutoh H</vt:lpstr>
      <vt:lpstr>Bulan Hijriah</vt:lpstr>
      <vt:lpstr>Jadwal Hari</vt:lpstr>
      <vt:lpstr>JAM</vt:lpstr>
      <vt:lpstr>MENIT</vt:lpstr>
      <vt:lpstr>DETIK</vt:lpstr>
      <vt:lpstr>S1</vt:lpstr>
      <vt:lpstr>S2</vt:lpstr>
      <vt:lpstr>R1</vt:lpstr>
      <vt:lpstr>R2</vt:lpstr>
      <vt:lpstr>M1</vt:lpstr>
      <vt:lpstr>M2</vt:lpstr>
      <vt:lpstr>M3</vt:lpstr>
      <vt:lpstr>M4</vt:lpstr>
      <vt:lpstr>M5</vt:lpstr>
      <vt:lpstr>M6</vt:lpstr>
      <vt:lpstr>M7</vt:lpstr>
      <vt:lpstr>M8</vt:lpstr>
      <vt:lpstr>M9</vt:lpstr>
      <vt:lpstr>B1</vt:lpstr>
      <vt:lpstr>B2</vt:lpstr>
      <vt:lpstr>B3</vt:lpstr>
      <vt:lpstr>B4</vt:lpstr>
      <vt:lpstr>TR1</vt:lpstr>
      <vt:lpstr>TR2</vt:lpstr>
      <vt:lpstr>TR3</vt:lpstr>
      <vt:lpstr>TR4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wifik azima</dc:creator>
  <cp:lastModifiedBy>wifik azima</cp:lastModifiedBy>
  <dcterms:created xsi:type="dcterms:W3CDTF">2024-11-19T07:37:57Z</dcterms:created>
  <dcterms:modified xsi:type="dcterms:W3CDTF">2024-12-02T15:54:36Z</dcterms:modified>
</cp:coreProperties>
</file>