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ОТУ2024\pract1\"/>
    </mc:Choice>
  </mc:AlternateContent>
  <bookViews>
    <workbookView xWindow="4464" yWindow="0" windowWidth="17256" windowHeight="5928"/>
  </bookViews>
  <sheets>
    <sheet name="1 и 2" sheetId="1" r:id="rId1"/>
    <sheet name="3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5" l="1"/>
  <c r="C54" i="5"/>
  <c r="D56" i="5"/>
  <c r="D54" i="5"/>
  <c r="D68" i="5"/>
  <c r="C68" i="5"/>
  <c r="D70" i="5"/>
  <c r="D71" i="5"/>
  <c r="C70" i="5"/>
  <c r="C71" i="5"/>
  <c r="D69" i="5"/>
  <c r="C69" i="5"/>
  <c r="D67" i="5"/>
  <c r="C67" i="5"/>
  <c r="D66" i="5"/>
  <c r="C66" i="5"/>
  <c r="C57" i="5"/>
  <c r="C58" i="5"/>
  <c r="C45" i="5"/>
  <c r="D58" i="5"/>
  <c r="D57" i="5"/>
  <c r="D55" i="5"/>
  <c r="C55" i="5"/>
  <c r="D53" i="5"/>
  <c r="C53" i="5"/>
  <c r="D50" i="5"/>
  <c r="C50" i="5"/>
  <c r="D49" i="5"/>
  <c r="C49" i="5"/>
  <c r="D48" i="5"/>
  <c r="C48" i="5"/>
  <c r="D47" i="5"/>
  <c r="C47" i="5"/>
  <c r="D46" i="5"/>
  <c r="C46" i="5"/>
  <c r="D45" i="5"/>
  <c r="H52" i="1"/>
  <c r="H51" i="1"/>
  <c r="H53" i="1" s="1"/>
  <c r="H56" i="1" s="1"/>
  <c r="J50" i="1"/>
  <c r="I50" i="1"/>
  <c r="H50" i="1"/>
  <c r="H57" i="1" l="1"/>
  <c r="H60" i="1" s="1"/>
  <c r="J138" i="1"/>
  <c r="I138" i="1"/>
  <c r="H138" i="1"/>
  <c r="J137" i="1"/>
  <c r="J139" i="1" s="1"/>
  <c r="J143" i="1" s="1"/>
  <c r="J150" i="1" s="1"/>
  <c r="I137" i="1"/>
  <c r="I139" i="1" s="1"/>
  <c r="I142" i="1" s="1"/>
  <c r="H137" i="1"/>
  <c r="H139" i="1" s="1"/>
  <c r="H143" i="1" s="1"/>
  <c r="H150" i="1" s="1"/>
  <c r="J136" i="1"/>
  <c r="I136" i="1"/>
  <c r="H136" i="1"/>
  <c r="H110" i="1"/>
  <c r="J112" i="1"/>
  <c r="I112" i="1"/>
  <c r="H112" i="1"/>
  <c r="J111" i="1"/>
  <c r="J113" i="1" s="1"/>
  <c r="I111" i="1"/>
  <c r="I113" i="1" s="1"/>
  <c r="H111" i="1"/>
  <c r="H113" i="1" s="1"/>
  <c r="J110" i="1"/>
  <c r="I110" i="1"/>
  <c r="F88" i="1"/>
  <c r="G88" i="1" s="1"/>
  <c r="H88" i="1" s="1"/>
  <c r="D88" i="1"/>
  <c r="F87" i="1"/>
  <c r="G87" i="1" s="1"/>
  <c r="H87" i="1" s="1"/>
  <c r="D87" i="1"/>
  <c r="F86" i="1"/>
  <c r="G86" i="1" s="1"/>
  <c r="H86" i="1" s="1"/>
  <c r="D86" i="1"/>
  <c r="D79" i="1"/>
  <c r="F78" i="1"/>
  <c r="G78" i="1" s="1"/>
  <c r="H78" i="1" s="1"/>
  <c r="D19" i="1"/>
  <c r="D20" i="1"/>
  <c r="D18" i="1"/>
  <c r="E80" i="1"/>
  <c r="F80" i="1" s="1"/>
  <c r="G80" i="1" s="1"/>
  <c r="H80" i="1" s="1"/>
  <c r="C80" i="1"/>
  <c r="D80" i="1" s="1"/>
  <c r="E79" i="1"/>
  <c r="F79" i="1" s="1"/>
  <c r="G79" i="1" s="1"/>
  <c r="H79" i="1" s="1"/>
  <c r="C79" i="1"/>
  <c r="E78" i="1"/>
  <c r="C78" i="1"/>
  <c r="D78" i="1" s="1"/>
  <c r="D73" i="1"/>
  <c r="D72" i="1"/>
  <c r="D71" i="1"/>
  <c r="H61" i="1"/>
  <c r="J60" i="1"/>
  <c r="J52" i="1"/>
  <c r="I52" i="1"/>
  <c r="J51" i="1"/>
  <c r="J53" i="1" s="1"/>
  <c r="J57" i="1" s="1"/>
  <c r="I51" i="1"/>
  <c r="I53" i="1" s="1"/>
  <c r="I57" i="1" s="1"/>
  <c r="I29" i="1"/>
  <c r="J29" i="1"/>
  <c r="I28" i="1"/>
  <c r="I30" i="1" s="1"/>
  <c r="J28" i="1"/>
  <c r="J30" i="1" s="1"/>
  <c r="J27" i="1"/>
  <c r="I27" i="1"/>
  <c r="H29" i="1"/>
  <c r="H28" i="1"/>
  <c r="H30" i="1" s="1"/>
  <c r="H27" i="1"/>
  <c r="E20" i="1"/>
  <c r="E18" i="1"/>
  <c r="E12" i="1"/>
  <c r="F12" i="1" s="1"/>
  <c r="E13" i="1"/>
  <c r="F13" i="1" s="1"/>
  <c r="E11" i="1"/>
  <c r="F11" i="1" s="1"/>
  <c r="D5" i="1"/>
  <c r="D6" i="1"/>
  <c r="D4" i="1"/>
  <c r="C12" i="1"/>
  <c r="D12" i="1" s="1"/>
  <c r="C13" i="1"/>
  <c r="D13" i="1" s="1"/>
  <c r="C11" i="1"/>
  <c r="D11" i="1" s="1"/>
  <c r="E19" i="1"/>
  <c r="H116" i="1" l="1"/>
  <c r="H119" i="1" s="1"/>
  <c r="H120" i="1" s="1"/>
  <c r="H121" i="1" s="1"/>
  <c r="I143" i="1"/>
  <c r="I150" i="1" s="1"/>
  <c r="I116" i="1"/>
  <c r="I119" i="1" s="1"/>
  <c r="I120" i="1" s="1"/>
  <c r="I121" i="1" s="1"/>
  <c r="J117" i="1"/>
  <c r="J124" i="1" s="1"/>
  <c r="J116" i="1"/>
  <c r="H125" i="1"/>
  <c r="I145" i="1"/>
  <c r="I146" i="1" s="1"/>
  <c r="I147" i="1" s="1"/>
  <c r="I151" i="1"/>
  <c r="H34" i="1"/>
  <c r="H37" i="1" s="1"/>
  <c r="H33" i="1"/>
  <c r="H38" i="1" s="1"/>
  <c r="J34" i="1"/>
  <c r="J37" i="1" s="1"/>
  <c r="J33" i="1"/>
  <c r="J38" i="1" s="1"/>
  <c r="J119" i="1"/>
  <c r="J120" i="1" s="1"/>
  <c r="J121" i="1" s="1"/>
  <c r="I117" i="1"/>
  <c r="I124" i="1" s="1"/>
  <c r="H142" i="1"/>
  <c r="I33" i="1"/>
  <c r="I38" i="1" s="1"/>
  <c r="J125" i="1"/>
  <c r="J142" i="1"/>
  <c r="I56" i="1"/>
  <c r="I61" i="1" s="1"/>
  <c r="H117" i="1"/>
  <c r="H124" i="1" s="1"/>
  <c r="I34" i="1"/>
  <c r="I37" i="1" s="1"/>
  <c r="J56" i="1"/>
  <c r="J61" i="1" s="1"/>
  <c r="I60" i="1"/>
  <c r="I125" i="1" l="1"/>
  <c r="H145" i="1"/>
  <c r="H146" i="1" s="1"/>
  <c r="H147" i="1" s="1"/>
  <c r="H151" i="1"/>
  <c r="J145" i="1"/>
  <c r="J146" i="1" s="1"/>
  <c r="J147" i="1" s="1"/>
  <c r="J151" i="1"/>
</calcChain>
</file>

<file path=xl/sharedStrings.xml><?xml version="1.0" encoding="utf-8"?>
<sst xmlns="http://schemas.openxmlformats.org/spreadsheetml/2006/main" count="247" uniqueCount="46">
  <si>
    <t>T1</t>
  </si>
  <si>
    <t>Кcrit</t>
  </si>
  <si>
    <t>Ткрит </t>
  </si>
  <si>
    <t>Для П-регулятора</t>
  </si>
  <si>
    <t>K = К_Н = Kcrit/2</t>
  </si>
  <si>
    <t>Для ПИ-регулятора</t>
  </si>
  <si>
    <t>K = К_Н = Kcrit * 0.45</t>
  </si>
  <si>
    <t>Ти = Т_и,Н = Ткрит/1.2</t>
  </si>
  <si>
    <t>Для ПИ-регулятора (покоординатная настройка)</t>
  </si>
  <si>
    <t>Считаем по Табл. 3:</t>
  </si>
  <si>
    <t>T_int</t>
  </si>
  <si>
    <t>T_ёмк</t>
  </si>
  <si>
    <t>T_a</t>
  </si>
  <si>
    <t>T0</t>
  </si>
  <si>
    <t>T = T1</t>
  </si>
  <si>
    <t>tau*</t>
  </si>
  <si>
    <t>T_и/T_a</t>
  </si>
  <si>
    <t>1/K</t>
  </si>
  <si>
    <t>1й вар формул</t>
  </si>
  <si>
    <t>K</t>
  </si>
  <si>
    <t>T_и</t>
  </si>
  <si>
    <t>Ответ:</t>
  </si>
  <si>
    <t>2й вар формул</t>
  </si>
  <si>
    <t>T_и/T_int</t>
  </si>
  <si>
    <t>Для ПИД-регулятора</t>
  </si>
  <si>
    <t>Тд = Ти/4</t>
  </si>
  <si>
    <t>Тс = Тд/8</t>
  </si>
  <si>
    <t>K = Kcrit * 0.6</t>
  </si>
  <si>
    <t>Ти = Ткрит/2</t>
  </si>
  <si>
    <t>Для ПИД-регулятора (покоординатная настройка)</t>
  </si>
  <si>
    <t>Т_и</t>
  </si>
  <si>
    <t>Т_д</t>
  </si>
  <si>
    <t>Т_с</t>
  </si>
  <si>
    <t>T0=</t>
  </si>
  <si>
    <t>альфа=</t>
  </si>
  <si>
    <t>К</t>
  </si>
  <si>
    <t>ПИД-рег</t>
  </si>
  <si>
    <t>ПИ-рег</t>
  </si>
  <si>
    <t>Метод покоординатной настройки</t>
  </si>
  <si>
    <t>1й вариант формул</t>
  </si>
  <si>
    <t>2й вариант формул</t>
  </si>
  <si>
    <t>Метод Никольса-Циглера</t>
  </si>
  <si>
    <t>Ошибка</t>
  </si>
  <si>
    <t>Т1</t>
  </si>
  <si>
    <t>Интерполяция с учётом ошибки</t>
  </si>
  <si>
    <t>если растянуть полученные 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</si>
</sst>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164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1" fillId="0" borderId="0" xfId="0" applyFont="1"/>
    <xf numFmtId="0" fontId="1" fillId="0" borderId="6" xfId="0" applyFont="1" applyBorder="1"/>
    <xf numFmtId="0" fontId="1" fillId="0" borderId="9" xfId="0" applyFont="1" applyBorder="1"/>
    <xf numFmtId="0" fontId="2" fillId="0" borderId="8" xfId="0" applyFont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164" fontId="1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Fill="1" applyBorder="1"/>
    <xf numFmtId="0" fontId="0" fillId="0" borderId="5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2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0" xfId="0" applyNumberFormat="1" applyFont="1"/>
    <xf numFmtId="2" fontId="1" fillId="0" borderId="5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1" fillId="0" borderId="0" xfId="0" applyFont="1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1" fillId="0" borderId="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0" xfId="0" applyBorder="1"/>
    <xf numFmtId="0" fontId="0" fillId="3" borderId="1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" xfId="0" applyFill="1" applyBorder="1"/>
    <xf numFmtId="0" fontId="0" fillId="4" borderId="1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27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3" borderId="8" xfId="0" applyFill="1" applyBorder="1"/>
    <xf numFmtId="0" fontId="0" fillId="4" borderId="8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8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8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0" xfId="0" applyFill="1" applyBorder="1"/>
    <xf numFmtId="0" fontId="0" fillId="3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2" xfId="0" applyFill="1" applyBorder="1" applyAlignment="1">
      <alignment horizontal="center" vertical="center"/>
    </xf>
    <xf numFmtId="0" fontId="0" fillId="6" borderId="0" xfId="0" applyFill="1" applyBorder="1"/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6" borderId="17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19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68318</xdr:colOff>
      <xdr:row>1</xdr:row>
      <xdr:rowOff>152400</xdr:rowOff>
    </xdr:from>
    <xdr:to>
      <xdr:col>15</xdr:col>
      <xdr:colOff>283568</xdr:colOff>
      <xdr:row>5</xdr:row>
      <xdr:rowOff>85443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1559" y="341586"/>
          <a:ext cx="5092050" cy="731829"/>
        </a:xfrm>
        <a:prstGeom prst="rect">
          <a:avLst/>
        </a:prstGeom>
      </xdr:spPr>
    </xdr:pic>
    <xdr:clientData/>
  </xdr:twoCellAnchor>
  <xdr:twoCellAnchor editAs="oneCell">
    <xdr:from>
      <xdr:col>9</xdr:col>
      <xdr:colOff>419626</xdr:colOff>
      <xdr:row>7</xdr:row>
      <xdr:rowOff>188660</xdr:rowOff>
    </xdr:from>
    <xdr:to>
      <xdr:col>14</xdr:col>
      <xdr:colOff>239051</xdr:colOff>
      <xdr:row>13</xdr:row>
      <xdr:rowOff>13637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5746" y="1575500"/>
          <a:ext cx="2867425" cy="1227057"/>
        </a:xfrm>
        <a:prstGeom prst="rect">
          <a:avLst/>
        </a:prstGeom>
      </xdr:spPr>
    </xdr:pic>
    <xdr:clientData/>
  </xdr:twoCellAnchor>
  <xdr:twoCellAnchor editAs="oneCell">
    <xdr:from>
      <xdr:col>1</xdr:col>
      <xdr:colOff>9733</xdr:colOff>
      <xdr:row>21</xdr:row>
      <xdr:rowOff>21020</xdr:rowOff>
    </xdr:from>
    <xdr:to>
      <xdr:col>5</xdr:col>
      <xdr:colOff>676340</xdr:colOff>
      <xdr:row>34</xdr:row>
      <xdr:rowOff>142415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54" y="4571999"/>
          <a:ext cx="4518648" cy="2548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16712</xdr:colOff>
      <xdr:row>35</xdr:row>
      <xdr:rowOff>162911</xdr:rowOff>
    </xdr:from>
    <xdr:to>
      <xdr:col>5</xdr:col>
      <xdr:colOff>763598</xdr:colOff>
      <xdr:row>39</xdr:row>
      <xdr:rowOff>166647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58009"/>
        <a:stretch/>
      </xdr:blipFill>
      <xdr:spPr>
        <a:xfrm>
          <a:off x="341390" y="7345589"/>
          <a:ext cx="4603269" cy="751490"/>
        </a:xfrm>
        <a:prstGeom prst="rect">
          <a:avLst/>
        </a:prstGeom>
      </xdr:spPr>
    </xdr:pic>
    <xdr:clientData/>
  </xdr:twoCellAnchor>
  <xdr:twoCellAnchor editAs="oneCell">
    <xdr:from>
      <xdr:col>0</xdr:col>
      <xdr:colOff>304799</xdr:colOff>
      <xdr:row>44</xdr:row>
      <xdr:rowOff>161564</xdr:rowOff>
    </xdr:from>
    <xdr:to>
      <xdr:col>5</xdr:col>
      <xdr:colOff>833161</xdr:colOff>
      <xdr:row>49</xdr:row>
      <xdr:rowOff>23651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799" y="8971456"/>
          <a:ext cx="4719362" cy="782349"/>
        </a:xfrm>
        <a:prstGeom prst="rect">
          <a:avLst/>
        </a:prstGeom>
      </xdr:spPr>
    </xdr:pic>
    <xdr:clientData/>
  </xdr:twoCellAnchor>
  <xdr:twoCellAnchor editAs="oneCell">
    <xdr:from>
      <xdr:col>5</xdr:col>
      <xdr:colOff>375138</xdr:colOff>
      <xdr:row>70</xdr:row>
      <xdr:rowOff>193889</xdr:rowOff>
    </xdr:from>
    <xdr:to>
      <xdr:col>10</xdr:col>
      <xdr:colOff>595897</xdr:colOff>
      <xdr:row>74</xdr:row>
      <xdr:rowOff>73444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66138" y="13845412"/>
          <a:ext cx="3702513" cy="6825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5</xdr:col>
      <xdr:colOff>666607</xdr:colOff>
      <xdr:row>103</xdr:row>
      <xdr:rowOff>140280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" y="17731409"/>
          <a:ext cx="4522990" cy="2575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59635</xdr:colOff>
      <xdr:row>104</xdr:row>
      <xdr:rowOff>159026</xdr:rowOff>
    </xdr:from>
    <xdr:to>
      <xdr:col>5</xdr:col>
      <xdr:colOff>755374</xdr:colOff>
      <xdr:row>110</xdr:row>
      <xdr:rowOff>124894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4313" y="20487861"/>
          <a:ext cx="4552122" cy="1085676"/>
        </a:xfrm>
        <a:prstGeom prst="rect">
          <a:avLst/>
        </a:prstGeom>
      </xdr:spPr>
    </xdr:pic>
    <xdr:clientData/>
  </xdr:twoCellAnchor>
  <xdr:twoCellAnchor editAs="oneCell">
    <xdr:from>
      <xdr:col>1</xdr:col>
      <xdr:colOff>66262</xdr:colOff>
      <xdr:row>132</xdr:row>
      <xdr:rowOff>13252</xdr:rowOff>
    </xdr:from>
    <xdr:to>
      <xdr:col>5</xdr:col>
      <xdr:colOff>648578</xdr:colOff>
      <xdr:row>137</xdr:row>
      <xdr:rowOff>53009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940" y="25596574"/>
          <a:ext cx="4438699" cy="96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abSelected="1" zoomScaleNormal="100" workbookViewId="0">
      <selection activeCell="L161" sqref="L161:T192"/>
    </sheetView>
  </sheetViews>
  <sheetFormatPr defaultRowHeight="14.4" x14ac:dyDescent="0.3"/>
  <cols>
    <col min="1" max="1" width="4.77734375" customWidth="1"/>
    <col min="2" max="2" width="5.77734375" style="63" customWidth="1"/>
    <col min="3" max="3" width="18.109375" customWidth="1"/>
    <col min="4" max="4" width="22.88671875" customWidth="1"/>
    <col min="5" max="5" width="9.44140625" bestFit="1" customWidth="1"/>
    <col min="6" max="6" width="15.21875" customWidth="1"/>
  </cols>
  <sheetData>
    <row r="1" spans="1:7" ht="15" thickBot="1" x14ac:dyDescent="0.35"/>
    <row r="2" spans="1:7" ht="15.6" x14ac:dyDescent="0.3">
      <c r="B2" s="56" t="s">
        <v>3</v>
      </c>
      <c r="C2" s="57"/>
      <c r="D2" s="57"/>
      <c r="E2" s="58"/>
      <c r="F2" s="17"/>
    </row>
    <row r="3" spans="1:7" ht="15.6" x14ac:dyDescent="0.3">
      <c r="B3" s="64" t="s">
        <v>0</v>
      </c>
      <c r="C3" s="8" t="s">
        <v>1</v>
      </c>
      <c r="D3" s="9" t="s">
        <v>4</v>
      </c>
      <c r="E3" s="10" t="s">
        <v>2</v>
      </c>
      <c r="F3" s="17"/>
    </row>
    <row r="4" spans="1:7" ht="15.6" x14ac:dyDescent="0.3">
      <c r="B4" s="65">
        <v>0</v>
      </c>
      <c r="C4" s="3">
        <v>2.5989</v>
      </c>
      <c r="D4" s="5">
        <f>$C4/2</f>
        <v>1.29945</v>
      </c>
      <c r="E4" s="11">
        <v>8.26</v>
      </c>
      <c r="F4" s="17"/>
    </row>
    <row r="5" spans="1:7" ht="15.6" x14ac:dyDescent="0.3">
      <c r="B5" s="65">
        <v>1.5</v>
      </c>
      <c r="C5" s="5">
        <v>3.371</v>
      </c>
      <c r="D5" s="5">
        <f t="shared" ref="D5:D6" si="0">$C5/2</f>
        <v>1.6855</v>
      </c>
      <c r="E5" s="11">
        <v>11.686999999999999</v>
      </c>
      <c r="F5" s="17"/>
    </row>
    <row r="6" spans="1:7" ht="16.2" thickBot="1" x14ac:dyDescent="0.35">
      <c r="A6" s="1"/>
      <c r="B6" s="66">
        <v>3</v>
      </c>
      <c r="C6" s="12">
        <v>2.8</v>
      </c>
      <c r="D6" s="12">
        <f t="shared" si="0"/>
        <v>1.4</v>
      </c>
      <c r="E6" s="13">
        <v>15.351000000000001</v>
      </c>
      <c r="F6" s="17"/>
    </row>
    <row r="7" spans="1:7" ht="15.6" x14ac:dyDescent="0.3">
      <c r="B7" s="67"/>
      <c r="C7" s="17"/>
      <c r="D7" s="17"/>
      <c r="E7" s="17"/>
      <c r="F7" s="17"/>
    </row>
    <row r="8" spans="1:7" ht="16.2" thickBot="1" x14ac:dyDescent="0.35">
      <c r="B8" s="67"/>
      <c r="C8" s="17"/>
      <c r="D8" s="17"/>
      <c r="E8" s="17"/>
      <c r="F8" s="17"/>
    </row>
    <row r="9" spans="1:7" ht="15.6" x14ac:dyDescent="0.3">
      <c r="B9" s="59" t="s">
        <v>5</v>
      </c>
      <c r="C9" s="60"/>
      <c r="D9" s="60"/>
      <c r="E9" s="60"/>
      <c r="F9" s="60"/>
      <c r="G9" s="61"/>
    </row>
    <row r="10" spans="1:7" ht="31.2" x14ac:dyDescent="0.3">
      <c r="B10" s="64" t="s">
        <v>0</v>
      </c>
      <c r="C10" s="8" t="s">
        <v>1</v>
      </c>
      <c r="D10" s="9" t="s">
        <v>6</v>
      </c>
      <c r="E10" s="9" t="s">
        <v>2</v>
      </c>
      <c r="F10" s="4" t="s">
        <v>7</v>
      </c>
      <c r="G10" s="15" t="s">
        <v>42</v>
      </c>
    </row>
    <row r="11" spans="1:7" ht="15.6" x14ac:dyDescent="0.3">
      <c r="B11" s="65">
        <v>0</v>
      </c>
      <c r="C11" s="3">
        <f>$C4</f>
        <v>2.5989</v>
      </c>
      <c r="D11" s="5">
        <f>$C11*0.45</f>
        <v>1.169505</v>
      </c>
      <c r="E11" s="5">
        <f>$E4</f>
        <v>8.26</v>
      </c>
      <c r="F11" s="74">
        <f>$E11/1.2</f>
        <v>6.8833333333333337</v>
      </c>
      <c r="G11" s="18">
        <v>5.9980000000000002</v>
      </c>
    </row>
    <row r="12" spans="1:7" ht="15.6" x14ac:dyDescent="0.3">
      <c r="B12" s="65">
        <v>1.5</v>
      </c>
      <c r="C12" s="3">
        <f t="shared" ref="C12:C13" si="1">$C5</f>
        <v>3.371</v>
      </c>
      <c r="D12" s="5">
        <f t="shared" ref="D12:D13" si="2">$C12*0.45</f>
        <v>1.51695</v>
      </c>
      <c r="E12" s="5">
        <f t="shared" ref="E12:E13" si="3">$E5</f>
        <v>11.686999999999999</v>
      </c>
      <c r="F12" s="74">
        <f>$E12/1.2</f>
        <v>9.7391666666666659</v>
      </c>
      <c r="G12" s="18">
        <v>40.198</v>
      </c>
    </row>
    <row r="13" spans="1:7" ht="16.2" thickBot="1" x14ac:dyDescent="0.35">
      <c r="B13" s="66">
        <v>3</v>
      </c>
      <c r="C13" s="20">
        <f t="shared" si="1"/>
        <v>2.8</v>
      </c>
      <c r="D13" s="12">
        <f t="shared" si="2"/>
        <v>1.26</v>
      </c>
      <c r="E13" s="12">
        <f t="shared" si="3"/>
        <v>15.351000000000001</v>
      </c>
      <c r="F13" s="81">
        <f t="shared" ref="F13" si="4">$E13/1.2</f>
        <v>12.7925</v>
      </c>
      <c r="G13" s="19">
        <v>54.25</v>
      </c>
    </row>
    <row r="15" spans="1:7" ht="15" thickBot="1" x14ac:dyDescent="0.35"/>
    <row r="16" spans="1:7" ht="15.6" x14ac:dyDescent="0.3">
      <c r="B16" s="59" t="s">
        <v>8</v>
      </c>
      <c r="C16" s="60"/>
      <c r="D16" s="60"/>
      <c r="E16" s="60"/>
      <c r="F16" s="60"/>
      <c r="G16" s="61"/>
    </row>
    <row r="17" spans="2:19" ht="31.2" x14ac:dyDescent="0.3">
      <c r="B17" s="64" t="s">
        <v>0</v>
      </c>
      <c r="C17" s="8" t="s">
        <v>1</v>
      </c>
      <c r="D17" s="9" t="s">
        <v>6</v>
      </c>
      <c r="E17" s="9" t="s">
        <v>2</v>
      </c>
      <c r="F17" s="4" t="s">
        <v>7</v>
      </c>
      <c r="G17" s="15" t="s">
        <v>42</v>
      </c>
      <c r="L17" s="14"/>
      <c r="M17" s="14"/>
      <c r="N17" s="14"/>
      <c r="O17" s="14"/>
      <c r="P17" s="14"/>
      <c r="Q17" s="14"/>
      <c r="R17" s="14"/>
    </row>
    <row r="18" spans="2:19" ht="15.6" x14ac:dyDescent="0.3">
      <c r="B18" s="65">
        <v>0</v>
      </c>
      <c r="C18" s="3">
        <v>2.4</v>
      </c>
      <c r="D18" s="5">
        <f>$C18*0.45</f>
        <v>1.08</v>
      </c>
      <c r="E18" s="5">
        <f>F18*1.2</f>
        <v>6</v>
      </c>
      <c r="F18" s="74">
        <v>5</v>
      </c>
      <c r="G18" s="18">
        <v>5.6260000000000003</v>
      </c>
      <c r="L18" s="14"/>
      <c r="M18" s="14"/>
      <c r="N18" s="14"/>
      <c r="O18" s="14"/>
      <c r="P18" s="14"/>
      <c r="Q18" s="14"/>
      <c r="R18" s="14"/>
    </row>
    <row r="19" spans="2:19" ht="15.6" x14ac:dyDescent="0.3">
      <c r="B19" s="65">
        <v>1.5</v>
      </c>
      <c r="C19" s="3">
        <v>3.1709999999999998</v>
      </c>
      <c r="D19" s="5">
        <f t="shared" ref="D19:D20" si="5">$C19*0.45</f>
        <v>1.4269499999999999</v>
      </c>
      <c r="E19" s="5">
        <f t="shared" ref="E19:E20" si="6">F19*1.2</f>
        <v>9</v>
      </c>
      <c r="F19" s="74">
        <v>7.5</v>
      </c>
      <c r="G19" s="18">
        <v>35.286000000000001</v>
      </c>
      <c r="L19" s="14"/>
      <c r="M19" s="14"/>
      <c r="N19" s="14"/>
      <c r="O19" s="14"/>
      <c r="P19" s="14"/>
      <c r="Q19" s="14"/>
      <c r="R19" s="14"/>
    </row>
    <row r="20" spans="2:19" ht="16.2" thickBot="1" x14ac:dyDescent="0.35">
      <c r="B20" s="66">
        <v>3</v>
      </c>
      <c r="C20" s="20">
        <v>2.6</v>
      </c>
      <c r="D20" s="12">
        <f t="shared" si="5"/>
        <v>1.1700000000000002</v>
      </c>
      <c r="E20" s="12">
        <f t="shared" si="6"/>
        <v>15.6</v>
      </c>
      <c r="F20" s="81">
        <v>13</v>
      </c>
      <c r="G20" s="19">
        <v>27.111999999999998</v>
      </c>
      <c r="L20" s="14"/>
      <c r="M20" s="14"/>
      <c r="N20" s="14"/>
      <c r="O20" s="70"/>
      <c r="P20" s="14"/>
      <c r="Q20" s="14"/>
      <c r="R20" s="14"/>
    </row>
    <row r="21" spans="2:19" ht="15.6" x14ac:dyDescent="0.3">
      <c r="L21" s="14"/>
      <c r="M21" s="14"/>
      <c r="N21" s="14"/>
      <c r="O21" s="70"/>
      <c r="P21" s="14"/>
      <c r="Q21" s="14"/>
      <c r="R21" s="14"/>
    </row>
    <row r="22" spans="2:19" ht="15.6" x14ac:dyDescent="0.3">
      <c r="L22" s="14"/>
      <c r="M22" s="14"/>
      <c r="N22" s="14"/>
      <c r="O22" s="70"/>
      <c r="P22" s="14"/>
      <c r="Q22" s="14"/>
      <c r="R22" s="14"/>
    </row>
    <row r="23" spans="2:19" ht="15" thickBot="1" x14ac:dyDescent="0.35"/>
    <row r="24" spans="2:19" x14ac:dyDescent="0.3">
      <c r="G24" s="53" t="s">
        <v>9</v>
      </c>
      <c r="H24" s="54"/>
      <c r="I24" s="54"/>
      <c r="J24" s="55"/>
    </row>
    <row r="25" spans="2:19" x14ac:dyDescent="0.3">
      <c r="G25" s="25" t="s">
        <v>13</v>
      </c>
      <c r="H25" s="2">
        <v>0.91</v>
      </c>
      <c r="I25" s="2"/>
      <c r="J25" s="15"/>
    </row>
    <row r="26" spans="2:19" x14ac:dyDescent="0.3">
      <c r="G26" s="28" t="s">
        <v>14</v>
      </c>
      <c r="H26" s="29">
        <v>0</v>
      </c>
      <c r="I26" s="29">
        <v>1.5</v>
      </c>
      <c r="J26" s="30">
        <v>3</v>
      </c>
    </row>
    <row r="27" spans="2:19" x14ac:dyDescent="0.3">
      <c r="G27" s="25" t="s">
        <v>10</v>
      </c>
      <c r="H27" s="2">
        <f>5*$H$25+H$26</f>
        <v>4.55</v>
      </c>
      <c r="I27" s="2">
        <f>5*$H$25+I$26</f>
        <v>6.05</v>
      </c>
      <c r="J27" s="15">
        <f>5*$H$25+J$26</f>
        <v>7.55</v>
      </c>
    </row>
    <row r="28" spans="2:19" x14ac:dyDescent="0.3">
      <c r="G28" s="25" t="s">
        <v>11</v>
      </c>
      <c r="H28" s="2">
        <f>2.1*$H$25</f>
        <v>1.9110000000000003</v>
      </c>
      <c r="I28" s="2">
        <f t="shared" ref="I28:J28" si="7">2.1*$H$25</f>
        <v>1.9110000000000003</v>
      </c>
      <c r="J28" s="15">
        <f t="shared" si="7"/>
        <v>1.9110000000000003</v>
      </c>
    </row>
    <row r="29" spans="2:19" x14ac:dyDescent="0.3">
      <c r="G29" s="25" t="s">
        <v>12</v>
      </c>
      <c r="H29" s="2">
        <f>5.12*$H$25</f>
        <v>4.6592000000000002</v>
      </c>
      <c r="I29" s="2">
        <f t="shared" ref="I29:J29" si="8">5.12*$H$25</f>
        <v>4.6592000000000002</v>
      </c>
      <c r="J29" s="15">
        <f t="shared" si="8"/>
        <v>4.6592000000000002</v>
      </c>
    </row>
    <row r="30" spans="2:19" ht="15" thickBot="1" x14ac:dyDescent="0.35">
      <c r="G30" s="26" t="s">
        <v>15</v>
      </c>
      <c r="H30" s="27">
        <f>H28+H26</f>
        <v>1.9110000000000003</v>
      </c>
      <c r="I30" s="27">
        <f t="shared" ref="I30:J30" si="9">I28+I26</f>
        <v>3.4110000000000005</v>
      </c>
      <c r="J30" s="16">
        <f t="shared" si="9"/>
        <v>4.9110000000000005</v>
      </c>
      <c r="L30" s="14"/>
      <c r="M30" s="14"/>
      <c r="N30" s="14"/>
      <c r="O30" s="14"/>
      <c r="P30" s="14"/>
      <c r="Q30" s="14"/>
      <c r="R30" s="14"/>
    </row>
    <row r="31" spans="2:19" ht="15" thickBot="1" x14ac:dyDescent="0.35">
      <c r="L31" s="14"/>
      <c r="M31" s="21"/>
      <c r="N31" s="21"/>
      <c r="O31" s="21"/>
      <c r="P31" s="21"/>
      <c r="Q31" s="21"/>
      <c r="R31" s="21"/>
      <c r="S31" s="46"/>
    </row>
    <row r="32" spans="2:19" x14ac:dyDescent="0.3">
      <c r="G32" s="50" t="s">
        <v>18</v>
      </c>
      <c r="H32" s="51"/>
      <c r="I32" s="51"/>
      <c r="J32" s="52"/>
      <c r="L32" s="14"/>
      <c r="M32" s="109"/>
      <c r="N32" s="109"/>
      <c r="O32" s="109"/>
      <c r="P32" s="109"/>
      <c r="Q32" s="109"/>
      <c r="R32" s="21"/>
      <c r="S32" s="46"/>
    </row>
    <row r="33" spans="7:19" x14ac:dyDescent="0.3">
      <c r="G33" s="25" t="s">
        <v>16</v>
      </c>
      <c r="H33" s="2">
        <f>0.153*(H30/H29)+0.362</f>
        <v>0.42475390624999998</v>
      </c>
      <c r="I33" s="2">
        <f>0.153*(I30/I29)+0.362</f>
        <v>0.47401128949175825</v>
      </c>
      <c r="J33" s="15">
        <f>0.153*(J30/J29)+0.362</f>
        <v>0.52326867273351652</v>
      </c>
      <c r="L33" s="14"/>
      <c r="M33" s="21"/>
      <c r="N33" s="118"/>
      <c r="O33" s="118"/>
      <c r="P33" s="118"/>
      <c r="Q33" s="118"/>
      <c r="R33" s="118"/>
      <c r="S33" s="118"/>
    </row>
    <row r="34" spans="7:19" ht="15" thickBot="1" x14ac:dyDescent="0.35">
      <c r="G34" s="31" t="s">
        <v>17</v>
      </c>
      <c r="H34" s="27">
        <f>1.905*(H30/H29)+0.826</f>
        <v>1.60734765625</v>
      </c>
      <c r="I34" s="27">
        <f>1.905*(I30/I29)+0.826</f>
        <v>2.220650369162088</v>
      </c>
      <c r="J34" s="16">
        <f t="shared" ref="J34" si="10">1.905*(J30/J29)+0.826</f>
        <v>2.8339530820741761</v>
      </c>
      <c r="L34" s="14"/>
      <c r="M34" s="110"/>
      <c r="N34" s="110"/>
      <c r="O34" s="110"/>
      <c r="P34" s="46"/>
      <c r="Q34" s="46"/>
      <c r="R34" s="110"/>
      <c r="S34" s="110"/>
    </row>
    <row r="35" spans="7:19" x14ac:dyDescent="0.3">
      <c r="L35" s="14"/>
      <c r="M35" s="110"/>
      <c r="N35" s="21"/>
      <c r="O35" s="21"/>
      <c r="P35" s="46"/>
      <c r="Q35" s="46"/>
      <c r="R35" s="21"/>
      <c r="S35" s="21"/>
    </row>
    <row r="36" spans="7:19" ht="15" thickBot="1" x14ac:dyDescent="0.35">
      <c r="G36" s="21" t="s">
        <v>21</v>
      </c>
      <c r="L36" s="14"/>
      <c r="M36" s="110"/>
      <c r="N36" s="21"/>
      <c r="O36" s="21"/>
      <c r="P36" s="46"/>
      <c r="Q36" s="46"/>
      <c r="R36" s="21"/>
      <c r="S36" s="21"/>
    </row>
    <row r="37" spans="7:19" x14ac:dyDescent="0.3">
      <c r="G37" s="22" t="s">
        <v>19</v>
      </c>
      <c r="H37" s="23">
        <f>1/H34</f>
        <v>0.62214294220146249</v>
      </c>
      <c r="I37" s="23">
        <f>1/I34</f>
        <v>0.45031852554858842</v>
      </c>
      <c r="J37" s="24">
        <f>1/J34</f>
        <v>0.3528639928181514</v>
      </c>
      <c r="L37" s="14"/>
      <c r="M37" s="110"/>
      <c r="N37" s="21"/>
      <c r="O37" s="21"/>
      <c r="P37" s="119"/>
      <c r="Q37" s="46"/>
      <c r="R37" s="21"/>
      <c r="S37" s="21"/>
    </row>
    <row r="38" spans="7:19" x14ac:dyDescent="0.3">
      <c r="G38" s="75" t="s">
        <v>20</v>
      </c>
      <c r="H38" s="76">
        <f>H29*H33</f>
        <v>1.9790133999999999</v>
      </c>
      <c r="I38" s="76">
        <f>I29*I33</f>
        <v>2.2085134000000002</v>
      </c>
      <c r="J38" s="77">
        <f>J29*J33</f>
        <v>2.4380134000000004</v>
      </c>
      <c r="L38" s="14"/>
      <c r="M38" s="21"/>
      <c r="N38" s="21"/>
      <c r="O38" s="21"/>
      <c r="P38" s="21"/>
      <c r="Q38" s="21"/>
      <c r="R38" s="21"/>
      <c r="S38" s="46"/>
    </row>
    <row r="39" spans="7:19" x14ac:dyDescent="0.3">
      <c r="G39" s="40" t="s">
        <v>42</v>
      </c>
      <c r="H39" s="2">
        <v>6.2329999999999997</v>
      </c>
      <c r="I39" s="2">
        <v>9.4550000000000001</v>
      </c>
      <c r="J39" s="15">
        <v>12.086</v>
      </c>
      <c r="M39" s="46"/>
      <c r="N39" s="46"/>
      <c r="O39" s="46"/>
      <c r="P39" s="46"/>
      <c r="Q39" s="46"/>
      <c r="R39" s="46"/>
      <c r="S39" s="46"/>
    </row>
    <row r="40" spans="7:19" ht="15" thickBot="1" x14ac:dyDescent="0.35">
      <c r="G40" s="78" t="s">
        <v>14</v>
      </c>
      <c r="H40" s="79">
        <v>0</v>
      </c>
      <c r="I40" s="79">
        <v>1.5</v>
      </c>
      <c r="J40" s="80">
        <v>3</v>
      </c>
    </row>
    <row r="46" spans="7:19" ht="15" thickBot="1" x14ac:dyDescent="0.35"/>
    <row r="47" spans="7:19" x14ac:dyDescent="0.3">
      <c r="G47" s="53" t="s">
        <v>9</v>
      </c>
      <c r="H47" s="54"/>
      <c r="I47" s="54"/>
      <c r="J47" s="55"/>
    </row>
    <row r="48" spans="7:19" x14ac:dyDescent="0.3">
      <c r="G48" s="25" t="s">
        <v>13</v>
      </c>
      <c r="H48" s="2">
        <v>0.91</v>
      </c>
      <c r="I48" s="2"/>
      <c r="J48" s="15"/>
    </row>
    <row r="49" spans="7:19" x14ac:dyDescent="0.3">
      <c r="G49" s="28" t="s">
        <v>14</v>
      </c>
      <c r="H49" s="29">
        <v>0</v>
      </c>
      <c r="I49" s="29">
        <v>1.5</v>
      </c>
      <c r="J49" s="30">
        <v>3</v>
      </c>
    </row>
    <row r="50" spans="7:19" x14ac:dyDescent="0.3">
      <c r="G50" s="25" t="s">
        <v>10</v>
      </c>
      <c r="H50" s="2">
        <f>5*$H$25+H$26</f>
        <v>4.55</v>
      </c>
      <c r="I50" s="2">
        <f>5*$H$25+I$26</f>
        <v>6.05</v>
      </c>
      <c r="J50" s="15">
        <f>5*$H$25+J$26</f>
        <v>7.55</v>
      </c>
    </row>
    <row r="51" spans="7:19" x14ac:dyDescent="0.3">
      <c r="G51" s="25" t="s">
        <v>11</v>
      </c>
      <c r="H51" s="2">
        <f>2.1*$H$25</f>
        <v>1.9110000000000003</v>
      </c>
      <c r="I51" s="2">
        <f t="shared" ref="I51:J51" si="11">2.1*$H$25</f>
        <v>1.9110000000000003</v>
      </c>
      <c r="J51" s="15">
        <f t="shared" si="11"/>
        <v>1.9110000000000003</v>
      </c>
    </row>
    <row r="52" spans="7:19" x14ac:dyDescent="0.3">
      <c r="G52" s="25" t="s">
        <v>12</v>
      </c>
      <c r="H52" s="2">
        <f>5.12*$H$25</f>
        <v>4.6592000000000002</v>
      </c>
      <c r="I52" s="2">
        <f t="shared" ref="I52:J52" si="12">5.12*$H$25</f>
        <v>4.6592000000000002</v>
      </c>
      <c r="J52" s="15">
        <f t="shared" si="12"/>
        <v>4.6592000000000002</v>
      </c>
    </row>
    <row r="53" spans="7:19" ht="15" thickBot="1" x14ac:dyDescent="0.35">
      <c r="G53" s="26" t="s">
        <v>15</v>
      </c>
      <c r="H53" s="27">
        <f>H51+H49</f>
        <v>1.9110000000000003</v>
      </c>
      <c r="I53" s="27">
        <f>I51+I49</f>
        <v>3.4110000000000005</v>
      </c>
      <c r="J53" s="16">
        <f>J51+J49</f>
        <v>4.9110000000000005</v>
      </c>
      <c r="L53" s="21"/>
      <c r="M53" s="21"/>
      <c r="N53" s="21"/>
      <c r="O53" s="21"/>
      <c r="P53" s="21"/>
      <c r="Q53" s="21"/>
      <c r="R53" s="21"/>
    </row>
    <row r="54" spans="7:19" ht="15" thickBot="1" x14ac:dyDescent="0.35">
      <c r="L54" s="21"/>
      <c r="M54" s="109"/>
      <c r="N54" s="109"/>
      <c r="O54" s="109"/>
      <c r="P54" s="109"/>
      <c r="Q54" s="109"/>
      <c r="R54" s="21"/>
    </row>
    <row r="55" spans="7:19" x14ac:dyDescent="0.3">
      <c r="G55" s="50" t="s">
        <v>22</v>
      </c>
      <c r="H55" s="51"/>
      <c r="I55" s="51"/>
      <c r="J55" s="52"/>
      <c r="L55" s="21"/>
      <c r="M55" s="21"/>
      <c r="N55" s="109"/>
      <c r="O55" s="109"/>
      <c r="R55" s="109"/>
      <c r="S55" s="109"/>
    </row>
    <row r="56" spans="7:19" x14ac:dyDescent="0.3">
      <c r="G56" s="25" t="s">
        <v>23</v>
      </c>
      <c r="H56" s="2">
        <f>-0.467*(H53/H50)+0.624</f>
        <v>0.42785999999999991</v>
      </c>
      <c r="I56" s="2">
        <f>-0.467*(I53/I50)+0.624</f>
        <v>0.36070462809917347</v>
      </c>
      <c r="J56" s="2">
        <f>-0.467*(J53/J50)+0.624</f>
        <v>0.32023350993377481</v>
      </c>
      <c r="L56" s="21"/>
      <c r="M56" s="110"/>
      <c r="N56" s="110"/>
      <c r="O56" s="110"/>
      <c r="P56" s="110"/>
      <c r="Q56" s="110"/>
      <c r="R56" s="110"/>
      <c r="S56" s="110"/>
    </row>
    <row r="57" spans="7:19" ht="15" thickBot="1" x14ac:dyDescent="0.35">
      <c r="G57" s="31" t="s">
        <v>17</v>
      </c>
      <c r="H57" s="27">
        <f>4.345*(H53/H50)-0.151</f>
        <v>1.6739000000000004</v>
      </c>
      <c r="I57" s="27">
        <f t="shared" ref="I57:J57" si="13">4.345*(I53/I50)-0.151</f>
        <v>2.2987181818181823</v>
      </c>
      <c r="J57" s="27">
        <f t="shared" si="13"/>
        <v>2.6752642384105965</v>
      </c>
      <c r="L57" s="21"/>
      <c r="M57" s="110"/>
      <c r="N57" s="21"/>
      <c r="O57" s="21"/>
      <c r="R57" s="21"/>
      <c r="S57" s="21"/>
    </row>
    <row r="58" spans="7:19" x14ac:dyDescent="0.3">
      <c r="L58" s="21"/>
      <c r="M58" s="110"/>
      <c r="N58" s="21"/>
      <c r="O58" s="21"/>
      <c r="R58" s="21"/>
      <c r="S58" s="21"/>
    </row>
    <row r="59" spans="7:19" ht="15" thickBot="1" x14ac:dyDescent="0.35">
      <c r="G59" s="21" t="s">
        <v>21</v>
      </c>
      <c r="L59" s="21"/>
      <c r="M59" s="110"/>
      <c r="N59" s="21"/>
      <c r="O59" s="21"/>
      <c r="R59" s="21"/>
      <c r="S59" s="21"/>
    </row>
    <row r="60" spans="7:19" x14ac:dyDescent="0.3">
      <c r="G60" s="82" t="s">
        <v>19</v>
      </c>
      <c r="H60" s="83">
        <f>1/H57</f>
        <v>0.59740725252404547</v>
      </c>
      <c r="I60" s="83">
        <f>1/I57</f>
        <v>0.43502505348830761</v>
      </c>
      <c r="J60" s="71">
        <f>1/J57</f>
        <v>0.37379485197847628</v>
      </c>
      <c r="L60" s="21"/>
      <c r="M60" s="21"/>
      <c r="N60" s="21"/>
      <c r="O60" s="21"/>
      <c r="R60" s="21"/>
      <c r="S60" s="21"/>
    </row>
    <row r="61" spans="7:19" x14ac:dyDescent="0.3">
      <c r="G61" s="84" t="s">
        <v>20</v>
      </c>
      <c r="H61" s="14">
        <f>H56*H50</f>
        <v>1.9467629999999996</v>
      </c>
      <c r="I61" s="14">
        <f t="shared" ref="I61:J61" si="14">I56*I50</f>
        <v>2.1822629999999994</v>
      </c>
      <c r="J61" s="72">
        <f t="shared" si="14"/>
        <v>2.4177629999999999</v>
      </c>
      <c r="L61" s="21"/>
      <c r="M61" s="21"/>
      <c r="N61" s="21"/>
      <c r="O61" s="21"/>
      <c r="P61" s="21"/>
      <c r="Q61" s="21"/>
      <c r="R61" s="21"/>
    </row>
    <row r="62" spans="7:19" x14ac:dyDescent="0.3">
      <c r="G62" s="85" t="s">
        <v>42</v>
      </c>
      <c r="H62" s="14">
        <v>6.202</v>
      </c>
      <c r="I62" s="14">
        <v>9.3490000000000002</v>
      </c>
      <c r="J62" s="72">
        <v>8.1039999999999992</v>
      </c>
    </row>
    <row r="63" spans="7:19" ht="15" thickBot="1" x14ac:dyDescent="0.35">
      <c r="G63" s="86" t="s">
        <v>14</v>
      </c>
      <c r="H63" s="87">
        <v>0</v>
      </c>
      <c r="I63" s="87">
        <v>1.5</v>
      </c>
      <c r="J63" s="88">
        <v>3</v>
      </c>
    </row>
    <row r="68" spans="1:30" ht="15" thickBot="1" x14ac:dyDescent="0.35"/>
    <row r="69" spans="1:30" ht="15.6" x14ac:dyDescent="0.3">
      <c r="B69" s="56" t="s">
        <v>3</v>
      </c>
      <c r="C69" s="57"/>
      <c r="D69" s="57"/>
      <c r="E69" s="58"/>
      <c r="F69" s="17"/>
    </row>
    <row r="70" spans="1:30" ht="15.6" x14ac:dyDescent="0.3">
      <c r="B70" s="64" t="s">
        <v>0</v>
      </c>
      <c r="C70" s="8" t="s">
        <v>1</v>
      </c>
      <c r="D70" s="9" t="s">
        <v>4</v>
      </c>
      <c r="E70" s="10" t="s">
        <v>2</v>
      </c>
      <c r="F70" s="17"/>
    </row>
    <row r="71" spans="1:30" ht="15.6" x14ac:dyDescent="0.3">
      <c r="B71" s="65">
        <v>0</v>
      </c>
      <c r="C71" s="3">
        <v>2.5989</v>
      </c>
      <c r="D71" s="5">
        <f>$C71/2</f>
        <v>1.29945</v>
      </c>
      <c r="E71" s="11">
        <v>8.26</v>
      </c>
      <c r="F71" s="17"/>
    </row>
    <row r="72" spans="1:30" ht="15.6" x14ac:dyDescent="0.3">
      <c r="B72" s="65">
        <v>1.5</v>
      </c>
      <c r="C72" s="5">
        <v>3.371</v>
      </c>
      <c r="D72" s="5">
        <f t="shared" ref="D72:D73" si="15">$C72/2</f>
        <v>1.6855</v>
      </c>
      <c r="E72" s="11">
        <v>11.686999999999999</v>
      </c>
      <c r="F72" s="17"/>
    </row>
    <row r="73" spans="1:30" ht="16.2" thickBot="1" x14ac:dyDescent="0.35">
      <c r="A73" s="1"/>
      <c r="B73" s="66">
        <v>3</v>
      </c>
      <c r="C73" s="12">
        <v>2.8</v>
      </c>
      <c r="D73" s="12">
        <f t="shared" si="15"/>
        <v>1.4</v>
      </c>
      <c r="E73" s="13">
        <v>15.351000000000001</v>
      </c>
      <c r="F73" s="17"/>
    </row>
    <row r="74" spans="1:30" ht="15.6" x14ac:dyDescent="0.3">
      <c r="B74" s="67"/>
      <c r="C74" s="17"/>
      <c r="D74" s="17"/>
      <c r="E74" s="17"/>
      <c r="F74" s="17"/>
    </row>
    <row r="75" spans="1:30" ht="16.2" thickBot="1" x14ac:dyDescent="0.35">
      <c r="B75" s="67"/>
      <c r="C75" s="17"/>
      <c r="D75" s="17"/>
      <c r="E75" s="17"/>
      <c r="F75" s="17"/>
    </row>
    <row r="76" spans="1:30" ht="16.2" thickBot="1" x14ac:dyDescent="0.35">
      <c r="B76" s="89" t="s">
        <v>24</v>
      </c>
      <c r="C76" s="90"/>
      <c r="D76" s="90"/>
      <c r="E76" s="90"/>
      <c r="F76" s="90"/>
      <c r="G76" s="90"/>
      <c r="H76" s="90"/>
      <c r="I76" s="91"/>
    </row>
    <row r="77" spans="1:30" ht="15.6" x14ac:dyDescent="0.3">
      <c r="B77" s="64" t="s">
        <v>0</v>
      </c>
      <c r="C77" s="8" t="s">
        <v>1</v>
      </c>
      <c r="D77" s="9" t="s">
        <v>27</v>
      </c>
      <c r="E77" s="9" t="s">
        <v>2</v>
      </c>
      <c r="F77" s="4" t="s">
        <v>28</v>
      </c>
      <c r="G77" s="33" t="s">
        <v>25</v>
      </c>
      <c r="H77" s="33" t="s">
        <v>26</v>
      </c>
      <c r="I77" s="15" t="s">
        <v>42</v>
      </c>
      <c r="X77" s="53" t="s">
        <v>41</v>
      </c>
      <c r="Y77" s="54"/>
      <c r="Z77" s="54"/>
      <c r="AA77" s="54"/>
      <c r="AB77" s="54"/>
      <c r="AC77" s="54"/>
      <c r="AD77" s="55"/>
    </row>
    <row r="78" spans="1:30" ht="15.6" x14ac:dyDescent="0.3">
      <c r="B78" s="68">
        <v>0</v>
      </c>
      <c r="C78" s="7">
        <f>$C71</f>
        <v>2.5989</v>
      </c>
      <c r="D78" s="34">
        <f>$C78*0.6</f>
        <v>1.5593399999999999</v>
      </c>
      <c r="E78" s="34">
        <f>$E71</f>
        <v>8.26</v>
      </c>
      <c r="F78" s="6">
        <f>$E78/2</f>
        <v>4.13</v>
      </c>
      <c r="G78" s="33">
        <f>F78/4</f>
        <v>1.0325</v>
      </c>
      <c r="H78" s="33">
        <f>G78/8</f>
        <v>0.1290625</v>
      </c>
      <c r="I78" s="15">
        <v>3.1859999999999999</v>
      </c>
      <c r="X78" s="25"/>
      <c r="Y78" s="95" t="s">
        <v>37</v>
      </c>
      <c r="Z78" s="96"/>
      <c r="AA78" s="97"/>
      <c r="AB78" s="99" t="s">
        <v>36</v>
      </c>
      <c r="AC78" s="100"/>
      <c r="AD78" s="103"/>
    </row>
    <row r="79" spans="1:30" ht="15.6" x14ac:dyDescent="0.3">
      <c r="B79" s="68">
        <v>1.5</v>
      </c>
      <c r="C79" s="7">
        <f t="shared" ref="C79:C80" si="16">$C72</f>
        <v>3.371</v>
      </c>
      <c r="D79" s="34">
        <f>$C79*0.6</f>
        <v>2.0225999999999997</v>
      </c>
      <c r="E79" s="34">
        <f t="shared" ref="E79:E80" si="17">$E72</f>
        <v>11.686999999999999</v>
      </c>
      <c r="F79" s="6">
        <f>$E79/2</f>
        <v>5.8434999999999997</v>
      </c>
      <c r="G79" s="33">
        <f>F79/4</f>
        <v>1.4608749999999999</v>
      </c>
      <c r="H79" s="33">
        <f t="shared" ref="H79:H80" si="18">G79/8</f>
        <v>0.18260937499999999</v>
      </c>
      <c r="I79" s="15">
        <v>7.5119999999999996</v>
      </c>
      <c r="X79" s="104" t="s">
        <v>0</v>
      </c>
      <c r="Y79" s="101" t="s">
        <v>35</v>
      </c>
      <c r="Z79" s="101" t="s">
        <v>30</v>
      </c>
      <c r="AA79" s="101" t="s">
        <v>42</v>
      </c>
      <c r="AB79" s="102" t="s">
        <v>42</v>
      </c>
      <c r="AC79" s="102" t="s">
        <v>35</v>
      </c>
      <c r="AD79" s="105" t="s">
        <v>30</v>
      </c>
    </row>
    <row r="80" spans="1:30" ht="16.2" thickBot="1" x14ac:dyDescent="0.35">
      <c r="B80" s="69">
        <v>3</v>
      </c>
      <c r="C80" s="35">
        <f t="shared" si="16"/>
        <v>2.8</v>
      </c>
      <c r="D80" s="36">
        <f t="shared" ref="D80" si="19">$C80*0.6</f>
        <v>1.68</v>
      </c>
      <c r="E80" s="36">
        <f t="shared" si="17"/>
        <v>15.351000000000001</v>
      </c>
      <c r="F80" s="37">
        <f t="shared" ref="F80" si="20">$E80/2</f>
        <v>7.6755000000000004</v>
      </c>
      <c r="G80" s="38">
        <f t="shared" ref="G80" si="21">F80/4</f>
        <v>1.9188750000000001</v>
      </c>
      <c r="H80" s="38">
        <f t="shared" si="18"/>
        <v>0.23985937500000001</v>
      </c>
      <c r="I80" s="16">
        <v>22.614000000000001</v>
      </c>
      <c r="X80" s="104">
        <v>0</v>
      </c>
      <c r="Y80" s="98">
        <v>1.169505</v>
      </c>
      <c r="Z80" s="98">
        <v>6.8833333333333337</v>
      </c>
      <c r="AA80" s="98">
        <v>5.9980000000000002</v>
      </c>
      <c r="AB80" s="45">
        <v>3.1859999999999999</v>
      </c>
      <c r="AC80" s="45">
        <v>1.5593399999999999</v>
      </c>
      <c r="AD80" s="41">
        <v>4.13</v>
      </c>
    </row>
    <row r="81" spans="2:30" x14ac:dyDescent="0.3">
      <c r="X81" s="104">
        <v>1.5</v>
      </c>
      <c r="Y81" s="98">
        <v>1.51695</v>
      </c>
      <c r="Z81" s="98">
        <v>9.7391666666666659</v>
      </c>
      <c r="AA81" s="98">
        <v>40.198</v>
      </c>
      <c r="AB81" s="45">
        <v>7.5119999999999996</v>
      </c>
      <c r="AC81" s="45">
        <v>2.0225999999999997</v>
      </c>
      <c r="AD81" s="41">
        <v>5.8434999999999997</v>
      </c>
    </row>
    <row r="82" spans="2:30" ht="15" thickBot="1" x14ac:dyDescent="0.35">
      <c r="X82" s="106">
        <v>3</v>
      </c>
      <c r="Y82" s="107">
        <v>1.26</v>
      </c>
      <c r="Z82" s="107">
        <v>12.7925</v>
      </c>
      <c r="AA82" s="107">
        <v>54.25</v>
      </c>
      <c r="AB82" s="108">
        <v>22.614000000000001</v>
      </c>
      <c r="AC82" s="108">
        <v>1.68</v>
      </c>
      <c r="AD82" s="42">
        <v>7.6755000000000004</v>
      </c>
    </row>
    <row r="83" spans="2:30" ht="16.2" thickBot="1" x14ac:dyDescent="0.35">
      <c r="B83" s="67"/>
      <c r="C83" s="17"/>
      <c r="D83" s="17"/>
      <c r="E83" s="17"/>
      <c r="F83" s="17"/>
    </row>
    <row r="84" spans="2:30" ht="16.2" thickBot="1" x14ac:dyDescent="0.35">
      <c r="B84" s="89" t="s">
        <v>29</v>
      </c>
      <c r="C84" s="90"/>
      <c r="D84" s="90"/>
      <c r="E84" s="90"/>
      <c r="F84" s="90"/>
      <c r="G84" s="90"/>
      <c r="H84" s="90"/>
      <c r="I84" s="91"/>
    </row>
    <row r="85" spans="2:30" ht="15.6" x14ac:dyDescent="0.3">
      <c r="B85" s="64" t="s">
        <v>0</v>
      </c>
      <c r="C85" s="8" t="s">
        <v>1</v>
      </c>
      <c r="D85" s="9" t="s">
        <v>27</v>
      </c>
      <c r="E85" s="9" t="s">
        <v>2</v>
      </c>
      <c r="F85" s="92" t="s">
        <v>28</v>
      </c>
      <c r="G85" s="93" t="s">
        <v>25</v>
      </c>
      <c r="H85" s="93" t="s">
        <v>26</v>
      </c>
      <c r="I85" s="15" t="s">
        <v>42</v>
      </c>
      <c r="X85" s="53" t="s">
        <v>38</v>
      </c>
      <c r="Y85" s="54"/>
      <c r="Z85" s="54"/>
      <c r="AA85" s="54"/>
      <c r="AB85" s="54"/>
      <c r="AC85" s="54"/>
      <c r="AD85" s="55"/>
    </row>
    <row r="86" spans="2:30" ht="15.6" x14ac:dyDescent="0.3">
      <c r="B86" s="68">
        <v>0</v>
      </c>
      <c r="C86" s="7">
        <v>2.3988999999999998</v>
      </c>
      <c r="D86" s="34">
        <f>$C86*0.6</f>
        <v>1.4393399999999998</v>
      </c>
      <c r="E86" s="34">
        <v>8.0259999999999998</v>
      </c>
      <c r="F86" s="6">
        <f>$E86/2</f>
        <v>4.0129999999999999</v>
      </c>
      <c r="G86" s="6">
        <f>F86/4</f>
        <v>1.00325</v>
      </c>
      <c r="H86" s="6">
        <f>G86/8</f>
        <v>0.12540625</v>
      </c>
      <c r="I86" s="15">
        <v>3.0640000000000001</v>
      </c>
      <c r="X86" s="25"/>
      <c r="Y86" s="95" t="s">
        <v>37</v>
      </c>
      <c r="Z86" s="96"/>
      <c r="AA86" s="97"/>
      <c r="AB86" s="99" t="s">
        <v>36</v>
      </c>
      <c r="AC86" s="100"/>
      <c r="AD86" s="103"/>
    </row>
    <row r="87" spans="2:30" ht="15.6" x14ac:dyDescent="0.3">
      <c r="B87" s="68">
        <v>1.5</v>
      </c>
      <c r="C87" s="7">
        <v>2.2000000000000002</v>
      </c>
      <c r="D87" s="34">
        <f>$C87*0.6</f>
        <v>1.32</v>
      </c>
      <c r="E87" s="34">
        <v>12.351000000000001</v>
      </c>
      <c r="F87" s="6">
        <f>$E87/2</f>
        <v>6.1755000000000004</v>
      </c>
      <c r="G87" s="6">
        <f>F87/4</f>
        <v>1.5438750000000001</v>
      </c>
      <c r="H87" s="6">
        <f t="shared" ref="H87:H88" si="22">G87/8</f>
        <v>0.19298437500000001</v>
      </c>
      <c r="I87" s="15">
        <v>6.0970000000000004</v>
      </c>
      <c r="X87" s="104" t="s">
        <v>0</v>
      </c>
      <c r="Y87" s="98" t="s">
        <v>35</v>
      </c>
      <c r="Z87" s="98" t="s">
        <v>30</v>
      </c>
      <c r="AA87" s="98" t="s">
        <v>42</v>
      </c>
      <c r="AB87" s="45" t="s">
        <v>42</v>
      </c>
      <c r="AC87" s="45" t="s">
        <v>35</v>
      </c>
      <c r="AD87" s="41" t="s">
        <v>30</v>
      </c>
    </row>
    <row r="88" spans="2:30" ht="16.2" thickBot="1" x14ac:dyDescent="0.35">
      <c r="B88" s="69">
        <v>3</v>
      </c>
      <c r="C88" s="35">
        <v>2.5</v>
      </c>
      <c r="D88" s="36">
        <f t="shared" ref="D88" si="23">$C88*0.6</f>
        <v>1.5</v>
      </c>
      <c r="E88" s="36">
        <v>13.351000000000001</v>
      </c>
      <c r="F88" s="37">
        <f t="shared" ref="F88" si="24">$E88/2</f>
        <v>6.6755000000000004</v>
      </c>
      <c r="G88" s="37">
        <f t="shared" ref="G88" si="25">F88/4</f>
        <v>1.6688750000000001</v>
      </c>
      <c r="H88" s="37">
        <f t="shared" si="22"/>
        <v>0.20860937500000001</v>
      </c>
      <c r="I88" s="16">
        <v>9.0920000000000005</v>
      </c>
      <c r="X88" s="104">
        <v>0</v>
      </c>
      <c r="Y88" s="98">
        <v>1.08</v>
      </c>
      <c r="Z88" s="98">
        <v>5</v>
      </c>
      <c r="AA88" s="111">
        <v>5.6260000000000003</v>
      </c>
      <c r="AB88" s="45">
        <v>3.0640000000000001</v>
      </c>
      <c r="AC88" s="45">
        <v>1.62</v>
      </c>
      <c r="AD88" s="41">
        <v>4.55</v>
      </c>
    </row>
    <row r="89" spans="2:30" ht="15.6" x14ac:dyDescent="0.3">
      <c r="X89" s="104">
        <v>1.5</v>
      </c>
      <c r="Y89" s="98">
        <v>1.4269499999999999</v>
      </c>
      <c r="Z89" s="98">
        <v>7.5</v>
      </c>
      <c r="AA89" s="111">
        <v>35.286000000000001</v>
      </c>
      <c r="AB89" s="45">
        <v>6.0970000000000004</v>
      </c>
      <c r="AC89" s="45">
        <v>1.32</v>
      </c>
      <c r="AD89" s="41">
        <v>6.1755000000000004</v>
      </c>
    </row>
    <row r="90" spans="2:30" ht="16.2" thickBot="1" x14ac:dyDescent="0.35">
      <c r="D90" s="14"/>
      <c r="E90" s="32"/>
      <c r="F90" s="14"/>
      <c r="X90" s="106">
        <v>3</v>
      </c>
      <c r="Y90" s="107">
        <v>1.1700000000000002</v>
      </c>
      <c r="Z90" s="107">
        <v>13</v>
      </c>
      <c r="AA90" s="112">
        <v>27.111999999999998</v>
      </c>
      <c r="AB90" s="108">
        <v>9.0920000000000005</v>
      </c>
      <c r="AC90" s="108">
        <v>1.5</v>
      </c>
      <c r="AD90" s="42">
        <v>6.6755000000000004</v>
      </c>
    </row>
    <row r="92" spans="2:30" ht="15" thickBot="1" x14ac:dyDescent="0.35"/>
    <row r="93" spans="2:30" x14ac:dyDescent="0.3">
      <c r="X93" s="53" t="s">
        <v>39</v>
      </c>
      <c r="Y93" s="54"/>
      <c r="Z93" s="54"/>
      <c r="AA93" s="54"/>
      <c r="AB93" s="54"/>
      <c r="AC93" s="54"/>
      <c r="AD93" s="55"/>
    </row>
    <row r="94" spans="2:30" x14ac:dyDescent="0.3">
      <c r="X94" s="25"/>
      <c r="Y94" s="113" t="s">
        <v>37</v>
      </c>
      <c r="Z94" s="113"/>
      <c r="AA94" s="113"/>
      <c r="AB94" s="114" t="s">
        <v>36</v>
      </c>
      <c r="AC94" s="114"/>
      <c r="AD94" s="116"/>
    </row>
    <row r="95" spans="2:30" x14ac:dyDescent="0.3">
      <c r="X95" s="104" t="s">
        <v>0</v>
      </c>
      <c r="Y95" s="115" t="s">
        <v>35</v>
      </c>
      <c r="Z95" s="115" t="s">
        <v>30</v>
      </c>
      <c r="AA95" s="98" t="s">
        <v>42</v>
      </c>
      <c r="AB95" s="45" t="s">
        <v>42</v>
      </c>
      <c r="AC95" s="44" t="s">
        <v>35</v>
      </c>
      <c r="AD95" s="43" t="s">
        <v>30</v>
      </c>
    </row>
    <row r="96" spans="2:30" x14ac:dyDescent="0.3">
      <c r="X96" s="104">
        <v>0</v>
      </c>
      <c r="Y96" s="98">
        <v>0.62214294220146249</v>
      </c>
      <c r="Z96" s="98">
        <v>1.9790133999999999</v>
      </c>
      <c r="AA96" s="98">
        <v>6.2329999999999997</v>
      </c>
      <c r="AB96" s="45">
        <v>4.0789999999999997</v>
      </c>
      <c r="AC96" s="45">
        <v>1.4239784623257572</v>
      </c>
      <c r="AD96" s="41">
        <v>2.8341404000000003</v>
      </c>
    </row>
    <row r="97" spans="7:30" x14ac:dyDescent="0.3">
      <c r="X97" s="104">
        <v>1.5</v>
      </c>
      <c r="Y97" s="98">
        <v>0.45031852554858842</v>
      </c>
      <c r="Z97" s="98">
        <v>2.2085134000000002</v>
      </c>
      <c r="AA97" s="98">
        <v>9.4550000000000001</v>
      </c>
      <c r="AB97" s="45">
        <v>7.5949999999999998</v>
      </c>
      <c r="AC97" s="45">
        <v>0.83874597395811834</v>
      </c>
      <c r="AD97" s="41">
        <v>3.1131404000000003</v>
      </c>
    </row>
    <row r="98" spans="7:30" ht="15" thickBot="1" x14ac:dyDescent="0.35">
      <c r="X98" s="106">
        <v>3</v>
      </c>
      <c r="Y98" s="107">
        <v>0.3528639928181514</v>
      </c>
      <c r="Z98" s="107">
        <v>2.4380134000000004</v>
      </c>
      <c r="AA98" s="117">
        <v>12.086</v>
      </c>
      <c r="AB98" s="108">
        <v>10.249000000000001</v>
      </c>
      <c r="AC98" s="108">
        <v>0.5944404204379925</v>
      </c>
      <c r="AD98" s="42">
        <v>3.3921404000000002</v>
      </c>
    </row>
    <row r="100" spans="7:30" ht="15" thickBot="1" x14ac:dyDescent="0.35"/>
    <row r="101" spans="7:30" x14ac:dyDescent="0.3">
      <c r="X101" s="120" t="s">
        <v>40</v>
      </c>
      <c r="Y101" s="125"/>
      <c r="Z101" s="125"/>
      <c r="AA101" s="125"/>
      <c r="AB101" s="125"/>
      <c r="AC101" s="125"/>
      <c r="AD101" s="121"/>
    </row>
    <row r="102" spans="7:30" x14ac:dyDescent="0.3">
      <c r="X102" s="40"/>
      <c r="Y102" s="124" t="s">
        <v>37</v>
      </c>
      <c r="Z102" s="124"/>
      <c r="AA102" s="124"/>
      <c r="AB102" s="62" t="s">
        <v>36</v>
      </c>
      <c r="AC102" s="62"/>
      <c r="AD102" s="126"/>
    </row>
    <row r="103" spans="7:30" x14ac:dyDescent="0.3">
      <c r="X103" s="122" t="s">
        <v>0</v>
      </c>
      <c r="Y103" s="115" t="s">
        <v>35</v>
      </c>
      <c r="Z103" s="115" t="s">
        <v>30</v>
      </c>
      <c r="AA103" s="115" t="s">
        <v>42</v>
      </c>
      <c r="AB103" s="44" t="s">
        <v>42</v>
      </c>
      <c r="AC103" s="44" t="s">
        <v>35</v>
      </c>
      <c r="AD103" s="43" t="s">
        <v>30</v>
      </c>
    </row>
    <row r="104" spans="7:30" x14ac:dyDescent="0.3">
      <c r="X104" s="122">
        <v>0</v>
      </c>
      <c r="Y104" s="98">
        <v>2.416042522348393</v>
      </c>
      <c r="Z104" s="98">
        <v>1.9467629999999996</v>
      </c>
      <c r="AA104" s="98">
        <v>6.202</v>
      </c>
      <c r="AB104" s="45">
        <v>4.6929999999999996</v>
      </c>
      <c r="AC104" s="45">
        <v>1.5607441628168304</v>
      </c>
      <c r="AD104" s="41">
        <v>2.2249500000000002</v>
      </c>
    </row>
    <row r="105" spans="7:30" x14ac:dyDescent="0.3">
      <c r="X105" s="122">
        <v>1.5</v>
      </c>
      <c r="Y105" s="98">
        <v>1.6465967838290585</v>
      </c>
      <c r="Z105" s="98">
        <v>2.1822629999999994</v>
      </c>
      <c r="AA105" s="98">
        <v>9.3490000000000002</v>
      </c>
      <c r="AB105" s="45">
        <v>7.5679999999999996</v>
      </c>
      <c r="AC105" s="45">
        <v>0.96295013541784702</v>
      </c>
      <c r="AD105" s="41">
        <v>2.82795</v>
      </c>
    </row>
    <row r="106" spans="7:30" ht="15" thickBot="1" x14ac:dyDescent="0.35">
      <c r="X106" s="127">
        <v>3</v>
      </c>
      <c r="Y106" s="107">
        <v>1.381456823985018</v>
      </c>
      <c r="Z106" s="107">
        <v>2.4177629999999999</v>
      </c>
      <c r="AA106" s="107">
        <v>8.1039999999999992</v>
      </c>
      <c r="AB106" s="108">
        <v>5.4770000000000003</v>
      </c>
      <c r="AC106" s="108">
        <v>0.78236104335254231</v>
      </c>
      <c r="AD106" s="42">
        <v>3.4309500000000002</v>
      </c>
    </row>
    <row r="107" spans="7:30" x14ac:dyDescent="0.3">
      <c r="G107" s="47" t="s">
        <v>9</v>
      </c>
      <c r="H107" s="48"/>
      <c r="I107" s="48"/>
      <c r="J107" s="49"/>
    </row>
    <row r="108" spans="7:30" x14ac:dyDescent="0.3">
      <c r="G108" s="25" t="s">
        <v>33</v>
      </c>
      <c r="H108" s="2">
        <v>0.91</v>
      </c>
      <c r="I108" s="2" t="s">
        <v>34</v>
      </c>
      <c r="J108" s="15">
        <v>0.25</v>
      </c>
    </row>
    <row r="109" spans="7:30" x14ac:dyDescent="0.3">
      <c r="G109" s="28" t="s">
        <v>14</v>
      </c>
      <c r="H109" s="29">
        <v>0</v>
      </c>
      <c r="I109" s="29">
        <v>1.5</v>
      </c>
      <c r="J109" s="30">
        <v>3</v>
      </c>
    </row>
    <row r="110" spans="7:30" x14ac:dyDescent="0.3">
      <c r="G110" s="25" t="s">
        <v>10</v>
      </c>
      <c r="H110" s="2">
        <f>5*$H$25+H$26</f>
        <v>4.55</v>
      </c>
      <c r="I110" s="2">
        <f>5*$H$25+I$26</f>
        <v>6.05</v>
      </c>
      <c r="J110" s="15">
        <f>5*$H$25+J$26</f>
        <v>7.55</v>
      </c>
    </row>
    <row r="111" spans="7:30" x14ac:dyDescent="0.3">
      <c r="G111" s="25" t="s">
        <v>11</v>
      </c>
      <c r="H111" s="2">
        <f>2.1*$H$25</f>
        <v>1.9110000000000003</v>
      </c>
      <c r="I111" s="2">
        <f t="shared" ref="I111:J111" si="26">2.1*$H$25</f>
        <v>1.9110000000000003</v>
      </c>
      <c r="J111" s="15">
        <f t="shared" si="26"/>
        <v>1.9110000000000003</v>
      </c>
    </row>
    <row r="112" spans="7:30" x14ac:dyDescent="0.3">
      <c r="G112" s="25" t="s">
        <v>12</v>
      </c>
      <c r="H112" s="2">
        <f>5.12*$H$25</f>
        <v>4.6592000000000002</v>
      </c>
      <c r="I112" s="2">
        <f t="shared" ref="I112:J112" si="27">5.12*$H$25</f>
        <v>4.6592000000000002</v>
      </c>
      <c r="J112" s="15">
        <f t="shared" si="27"/>
        <v>4.6592000000000002</v>
      </c>
    </row>
    <row r="113" spans="7:18" ht="15" thickBot="1" x14ac:dyDescent="0.35">
      <c r="G113" s="26" t="s">
        <v>15</v>
      </c>
      <c r="H113" s="27">
        <f>H111+H109</f>
        <v>1.9110000000000003</v>
      </c>
      <c r="I113" s="27">
        <f t="shared" ref="I113:J113" si="28">I111+I109</f>
        <v>3.4110000000000005</v>
      </c>
      <c r="J113" s="16">
        <f t="shared" si="28"/>
        <v>4.9110000000000005</v>
      </c>
    </row>
    <row r="114" spans="7:18" ht="15" thickBot="1" x14ac:dyDescent="0.35"/>
    <row r="115" spans="7:18" x14ac:dyDescent="0.3">
      <c r="G115" s="50" t="s">
        <v>18</v>
      </c>
      <c r="H115" s="51"/>
      <c r="I115" s="51"/>
      <c r="J115" s="52"/>
    </row>
    <row r="116" spans="7:18" x14ac:dyDescent="0.3">
      <c r="G116" s="25" t="s">
        <v>16</v>
      </c>
      <c r="H116" s="2">
        <f>0.186*(H113/H112)+0.532</f>
        <v>0.60828906250000003</v>
      </c>
      <c r="I116" s="2">
        <f t="shared" ref="I116" si="29">0.186*(I113/I112)+0.532</f>
        <v>0.66817058722527478</v>
      </c>
      <c r="J116" s="2">
        <f>0.186*(J113/J112)+0.532</f>
        <v>0.72805211195054942</v>
      </c>
    </row>
    <row r="117" spans="7:18" ht="15" thickBot="1" x14ac:dyDescent="0.35">
      <c r="G117" s="31" t="s">
        <v>17</v>
      </c>
      <c r="H117" s="27">
        <f>1.522*(H113/H112)+0.078</f>
        <v>0.70225781250000008</v>
      </c>
      <c r="I117" s="27">
        <f t="shared" ref="I117:J117" si="30">1.522*(I113/I112)+0.078</f>
        <v>1.1922560954670332</v>
      </c>
      <c r="J117" s="27">
        <f t="shared" si="30"/>
        <v>1.682254378434066</v>
      </c>
    </row>
    <row r="118" spans="7:18" ht="15" thickBot="1" x14ac:dyDescent="0.35"/>
    <row r="119" spans="7:18" x14ac:dyDescent="0.3">
      <c r="G119" s="39" t="s">
        <v>30</v>
      </c>
      <c r="H119" s="23">
        <f>H112*H116</f>
        <v>2.8341404000000003</v>
      </c>
      <c r="I119" s="23">
        <f t="shared" ref="I119:J119" si="31">I112*I116</f>
        <v>3.1131404000000003</v>
      </c>
      <c r="J119" s="24">
        <f t="shared" si="31"/>
        <v>3.3921404000000002</v>
      </c>
    </row>
    <row r="120" spans="7:18" x14ac:dyDescent="0.3">
      <c r="G120" s="40" t="s">
        <v>31</v>
      </c>
      <c r="H120" s="2">
        <f>$J$108*H119</f>
        <v>0.70853510000000008</v>
      </c>
      <c r="I120" s="2">
        <f>$J$108*I119</f>
        <v>0.77828510000000006</v>
      </c>
      <c r="J120" s="15">
        <f t="shared" ref="J120" si="32">$J$108*J119</f>
        <v>0.84803510000000004</v>
      </c>
      <c r="L120" s="109"/>
      <c r="M120" s="109"/>
      <c r="N120" s="109"/>
      <c r="O120" s="109"/>
      <c r="P120" s="109"/>
      <c r="Q120" s="21"/>
      <c r="R120" s="46"/>
    </row>
    <row r="121" spans="7:18" ht="15" thickBot="1" x14ac:dyDescent="0.35">
      <c r="G121" s="26" t="s">
        <v>32</v>
      </c>
      <c r="H121" s="27">
        <f>H120/8</f>
        <v>8.8566887500000011E-2</v>
      </c>
      <c r="I121" s="27">
        <f t="shared" ref="I121:J121" si="33">I120/8</f>
        <v>9.7285637500000008E-2</v>
      </c>
      <c r="J121" s="16">
        <f t="shared" si="33"/>
        <v>0.10600438750000001</v>
      </c>
      <c r="L121" s="21"/>
      <c r="M121" s="118"/>
      <c r="N121" s="118"/>
      <c r="O121" s="118"/>
      <c r="P121" s="118"/>
      <c r="Q121" s="118"/>
      <c r="R121" s="118"/>
    </row>
    <row r="122" spans="7:18" x14ac:dyDescent="0.3">
      <c r="L122" s="110"/>
      <c r="M122" s="110"/>
      <c r="N122" s="110"/>
      <c r="O122" s="46"/>
      <c r="P122" s="46"/>
      <c r="Q122" s="110"/>
      <c r="R122" s="110"/>
    </row>
    <row r="123" spans="7:18" ht="15" thickBot="1" x14ac:dyDescent="0.35">
      <c r="G123" s="21" t="s">
        <v>21</v>
      </c>
      <c r="L123" s="110"/>
      <c r="M123" s="21"/>
      <c r="N123" s="21"/>
      <c r="O123" s="46"/>
      <c r="P123" s="46"/>
      <c r="Q123" s="21"/>
      <c r="R123" s="21"/>
    </row>
    <row r="124" spans="7:18" x14ac:dyDescent="0.3">
      <c r="G124" s="22" t="s">
        <v>19</v>
      </c>
      <c r="H124" s="23">
        <f>1/H117</f>
        <v>1.4239784623257572</v>
      </c>
      <c r="I124" s="23">
        <f t="shared" ref="I124:J124" si="34">1/I117</f>
        <v>0.83874597395811834</v>
      </c>
      <c r="J124" s="24">
        <f t="shared" si="34"/>
        <v>0.5944404204379925</v>
      </c>
      <c r="L124" s="110"/>
      <c r="M124" s="21"/>
      <c r="N124" s="21"/>
      <c r="O124" s="46"/>
      <c r="P124" s="46"/>
      <c r="Q124" s="21"/>
      <c r="R124" s="21"/>
    </row>
    <row r="125" spans="7:18" x14ac:dyDescent="0.3">
      <c r="G125" s="25" t="s">
        <v>20</v>
      </c>
      <c r="H125" s="2">
        <f>H112*H116</f>
        <v>2.8341404000000003</v>
      </c>
      <c r="I125" s="2">
        <f t="shared" ref="I125:J125" si="35">I112*I116</f>
        <v>3.1131404000000003</v>
      </c>
      <c r="J125" s="15">
        <f t="shared" si="35"/>
        <v>3.3921404000000002</v>
      </c>
      <c r="L125" s="110"/>
      <c r="M125" s="21"/>
      <c r="N125" s="21"/>
      <c r="O125" s="119"/>
      <c r="P125" s="46"/>
      <c r="Q125" s="21"/>
      <c r="R125" s="21"/>
    </row>
    <row r="126" spans="7:18" x14ac:dyDescent="0.3">
      <c r="G126" s="40" t="s">
        <v>42</v>
      </c>
      <c r="H126" s="2">
        <v>4.0789999999999997</v>
      </c>
      <c r="I126" s="2">
        <v>7.5949999999999998</v>
      </c>
      <c r="J126" s="15">
        <v>10.249000000000001</v>
      </c>
      <c r="L126" s="21"/>
      <c r="M126" s="21"/>
      <c r="N126" s="21"/>
      <c r="O126" s="21"/>
      <c r="P126" s="21"/>
      <c r="Q126" s="21"/>
      <c r="R126" s="46"/>
    </row>
    <row r="127" spans="7:18" ht="15" thickBot="1" x14ac:dyDescent="0.35">
      <c r="G127" s="78" t="s">
        <v>14</v>
      </c>
      <c r="H127" s="79">
        <v>0</v>
      </c>
      <c r="I127" s="79">
        <v>1.5</v>
      </c>
      <c r="J127" s="80">
        <v>3</v>
      </c>
      <c r="L127" s="46"/>
      <c r="M127" s="46"/>
      <c r="N127" s="46"/>
      <c r="O127" s="46"/>
      <c r="P127" s="46"/>
      <c r="Q127" s="46"/>
      <c r="R127" s="46"/>
    </row>
    <row r="128" spans="7:18" x14ac:dyDescent="0.3">
      <c r="L128" s="46"/>
      <c r="M128" s="46"/>
      <c r="N128" s="46"/>
      <c r="O128" s="46"/>
      <c r="P128" s="46"/>
      <c r="Q128" s="46"/>
      <c r="R128" s="46"/>
    </row>
    <row r="132" spans="7:18" ht="15" thickBot="1" x14ac:dyDescent="0.35"/>
    <row r="133" spans="7:18" x14ac:dyDescent="0.3">
      <c r="G133" s="47" t="s">
        <v>9</v>
      </c>
      <c r="H133" s="48"/>
      <c r="I133" s="48"/>
      <c r="J133" s="49"/>
    </row>
    <row r="134" spans="7:18" x14ac:dyDescent="0.3">
      <c r="G134" s="25" t="s">
        <v>33</v>
      </c>
      <c r="H134" s="2">
        <v>0.91</v>
      </c>
      <c r="I134" s="2" t="s">
        <v>34</v>
      </c>
      <c r="J134" s="15">
        <v>0.4</v>
      </c>
    </row>
    <row r="135" spans="7:18" x14ac:dyDescent="0.3">
      <c r="G135" s="28" t="s">
        <v>14</v>
      </c>
      <c r="H135" s="29">
        <v>0</v>
      </c>
      <c r="I135" s="29">
        <v>1.5</v>
      </c>
      <c r="J135" s="30">
        <v>3</v>
      </c>
    </row>
    <row r="136" spans="7:18" x14ac:dyDescent="0.3">
      <c r="G136" s="25" t="s">
        <v>10</v>
      </c>
      <c r="H136" s="2">
        <f>5*$H$25+H$26</f>
        <v>4.55</v>
      </c>
      <c r="I136" s="2">
        <f>5*$H$25+I$26</f>
        <v>6.05</v>
      </c>
      <c r="J136" s="15">
        <f>5*$H$25+J$26</f>
        <v>7.55</v>
      </c>
    </row>
    <row r="137" spans="7:18" x14ac:dyDescent="0.3">
      <c r="G137" s="25" t="s">
        <v>11</v>
      </c>
      <c r="H137" s="2">
        <f>2.1*$H$25</f>
        <v>1.9110000000000003</v>
      </c>
      <c r="I137" s="2">
        <f t="shared" ref="I137:J137" si="36">2.1*$H$25</f>
        <v>1.9110000000000003</v>
      </c>
      <c r="J137" s="15">
        <f t="shared" si="36"/>
        <v>1.9110000000000003</v>
      </c>
    </row>
    <row r="138" spans="7:18" x14ac:dyDescent="0.3">
      <c r="G138" s="25" t="s">
        <v>12</v>
      </c>
      <c r="H138" s="2">
        <f>5.12*$H$25</f>
        <v>4.6592000000000002</v>
      </c>
      <c r="I138" s="2">
        <f t="shared" ref="I138:J138" si="37">5.12*$H$25</f>
        <v>4.6592000000000002</v>
      </c>
      <c r="J138" s="15">
        <f t="shared" si="37"/>
        <v>4.6592000000000002</v>
      </c>
    </row>
    <row r="139" spans="7:18" ht="15" thickBot="1" x14ac:dyDescent="0.35">
      <c r="G139" s="26" t="s">
        <v>15</v>
      </c>
      <c r="H139" s="27">
        <f>H137+H135</f>
        <v>1.9110000000000003</v>
      </c>
      <c r="I139" s="27">
        <f t="shared" ref="I139:J139" si="38">I137+I135</f>
        <v>3.4110000000000005</v>
      </c>
      <c r="J139" s="16">
        <f t="shared" si="38"/>
        <v>4.9110000000000005</v>
      </c>
    </row>
    <row r="140" spans="7:18" ht="15" thickBot="1" x14ac:dyDescent="0.35"/>
    <row r="141" spans="7:18" x14ac:dyDescent="0.3">
      <c r="G141" s="50" t="s">
        <v>22</v>
      </c>
      <c r="H141" s="51"/>
      <c r="I141" s="51"/>
      <c r="J141" s="52"/>
    </row>
    <row r="142" spans="7:18" x14ac:dyDescent="0.3">
      <c r="G142" s="25" t="s">
        <v>16</v>
      </c>
      <c r="H142" s="2">
        <f>-0.15*(H139/H136)+0.552</f>
        <v>0.48900000000000005</v>
      </c>
      <c r="I142" s="2">
        <f t="shared" ref="I142:J142" si="39">-0.15*(I139/I136)+0.552</f>
        <v>0.4674297520661157</v>
      </c>
      <c r="J142" s="15">
        <f t="shared" si="39"/>
        <v>0.45443046357615896</v>
      </c>
    </row>
    <row r="143" spans="7:18" ht="15" thickBot="1" x14ac:dyDescent="0.35">
      <c r="G143" s="31" t="s">
        <v>17</v>
      </c>
      <c r="H143" s="27">
        <f>2.766*(H139/H136)-0.521</f>
        <v>0.64072000000000029</v>
      </c>
      <c r="I143" s="27">
        <f t="shared" ref="I143:J143" si="40">2.766*(I139/I136)-0.521</f>
        <v>1.0384753719008266</v>
      </c>
      <c r="J143" s="16">
        <f t="shared" si="40"/>
        <v>1.2781822516556294</v>
      </c>
    </row>
    <row r="144" spans="7:18" ht="15" thickBot="1" x14ac:dyDescent="0.35">
      <c r="M144" s="109"/>
      <c r="N144" s="109"/>
      <c r="O144" s="109"/>
      <c r="P144" s="109"/>
      <c r="Q144" s="109"/>
      <c r="R144" s="21"/>
    </row>
    <row r="145" spans="7:20" x14ac:dyDescent="0.3">
      <c r="G145" s="39" t="s">
        <v>30</v>
      </c>
      <c r="H145" s="23">
        <f>H142*H136</f>
        <v>2.2249500000000002</v>
      </c>
      <c r="I145" s="23">
        <f t="shared" ref="I145:J145" si="41">I142*I136</f>
        <v>2.82795</v>
      </c>
      <c r="J145" s="24">
        <f t="shared" si="41"/>
        <v>3.4309500000000002</v>
      </c>
      <c r="M145" s="21"/>
      <c r="N145" s="109"/>
      <c r="O145" s="109"/>
      <c r="R145" s="109"/>
      <c r="S145" s="109"/>
    </row>
    <row r="146" spans="7:20" x14ac:dyDescent="0.3">
      <c r="G146" s="40" t="s">
        <v>31</v>
      </c>
      <c r="H146" s="2">
        <f>$J$134*H145</f>
        <v>0.8899800000000001</v>
      </c>
      <c r="I146" s="2">
        <f t="shared" ref="I146:J146" si="42">$J$134*I145</f>
        <v>1.1311800000000001</v>
      </c>
      <c r="J146" s="15">
        <f t="shared" si="42"/>
        <v>1.3723800000000002</v>
      </c>
      <c r="M146" s="110"/>
      <c r="N146" s="110"/>
      <c r="O146" s="110"/>
      <c r="P146" s="110"/>
      <c r="Q146" s="110"/>
      <c r="R146" s="110"/>
      <c r="S146" s="110"/>
    </row>
    <row r="147" spans="7:20" ht="15" thickBot="1" x14ac:dyDescent="0.35">
      <c r="G147" s="26" t="s">
        <v>32</v>
      </c>
      <c r="H147" s="27">
        <f>H146/8</f>
        <v>0.11124750000000001</v>
      </c>
      <c r="I147" s="27">
        <f t="shared" ref="I147:J147" si="43">I146/8</f>
        <v>0.14139750000000001</v>
      </c>
      <c r="J147" s="16">
        <f t="shared" si="43"/>
        <v>0.17154750000000002</v>
      </c>
      <c r="M147" s="110"/>
      <c r="N147" s="21"/>
      <c r="O147" s="21"/>
      <c r="R147" s="21"/>
      <c r="S147" s="21"/>
    </row>
    <row r="148" spans="7:20" x14ac:dyDescent="0.3">
      <c r="M148" s="110"/>
      <c r="N148" s="21"/>
      <c r="O148" s="21"/>
      <c r="R148" s="21"/>
      <c r="S148" s="21"/>
    </row>
    <row r="149" spans="7:20" ht="15" thickBot="1" x14ac:dyDescent="0.35">
      <c r="G149" s="21" t="s">
        <v>21</v>
      </c>
      <c r="M149" s="110"/>
      <c r="N149" s="21"/>
      <c r="O149" s="21"/>
      <c r="R149" s="21"/>
      <c r="S149" s="21"/>
    </row>
    <row r="150" spans="7:20" x14ac:dyDescent="0.3">
      <c r="G150" s="22" t="s">
        <v>19</v>
      </c>
      <c r="H150" s="23">
        <f>1/H143</f>
        <v>1.5607441628168304</v>
      </c>
      <c r="I150" s="23">
        <f t="shared" ref="I150:J150" si="44">1/I143</f>
        <v>0.96295013541784702</v>
      </c>
      <c r="J150" s="24">
        <f t="shared" si="44"/>
        <v>0.78236104335254231</v>
      </c>
    </row>
    <row r="151" spans="7:20" x14ac:dyDescent="0.3">
      <c r="G151" s="25" t="s">
        <v>20</v>
      </c>
      <c r="H151" s="2">
        <f>H142*H136</f>
        <v>2.2249500000000002</v>
      </c>
      <c r="I151" s="2">
        <f t="shared" ref="I151:J151" si="45">I142*I136</f>
        <v>2.82795</v>
      </c>
      <c r="J151" s="15">
        <f t="shared" si="45"/>
        <v>3.4309500000000002</v>
      </c>
    </row>
    <row r="152" spans="7:20" x14ac:dyDescent="0.3">
      <c r="G152" s="40" t="s">
        <v>42</v>
      </c>
      <c r="H152" s="2">
        <v>4.6929999999999996</v>
      </c>
      <c r="I152" s="2">
        <v>7.5679999999999996</v>
      </c>
      <c r="J152" s="15">
        <v>5.4770000000000003</v>
      </c>
    </row>
    <row r="153" spans="7:20" ht="15" thickBot="1" x14ac:dyDescent="0.35">
      <c r="G153" s="78" t="s">
        <v>14</v>
      </c>
      <c r="H153" s="79">
        <v>0</v>
      </c>
      <c r="I153" s="79">
        <v>1.5</v>
      </c>
      <c r="J153" s="80">
        <v>3</v>
      </c>
    </row>
    <row r="155" spans="7:20" x14ac:dyDescent="0.3"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7:20" x14ac:dyDescent="0.3">
      <c r="L156" s="21"/>
      <c r="M156" s="21"/>
      <c r="N156" s="21"/>
      <c r="O156" s="21"/>
      <c r="P156" s="21"/>
      <c r="Q156" s="21"/>
      <c r="R156" s="21"/>
      <c r="S156" s="21"/>
      <c r="T156" s="21"/>
    </row>
    <row r="161" spans="13:19" ht="15" thickBot="1" x14ac:dyDescent="0.35"/>
    <row r="162" spans="13:19" x14ac:dyDescent="0.3">
      <c r="M162" s="53" t="s">
        <v>41</v>
      </c>
      <c r="N162" s="54"/>
      <c r="O162" s="54"/>
      <c r="P162" s="54"/>
      <c r="Q162" s="54"/>
      <c r="R162" s="54"/>
      <c r="S162" s="55"/>
    </row>
    <row r="163" spans="13:19" x14ac:dyDescent="0.3">
      <c r="M163" s="25"/>
      <c r="N163" s="95" t="s">
        <v>37</v>
      </c>
      <c r="O163" s="96"/>
      <c r="P163" s="97"/>
      <c r="Q163" s="99" t="s">
        <v>36</v>
      </c>
      <c r="R163" s="100"/>
      <c r="S163" s="103"/>
    </row>
    <row r="164" spans="13:19" x14ac:dyDescent="0.3">
      <c r="M164" s="104" t="s">
        <v>0</v>
      </c>
      <c r="N164" s="101" t="s">
        <v>35</v>
      </c>
      <c r="O164" s="101" t="s">
        <v>30</v>
      </c>
      <c r="P164" s="101" t="s">
        <v>42</v>
      </c>
      <c r="Q164" s="102" t="s">
        <v>42</v>
      </c>
      <c r="R164" s="102" t="s">
        <v>35</v>
      </c>
      <c r="S164" s="105" t="s">
        <v>30</v>
      </c>
    </row>
    <row r="165" spans="13:19" x14ac:dyDescent="0.3">
      <c r="M165" s="104">
        <v>0</v>
      </c>
      <c r="N165" s="98">
        <v>1.169505</v>
      </c>
      <c r="O165" s="98">
        <v>6.8833333333333337</v>
      </c>
      <c r="P165" s="98">
        <v>5.9980000000000002</v>
      </c>
      <c r="Q165" s="45">
        <v>3.1859999999999999</v>
      </c>
      <c r="R165" s="45">
        <v>1.5593399999999999</v>
      </c>
      <c r="S165" s="41">
        <v>4.13</v>
      </c>
    </row>
    <row r="166" spans="13:19" x14ac:dyDescent="0.3">
      <c r="M166" s="104">
        <v>1.5</v>
      </c>
      <c r="N166" s="98">
        <v>1.51695</v>
      </c>
      <c r="O166" s="98">
        <v>9.7391666666666659</v>
      </c>
      <c r="P166" s="98">
        <v>40.198</v>
      </c>
      <c r="Q166" s="45">
        <v>7.5119999999999996</v>
      </c>
      <c r="R166" s="45">
        <v>2.0225999999999997</v>
      </c>
      <c r="S166" s="41">
        <v>5.8434999999999997</v>
      </c>
    </row>
    <row r="167" spans="13:19" ht="15" thickBot="1" x14ac:dyDescent="0.35">
      <c r="M167" s="106">
        <v>3</v>
      </c>
      <c r="N167" s="107">
        <v>1.26</v>
      </c>
      <c r="O167" s="107">
        <v>12.7925</v>
      </c>
      <c r="P167" s="107">
        <v>54.25</v>
      </c>
      <c r="Q167" s="108">
        <v>22.614000000000001</v>
      </c>
      <c r="R167" s="108">
        <v>1.68</v>
      </c>
      <c r="S167" s="42">
        <v>7.6755000000000004</v>
      </c>
    </row>
    <row r="169" spans="13:19" ht="15" thickBot="1" x14ac:dyDescent="0.35"/>
    <row r="170" spans="13:19" x14ac:dyDescent="0.3">
      <c r="M170" s="53" t="s">
        <v>38</v>
      </c>
      <c r="N170" s="54"/>
      <c r="O170" s="54"/>
      <c r="P170" s="54"/>
      <c r="Q170" s="54"/>
      <c r="R170" s="54"/>
      <c r="S170" s="55"/>
    </row>
    <row r="171" spans="13:19" x14ac:dyDescent="0.3">
      <c r="M171" s="25"/>
      <c r="N171" s="95" t="s">
        <v>37</v>
      </c>
      <c r="O171" s="96"/>
      <c r="P171" s="97"/>
      <c r="Q171" s="99" t="s">
        <v>36</v>
      </c>
      <c r="R171" s="100"/>
      <c r="S171" s="103"/>
    </row>
    <row r="172" spans="13:19" x14ac:dyDescent="0.3">
      <c r="M172" s="104" t="s">
        <v>0</v>
      </c>
      <c r="N172" s="98" t="s">
        <v>35</v>
      </c>
      <c r="O172" s="98" t="s">
        <v>30</v>
      </c>
      <c r="P172" s="98" t="s">
        <v>42</v>
      </c>
      <c r="Q172" s="45" t="s">
        <v>42</v>
      </c>
      <c r="R172" s="45" t="s">
        <v>35</v>
      </c>
      <c r="S172" s="41" t="s">
        <v>30</v>
      </c>
    </row>
    <row r="173" spans="13:19" ht="15.6" x14ac:dyDescent="0.3">
      <c r="M173" s="104">
        <v>0</v>
      </c>
      <c r="N173" s="98">
        <v>1.08</v>
      </c>
      <c r="O173" s="98">
        <v>5</v>
      </c>
      <c r="P173" s="111">
        <v>5.6260000000000003</v>
      </c>
      <c r="Q173" s="45">
        <v>3.0640000000000001</v>
      </c>
      <c r="R173" s="45">
        <v>1.62</v>
      </c>
      <c r="S173" s="41">
        <v>4.55</v>
      </c>
    </row>
    <row r="174" spans="13:19" ht="15.6" x14ac:dyDescent="0.3">
      <c r="M174" s="104">
        <v>1.5</v>
      </c>
      <c r="N174" s="98">
        <v>1.4269499999999999</v>
      </c>
      <c r="O174" s="98">
        <v>7.5</v>
      </c>
      <c r="P174" s="111">
        <v>35.286000000000001</v>
      </c>
      <c r="Q174" s="45">
        <v>6.0970000000000004</v>
      </c>
      <c r="R174" s="45">
        <v>1.32</v>
      </c>
      <c r="S174" s="41">
        <v>6.1755000000000004</v>
      </c>
    </row>
    <row r="175" spans="13:19" ht="16.2" thickBot="1" x14ac:dyDescent="0.35">
      <c r="M175" s="106">
        <v>3</v>
      </c>
      <c r="N175" s="107">
        <v>1.1700000000000002</v>
      </c>
      <c r="O175" s="107">
        <v>13</v>
      </c>
      <c r="P175" s="112">
        <v>27.111999999999998</v>
      </c>
      <c r="Q175" s="108">
        <v>9.0920000000000005</v>
      </c>
      <c r="R175" s="108">
        <v>1.5</v>
      </c>
      <c r="S175" s="42">
        <v>6.6755000000000004</v>
      </c>
    </row>
    <row r="177" spans="13:19" ht="15" thickBot="1" x14ac:dyDescent="0.35"/>
    <row r="178" spans="13:19" x14ac:dyDescent="0.3">
      <c r="M178" s="53" t="s">
        <v>39</v>
      </c>
      <c r="N178" s="54"/>
      <c r="O178" s="54"/>
      <c r="P178" s="54"/>
      <c r="Q178" s="54"/>
      <c r="R178" s="54"/>
      <c r="S178" s="55"/>
    </row>
    <row r="179" spans="13:19" x14ac:dyDescent="0.3">
      <c r="M179" s="25"/>
      <c r="N179" s="113" t="s">
        <v>37</v>
      </c>
      <c r="O179" s="113"/>
      <c r="P179" s="113"/>
      <c r="Q179" s="114" t="s">
        <v>36</v>
      </c>
      <c r="R179" s="114"/>
      <c r="S179" s="116"/>
    </row>
    <row r="180" spans="13:19" x14ac:dyDescent="0.3">
      <c r="M180" s="104" t="s">
        <v>0</v>
      </c>
      <c r="N180" s="115" t="s">
        <v>35</v>
      </c>
      <c r="O180" s="115" t="s">
        <v>30</v>
      </c>
      <c r="P180" s="98" t="s">
        <v>42</v>
      </c>
      <c r="Q180" s="45" t="s">
        <v>42</v>
      </c>
      <c r="R180" s="44" t="s">
        <v>35</v>
      </c>
      <c r="S180" s="43" t="s">
        <v>30</v>
      </c>
    </row>
    <row r="181" spans="13:19" x14ac:dyDescent="0.3">
      <c r="M181" s="104">
        <v>0</v>
      </c>
      <c r="N181" s="98">
        <v>0.62214294220146249</v>
      </c>
      <c r="O181" s="98">
        <v>1.9790133999999999</v>
      </c>
      <c r="P181" s="98">
        <v>6.2329999999999997</v>
      </c>
      <c r="Q181" s="45">
        <v>4.0789999999999997</v>
      </c>
      <c r="R181" s="45">
        <v>1.4239784623257572</v>
      </c>
      <c r="S181" s="41">
        <v>2.8341404000000003</v>
      </c>
    </row>
    <row r="182" spans="13:19" x14ac:dyDescent="0.3">
      <c r="M182" s="104">
        <v>1.5</v>
      </c>
      <c r="N182" s="98">
        <v>0.45031852554858842</v>
      </c>
      <c r="O182" s="98">
        <v>2.2085134000000002</v>
      </c>
      <c r="P182" s="98">
        <v>9.4550000000000001</v>
      </c>
      <c r="Q182" s="45">
        <v>7.5949999999999998</v>
      </c>
      <c r="R182" s="45">
        <v>0.83874597395811834</v>
      </c>
      <c r="S182" s="41">
        <v>3.1131404000000003</v>
      </c>
    </row>
    <row r="183" spans="13:19" ht="15" thickBot="1" x14ac:dyDescent="0.35">
      <c r="M183" s="106">
        <v>3</v>
      </c>
      <c r="N183" s="107">
        <v>0.3528639928181514</v>
      </c>
      <c r="O183" s="107">
        <v>2.4380134000000004</v>
      </c>
      <c r="P183" s="117">
        <v>12.086</v>
      </c>
      <c r="Q183" s="108">
        <v>10.249000000000001</v>
      </c>
      <c r="R183" s="108">
        <v>0.5944404204379925</v>
      </c>
      <c r="S183" s="42">
        <v>3.3921404000000002</v>
      </c>
    </row>
    <row r="185" spans="13:19" ht="15" thickBot="1" x14ac:dyDescent="0.35"/>
    <row r="186" spans="13:19" x14ac:dyDescent="0.3">
      <c r="M186" s="120" t="s">
        <v>40</v>
      </c>
      <c r="N186" s="125"/>
      <c r="O186" s="125"/>
      <c r="P186" s="125"/>
      <c r="Q186" s="125"/>
      <c r="R186" s="125"/>
      <c r="S186" s="121"/>
    </row>
    <row r="187" spans="13:19" x14ac:dyDescent="0.3">
      <c r="M187" s="40"/>
      <c r="N187" s="124" t="s">
        <v>37</v>
      </c>
      <c r="O187" s="124"/>
      <c r="P187" s="124"/>
      <c r="Q187" s="62" t="s">
        <v>36</v>
      </c>
      <c r="R187" s="62"/>
      <c r="S187" s="126"/>
    </row>
    <row r="188" spans="13:19" x14ac:dyDescent="0.3">
      <c r="M188" s="122" t="s">
        <v>0</v>
      </c>
      <c r="N188" s="115" t="s">
        <v>35</v>
      </c>
      <c r="O188" s="115" t="s">
        <v>30</v>
      </c>
      <c r="P188" s="115" t="s">
        <v>42</v>
      </c>
      <c r="Q188" s="44" t="s">
        <v>42</v>
      </c>
      <c r="R188" s="44" t="s">
        <v>35</v>
      </c>
      <c r="S188" s="43" t="s">
        <v>30</v>
      </c>
    </row>
    <row r="189" spans="13:19" x14ac:dyDescent="0.3">
      <c r="M189" s="122">
        <v>0</v>
      </c>
      <c r="N189" s="98">
        <v>2.416042522348393</v>
      </c>
      <c r="O189" s="98">
        <v>1.9467629999999996</v>
      </c>
      <c r="P189" s="98">
        <v>6.202</v>
      </c>
      <c r="Q189" s="45">
        <v>4.6929999999999996</v>
      </c>
      <c r="R189" s="45">
        <v>1.5607441628168304</v>
      </c>
      <c r="S189" s="41">
        <v>2.2249500000000002</v>
      </c>
    </row>
    <row r="190" spans="13:19" x14ac:dyDescent="0.3">
      <c r="M190" s="122">
        <v>1.5</v>
      </c>
      <c r="N190" s="98">
        <v>1.6465967838290585</v>
      </c>
      <c r="O190" s="98">
        <v>2.1822629999999994</v>
      </c>
      <c r="P190" s="98">
        <v>9.3490000000000002</v>
      </c>
      <c r="Q190" s="45">
        <v>7.5679999999999996</v>
      </c>
      <c r="R190" s="45">
        <v>0.96295013541784702</v>
      </c>
      <c r="S190" s="41">
        <v>2.82795</v>
      </c>
    </row>
    <row r="191" spans="13:19" ht="15" thickBot="1" x14ac:dyDescent="0.35">
      <c r="M191" s="127">
        <v>3</v>
      </c>
      <c r="N191" s="107">
        <v>1.381456823985018</v>
      </c>
      <c r="O191" s="107">
        <v>2.4177629999999999</v>
      </c>
      <c r="P191" s="107">
        <v>8.1039999999999992</v>
      </c>
      <c r="Q191" s="108">
        <v>5.4770000000000003</v>
      </c>
      <c r="R191" s="108">
        <v>0.78236104335254231</v>
      </c>
      <c r="S191" s="42">
        <v>3.4309500000000002</v>
      </c>
    </row>
  </sheetData>
  <mergeCells count="50">
    <mergeCell ref="M186:S186"/>
    <mergeCell ref="N187:P187"/>
    <mergeCell ref="Q187:S187"/>
    <mergeCell ref="M170:S170"/>
    <mergeCell ref="N171:P171"/>
    <mergeCell ref="Q171:S171"/>
    <mergeCell ref="M178:S178"/>
    <mergeCell ref="N179:P179"/>
    <mergeCell ref="Q179:S179"/>
    <mergeCell ref="M144:Q144"/>
    <mergeCell ref="N145:O145"/>
    <mergeCell ref="R145:S145"/>
    <mergeCell ref="X101:AD101"/>
    <mergeCell ref="Y102:AA102"/>
    <mergeCell ref="AB102:AD102"/>
    <mergeCell ref="L120:P120"/>
    <mergeCell ref="M121:O121"/>
    <mergeCell ref="P121:R121"/>
    <mergeCell ref="Y94:AA94"/>
    <mergeCell ref="AB94:AD94"/>
    <mergeCell ref="X93:AD93"/>
    <mergeCell ref="Y86:AA86"/>
    <mergeCell ref="AB86:AD86"/>
    <mergeCell ref="M32:Q32"/>
    <mergeCell ref="N33:P33"/>
    <mergeCell ref="Q33:S33"/>
    <mergeCell ref="M54:Q54"/>
    <mergeCell ref="N55:O55"/>
    <mergeCell ref="R55:S55"/>
    <mergeCell ref="X77:AD77"/>
    <mergeCell ref="Y78:AA78"/>
    <mergeCell ref="AB78:AD78"/>
    <mergeCell ref="X85:AD85"/>
    <mergeCell ref="M162:S162"/>
    <mergeCell ref="N163:P163"/>
    <mergeCell ref="Q163:S163"/>
    <mergeCell ref="B69:E69"/>
    <mergeCell ref="B2:E2"/>
    <mergeCell ref="G32:J32"/>
    <mergeCell ref="G24:J24"/>
    <mergeCell ref="B9:G9"/>
    <mergeCell ref="B16:G16"/>
    <mergeCell ref="B76:I76"/>
    <mergeCell ref="B84:I84"/>
    <mergeCell ref="G107:J107"/>
    <mergeCell ref="G115:J115"/>
    <mergeCell ref="G133:J133"/>
    <mergeCell ref="G141:J141"/>
    <mergeCell ref="G47:J47"/>
    <mergeCell ref="G55:J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1" workbookViewId="0">
      <selection activeCell="H61" sqref="H61"/>
    </sheetView>
  </sheetViews>
  <sheetFormatPr defaultRowHeight="14.4" x14ac:dyDescent="0.3"/>
  <sheetData>
    <row r="1" spans="2:8" ht="15" thickBot="1" x14ac:dyDescent="0.35"/>
    <row r="2" spans="2:8" x14ac:dyDescent="0.3">
      <c r="B2" s="53" t="s">
        <v>41</v>
      </c>
      <c r="C2" s="54"/>
      <c r="D2" s="54"/>
      <c r="E2" s="54"/>
      <c r="F2" s="54"/>
      <c r="G2" s="54"/>
      <c r="H2" s="55"/>
    </row>
    <row r="3" spans="2:8" x14ac:dyDescent="0.3">
      <c r="B3" s="25"/>
      <c r="C3" s="95" t="s">
        <v>37</v>
      </c>
      <c r="D3" s="96"/>
      <c r="E3" s="97"/>
      <c r="F3" s="99" t="s">
        <v>36</v>
      </c>
      <c r="G3" s="100"/>
      <c r="H3" s="103"/>
    </row>
    <row r="4" spans="2:8" x14ac:dyDescent="0.3">
      <c r="B4" s="104" t="s">
        <v>0</v>
      </c>
      <c r="C4" s="101" t="s">
        <v>35</v>
      </c>
      <c r="D4" s="101" t="s">
        <v>30</v>
      </c>
      <c r="E4" s="101" t="s">
        <v>42</v>
      </c>
      <c r="F4" s="102" t="s">
        <v>42</v>
      </c>
      <c r="G4" s="102" t="s">
        <v>35</v>
      </c>
      <c r="H4" s="105" t="s">
        <v>30</v>
      </c>
    </row>
    <row r="5" spans="2:8" x14ac:dyDescent="0.3">
      <c r="B5" s="104">
        <v>0</v>
      </c>
      <c r="C5" s="98">
        <v>1.169505</v>
      </c>
      <c r="D5" s="98">
        <v>6.8833333333333337</v>
      </c>
      <c r="E5" s="98">
        <v>5.9980000000000002</v>
      </c>
      <c r="F5" s="45">
        <v>3.1859999999999999</v>
      </c>
      <c r="G5" s="45">
        <v>1.5593399999999999</v>
      </c>
      <c r="H5" s="41">
        <v>4.13</v>
      </c>
    </row>
    <row r="6" spans="2:8" x14ac:dyDescent="0.3">
      <c r="B6" s="104">
        <v>1.5</v>
      </c>
      <c r="C6" s="98">
        <v>1.51695</v>
      </c>
      <c r="D6" s="98">
        <v>9.7391666666666659</v>
      </c>
      <c r="E6" s="98">
        <v>40.198</v>
      </c>
      <c r="F6" s="45">
        <v>7.5119999999999996</v>
      </c>
      <c r="G6" s="45">
        <v>2.0225999999999997</v>
      </c>
      <c r="H6" s="41">
        <v>5.8434999999999997</v>
      </c>
    </row>
    <row r="7" spans="2:8" ht="15" thickBot="1" x14ac:dyDescent="0.35">
      <c r="B7" s="106">
        <v>3</v>
      </c>
      <c r="C7" s="107">
        <v>1.26</v>
      </c>
      <c r="D7" s="107">
        <v>12.7925</v>
      </c>
      <c r="E7" s="107">
        <v>54.25</v>
      </c>
      <c r="F7" s="108">
        <v>22.614000000000001</v>
      </c>
      <c r="G7" s="108">
        <v>1.68</v>
      </c>
      <c r="H7" s="42">
        <v>7.6755000000000004</v>
      </c>
    </row>
    <row r="9" spans="2:8" ht="15" thickBot="1" x14ac:dyDescent="0.35"/>
    <row r="10" spans="2:8" x14ac:dyDescent="0.3">
      <c r="B10" s="53" t="s">
        <v>38</v>
      </c>
      <c r="C10" s="54"/>
      <c r="D10" s="54"/>
      <c r="E10" s="54"/>
      <c r="F10" s="54"/>
      <c r="G10" s="54"/>
      <c r="H10" s="55"/>
    </row>
    <row r="11" spans="2:8" x14ac:dyDescent="0.3">
      <c r="B11" s="25"/>
      <c r="C11" s="95" t="s">
        <v>37</v>
      </c>
      <c r="D11" s="96"/>
      <c r="E11" s="97"/>
      <c r="F11" s="99" t="s">
        <v>36</v>
      </c>
      <c r="G11" s="100"/>
      <c r="H11" s="103"/>
    </row>
    <row r="12" spans="2:8" x14ac:dyDescent="0.3">
      <c r="B12" s="104" t="s">
        <v>0</v>
      </c>
      <c r="C12" s="98" t="s">
        <v>35</v>
      </c>
      <c r="D12" s="98" t="s">
        <v>30</v>
      </c>
      <c r="E12" s="98" t="s">
        <v>42</v>
      </c>
      <c r="F12" s="45" t="s">
        <v>42</v>
      </c>
      <c r="G12" s="45" t="s">
        <v>35</v>
      </c>
      <c r="H12" s="41" t="s">
        <v>30</v>
      </c>
    </row>
    <row r="13" spans="2:8" ht="15.6" x14ac:dyDescent="0.3">
      <c r="B13" s="104">
        <v>0</v>
      </c>
      <c r="C13" s="98">
        <v>1.08</v>
      </c>
      <c r="D13" s="98">
        <v>5</v>
      </c>
      <c r="E13" s="111">
        <v>5.6260000000000003</v>
      </c>
      <c r="F13" s="45">
        <v>3.0640000000000001</v>
      </c>
      <c r="G13" s="45">
        <v>1.62</v>
      </c>
      <c r="H13" s="41">
        <v>4.55</v>
      </c>
    </row>
    <row r="14" spans="2:8" ht="15.6" x14ac:dyDescent="0.3">
      <c r="B14" s="104">
        <v>1.5</v>
      </c>
      <c r="C14" s="98">
        <v>1.4269499999999999</v>
      </c>
      <c r="D14" s="98">
        <v>7.5</v>
      </c>
      <c r="E14" s="111">
        <v>35.286000000000001</v>
      </c>
      <c r="F14" s="45">
        <v>6.0970000000000004</v>
      </c>
      <c r="G14" s="45">
        <v>1.32</v>
      </c>
      <c r="H14" s="41">
        <v>6.1755000000000004</v>
      </c>
    </row>
    <row r="15" spans="2:8" ht="16.2" thickBot="1" x14ac:dyDescent="0.35">
      <c r="B15" s="106">
        <v>3</v>
      </c>
      <c r="C15" s="107">
        <v>1.1700000000000002</v>
      </c>
      <c r="D15" s="107">
        <v>13</v>
      </c>
      <c r="E15" s="112">
        <v>27.111999999999998</v>
      </c>
      <c r="F15" s="108">
        <v>9.0920000000000005</v>
      </c>
      <c r="G15" s="108">
        <v>1.5</v>
      </c>
      <c r="H15" s="42">
        <v>6.6755000000000004</v>
      </c>
    </row>
    <row r="17" spans="2:8" ht="15" thickBot="1" x14ac:dyDescent="0.35"/>
    <row r="18" spans="2:8" x14ac:dyDescent="0.3">
      <c r="B18" s="53" t="s">
        <v>39</v>
      </c>
      <c r="C18" s="54"/>
      <c r="D18" s="54"/>
      <c r="E18" s="54"/>
      <c r="F18" s="54"/>
      <c r="G18" s="54"/>
      <c r="H18" s="55"/>
    </row>
    <row r="19" spans="2:8" x14ac:dyDescent="0.3">
      <c r="B19" s="25"/>
      <c r="C19" s="113" t="s">
        <v>37</v>
      </c>
      <c r="D19" s="113"/>
      <c r="E19" s="113"/>
      <c r="F19" s="114" t="s">
        <v>36</v>
      </c>
      <c r="G19" s="114"/>
      <c r="H19" s="116"/>
    </row>
    <row r="20" spans="2:8" x14ac:dyDescent="0.3">
      <c r="B20" s="104" t="s">
        <v>0</v>
      </c>
      <c r="C20" s="115" t="s">
        <v>35</v>
      </c>
      <c r="D20" s="115" t="s">
        <v>30</v>
      </c>
      <c r="E20" s="98" t="s">
        <v>42</v>
      </c>
      <c r="F20" s="45" t="s">
        <v>42</v>
      </c>
      <c r="G20" s="44" t="s">
        <v>35</v>
      </c>
      <c r="H20" s="43" t="s">
        <v>30</v>
      </c>
    </row>
    <row r="21" spans="2:8" x14ac:dyDescent="0.3">
      <c r="B21" s="104">
        <v>0</v>
      </c>
      <c r="C21" s="98">
        <v>0.62214294220146249</v>
      </c>
      <c r="D21" s="98">
        <v>1.9790133999999999</v>
      </c>
      <c r="E21" s="98">
        <v>6.2329999999999997</v>
      </c>
      <c r="F21" s="45">
        <v>4.0789999999999997</v>
      </c>
      <c r="G21" s="45">
        <v>1.4239784623257572</v>
      </c>
      <c r="H21" s="41">
        <v>2.8341404000000003</v>
      </c>
    </row>
    <row r="22" spans="2:8" x14ac:dyDescent="0.3">
      <c r="B22" s="104">
        <v>1.5</v>
      </c>
      <c r="C22" s="98">
        <v>0.45031852554858842</v>
      </c>
      <c r="D22" s="98">
        <v>2.2085134000000002</v>
      </c>
      <c r="E22" s="98">
        <v>9.4550000000000001</v>
      </c>
      <c r="F22" s="45">
        <v>7.5949999999999998</v>
      </c>
      <c r="G22" s="45">
        <v>0.83874597395811834</v>
      </c>
      <c r="H22" s="41">
        <v>3.1131404000000003</v>
      </c>
    </row>
    <row r="23" spans="2:8" ht="15" thickBot="1" x14ac:dyDescent="0.35">
      <c r="B23" s="106">
        <v>3</v>
      </c>
      <c r="C23" s="107">
        <v>0.3528639928181514</v>
      </c>
      <c r="D23" s="107">
        <v>2.4380134000000004</v>
      </c>
      <c r="E23" s="117">
        <v>12.086</v>
      </c>
      <c r="F23" s="108">
        <v>10.249000000000001</v>
      </c>
      <c r="G23" s="108">
        <v>0.5944404204379925</v>
      </c>
      <c r="H23" s="42">
        <v>3.3921404000000002</v>
      </c>
    </row>
    <row r="25" spans="2:8" ht="15" thickBot="1" x14ac:dyDescent="0.35"/>
    <row r="26" spans="2:8" x14ac:dyDescent="0.3">
      <c r="B26" s="120" t="s">
        <v>40</v>
      </c>
      <c r="C26" s="125"/>
      <c r="D26" s="125"/>
      <c r="E26" s="125"/>
      <c r="F26" s="125"/>
      <c r="G26" s="125"/>
      <c r="H26" s="121"/>
    </row>
    <row r="27" spans="2:8" x14ac:dyDescent="0.3">
      <c r="B27" s="40"/>
      <c r="C27" s="124" t="s">
        <v>37</v>
      </c>
      <c r="D27" s="124"/>
      <c r="E27" s="124"/>
      <c r="F27" s="128" t="s">
        <v>36</v>
      </c>
      <c r="G27" s="128"/>
      <c r="H27" s="129"/>
    </row>
    <row r="28" spans="2:8" x14ac:dyDescent="0.3">
      <c r="B28" s="122" t="s">
        <v>0</v>
      </c>
      <c r="C28" s="115" t="s">
        <v>35</v>
      </c>
      <c r="D28" s="115" t="s">
        <v>30</v>
      </c>
      <c r="E28" s="115" t="s">
        <v>42</v>
      </c>
      <c r="F28" s="130" t="s">
        <v>42</v>
      </c>
      <c r="G28" s="130" t="s">
        <v>35</v>
      </c>
      <c r="H28" s="131" t="s">
        <v>30</v>
      </c>
    </row>
    <row r="29" spans="2:8" x14ac:dyDescent="0.3">
      <c r="B29" s="122">
        <v>0</v>
      </c>
      <c r="C29" s="98">
        <v>2.416042522348393</v>
      </c>
      <c r="D29" s="98">
        <v>1.9467629999999996</v>
      </c>
      <c r="E29" s="98">
        <v>6.202</v>
      </c>
      <c r="F29" s="132">
        <v>4.6929999999999996</v>
      </c>
      <c r="G29" s="132">
        <v>1.5607441628168304</v>
      </c>
      <c r="H29" s="133">
        <v>2.2249500000000002</v>
      </c>
    </row>
    <row r="30" spans="2:8" x14ac:dyDescent="0.3">
      <c r="B30" s="122">
        <v>1.5</v>
      </c>
      <c r="C30" s="98">
        <v>1.6465967838290585</v>
      </c>
      <c r="D30" s="98">
        <v>2.1822629999999994</v>
      </c>
      <c r="E30" s="98">
        <v>9.3490000000000002</v>
      </c>
      <c r="F30" s="132">
        <v>7.5679999999999996</v>
      </c>
      <c r="G30" s="132">
        <v>0.96295013541784702</v>
      </c>
      <c r="H30" s="133">
        <v>2.82795</v>
      </c>
    </row>
    <row r="31" spans="2:8" ht="15" thickBot="1" x14ac:dyDescent="0.35">
      <c r="B31" s="127">
        <v>3</v>
      </c>
      <c r="C31" s="107">
        <v>1.381456823985018</v>
      </c>
      <c r="D31" s="107">
        <v>2.4177629999999999</v>
      </c>
      <c r="E31" s="107">
        <v>8.1039999999999992</v>
      </c>
      <c r="F31" s="134">
        <v>5.4770000000000003</v>
      </c>
      <c r="G31" s="134">
        <v>0.78236104335254231</v>
      </c>
      <c r="H31" s="135">
        <v>3.4309500000000002</v>
      </c>
    </row>
    <row r="36" spans="1:6" ht="15" thickBot="1" x14ac:dyDescent="0.35"/>
    <row r="37" spans="1:6" x14ac:dyDescent="0.3">
      <c r="B37" s="136" t="s">
        <v>0</v>
      </c>
      <c r="C37" s="23" t="s">
        <v>35</v>
      </c>
      <c r="D37" s="23" t="s">
        <v>30</v>
      </c>
      <c r="E37" s="24" t="s">
        <v>42</v>
      </c>
    </row>
    <row r="38" spans="1:6" x14ac:dyDescent="0.3">
      <c r="B38" s="122">
        <v>0</v>
      </c>
      <c r="C38" s="2">
        <v>1.5607441628168304</v>
      </c>
      <c r="D38" s="2">
        <v>2.2249500000000002</v>
      </c>
      <c r="E38" s="15">
        <v>4.6929999999999996</v>
      </c>
    </row>
    <row r="39" spans="1:6" x14ac:dyDescent="0.3">
      <c r="B39" s="122">
        <v>1.5</v>
      </c>
      <c r="C39" s="2">
        <v>0.96295013541784702</v>
      </c>
      <c r="D39" s="2">
        <v>2.82795</v>
      </c>
      <c r="E39" s="15">
        <v>7.5679999999999996</v>
      </c>
    </row>
    <row r="40" spans="1:6" ht="15" thickBot="1" x14ac:dyDescent="0.35">
      <c r="B40" s="127">
        <v>3</v>
      </c>
      <c r="C40" s="27">
        <v>0.78236104335254231</v>
      </c>
      <c r="D40" s="27">
        <v>3.4309500000000002</v>
      </c>
      <c r="E40" s="16">
        <v>5.4770000000000003</v>
      </c>
    </row>
    <row r="42" spans="1:6" x14ac:dyDescent="0.3">
      <c r="A42" s="46"/>
      <c r="F42" s="46"/>
    </row>
    <row r="43" spans="1:6" x14ac:dyDescent="0.3">
      <c r="A43" s="46"/>
      <c r="B43" t="s">
        <v>44</v>
      </c>
      <c r="F43" s="46"/>
    </row>
    <row r="44" spans="1:6" x14ac:dyDescent="0.3">
      <c r="A44" s="46"/>
      <c r="B44" s="138" t="s">
        <v>43</v>
      </c>
      <c r="C44" t="s">
        <v>35</v>
      </c>
      <c r="D44" t="s">
        <v>30</v>
      </c>
      <c r="E44" s="46"/>
      <c r="F44" s="46"/>
    </row>
    <row r="45" spans="1:6" x14ac:dyDescent="0.3">
      <c r="A45" s="46"/>
      <c r="B45" s="138">
        <v>0</v>
      </c>
      <c r="C45">
        <f>$C$38+($C$39-$C$38)/1.5*B45*(1+$E$38*0.01)</f>
        <v>1.5607441628168304</v>
      </c>
      <c r="D45">
        <f>$D$38+($D$39-$D$38)/1.5*B45*(1+$E$38*0.01)</f>
        <v>2.2249500000000002</v>
      </c>
      <c r="F45" s="46"/>
    </row>
    <row r="46" spans="1:6" x14ac:dyDescent="0.3">
      <c r="A46" s="46"/>
      <c r="B46" s="138">
        <v>1</v>
      </c>
      <c r="C46">
        <f t="shared" ref="C46:C47" si="0">$C$38+($C$39-$C$38)/1.5*B46*(1+$E$38*0.01)</f>
        <v>1.1435118287469519</v>
      </c>
      <c r="D46">
        <f t="shared" ref="D46:D47" si="1">$D$38+($D$39-$D$38)/1.5*B46*(1+$E$38*0.01)</f>
        <v>2.6458158599999999</v>
      </c>
      <c r="F46" s="46"/>
    </row>
    <row r="47" spans="1:6" x14ac:dyDescent="0.3">
      <c r="A47" s="46"/>
      <c r="B47" s="138">
        <v>1.5</v>
      </c>
      <c r="C47">
        <f t="shared" si="0"/>
        <v>0.93489566171201277</v>
      </c>
      <c r="D47">
        <f t="shared" si="1"/>
        <v>2.85624879</v>
      </c>
      <c r="F47" s="46"/>
    </row>
    <row r="48" spans="1:6" x14ac:dyDescent="0.3">
      <c r="A48" s="46"/>
      <c r="B48" s="138">
        <v>2</v>
      </c>
      <c r="C48">
        <f>$C$39+($C$40-$C$39)/1.5*(B48-1.5)*(1+$E$40*0.01)</f>
        <v>0.89945681653860654</v>
      </c>
      <c r="D48">
        <f>$B$39+($D$40-$D$39)/1.5*(B48-1.5)*(1+$E$40*0.01)</f>
        <v>1.7120087700000002</v>
      </c>
      <c r="F48" s="46"/>
    </row>
    <row r="49" spans="1:6" x14ac:dyDescent="0.3">
      <c r="A49" s="46"/>
      <c r="B49" s="138">
        <v>3</v>
      </c>
      <c r="C49">
        <f t="shared" ref="C49" si="2">$C$39+($C$40-$C$39)/1.5*(B49-1.5)*(1+$E$40*0.01)</f>
        <v>0.77247017878012558</v>
      </c>
      <c r="D49">
        <f>$B$39+($D$40-$D$39)/1.5*(B49-1.5)*(1+$E$40*0.01)</f>
        <v>2.1360263100000001</v>
      </c>
      <c r="F49" s="46"/>
    </row>
    <row r="50" spans="1:6" x14ac:dyDescent="0.3">
      <c r="A50" s="46"/>
      <c r="B50" s="138">
        <v>10</v>
      </c>
      <c r="C50">
        <f>$C$39+($C$40-$C$39)/1.5*(B50-1.5)*(1+$E$39*0.01)</f>
        <v>-0.13783428704805922</v>
      </c>
      <c r="D50">
        <f>$B$39+($D$40-$D$39)/1.5*(B50-1.5)*(1+$E$40*0.01)</f>
        <v>5.1041490900000017</v>
      </c>
      <c r="F50" s="46"/>
    </row>
    <row r="51" spans="1:6" ht="15" thickBot="1" x14ac:dyDescent="0.35">
      <c r="A51" s="46"/>
      <c r="B51" s="46"/>
      <c r="C51" s="46"/>
      <c r="D51" s="46"/>
      <c r="E51" s="46"/>
      <c r="F51" s="46"/>
    </row>
    <row r="52" spans="1:6" x14ac:dyDescent="0.3">
      <c r="A52" s="46"/>
      <c r="B52" s="139" t="s">
        <v>43</v>
      </c>
      <c r="C52" s="83" t="s">
        <v>35</v>
      </c>
      <c r="D52" s="83" t="s">
        <v>30</v>
      </c>
      <c r="E52" s="71" t="s">
        <v>42</v>
      </c>
      <c r="F52" s="46"/>
    </row>
    <row r="53" spans="1:6" x14ac:dyDescent="0.3">
      <c r="A53" s="46"/>
      <c r="B53" s="140">
        <v>0</v>
      </c>
      <c r="C53" s="14">
        <f>$C$38+($C$39-$C$38)/1.5*B53*(1+$E$38*0.01)</f>
        <v>1.5607441628168304</v>
      </c>
      <c r="D53" s="14">
        <f>$D$38+($D$39-$D$38)/1.5*B53*(1+$E$38*0.01)</f>
        <v>2.2249500000000002</v>
      </c>
      <c r="E53" s="72"/>
      <c r="F53" s="46"/>
    </row>
    <row r="54" spans="1:6" x14ac:dyDescent="0.3">
      <c r="A54" s="46"/>
      <c r="B54" s="141">
        <v>1</v>
      </c>
      <c r="C54" s="137">
        <f>$C$38+($C$39-$C$38)/1.5*B54*(1+$E$38*0.01) - 0.2 * 3</f>
        <v>0.54351182874695181</v>
      </c>
      <c r="D54" s="137">
        <f>$D$38+($D$39-$D$38)/1.5*B54*(1+$E$38*0.01) + 0.2*3</f>
        <v>3.24581586</v>
      </c>
      <c r="E54" s="72">
        <v>6.2460000000000004</v>
      </c>
      <c r="F54" s="46"/>
    </row>
    <row r="55" spans="1:6" x14ac:dyDescent="0.3">
      <c r="A55" s="46"/>
      <c r="B55" s="140">
        <v>1.5</v>
      </c>
      <c r="C55" s="14">
        <f t="shared" ref="C54:C55" si="3">$C$38+($C$39-$C$38)/1.5*B55*(1+$E$38*0.01)</f>
        <v>0.93489566171201277</v>
      </c>
      <c r="D55" s="14">
        <f t="shared" ref="D54:D55" si="4">$D$38+($D$39-$D$38)/1.5*B55*(1+$E$38*0.01)</f>
        <v>2.85624879</v>
      </c>
      <c r="E55" s="72"/>
      <c r="F55" s="46"/>
    </row>
    <row r="56" spans="1:6" x14ac:dyDescent="0.3">
      <c r="A56" s="46"/>
      <c r="B56" s="141">
        <v>2</v>
      </c>
      <c r="C56" s="137">
        <f>$C$39+($C$40-$C$39)/1.5*(B56-1.5)*(1+$E$40*0.01) - 0.1*3</f>
        <v>0.5994568165386065</v>
      </c>
      <c r="D56" s="137">
        <f>$B$39+($D$40-$D$39)/1.5*(B56-1.5)*(1+$E$40*0.01)+0.5*3</f>
        <v>3.2120087700000002</v>
      </c>
      <c r="E56" s="72">
        <v>7.01</v>
      </c>
      <c r="F56" s="46"/>
    </row>
    <row r="57" spans="1:6" x14ac:dyDescent="0.3">
      <c r="B57" s="142">
        <v>3</v>
      </c>
      <c r="C57" s="21">
        <f t="shared" ref="C57" si="5">$C$39+($C$40-$C$39)/1.5*(B57-1.5)*(1+$E$40*0.01)</f>
        <v>0.77247017878012558</v>
      </c>
      <c r="D57" s="21">
        <f>$B$39+($D$40-$D$39)/1.5*(B57-1.5)*(1+$E$40*0.01)</f>
        <v>2.1360263100000001</v>
      </c>
      <c r="E57" s="72"/>
    </row>
    <row r="58" spans="1:6" ht="15" thickBot="1" x14ac:dyDescent="0.35">
      <c r="B58" s="143">
        <v>10</v>
      </c>
      <c r="C58" s="94">
        <f>$C$39+($C$40-$C$39)/1.5*(B58-1.5)*(1+$E$39*0.01)</f>
        <v>-0.13783428704805922</v>
      </c>
      <c r="D58" s="94">
        <f>$B$39+($D$40-$D$39)/1.5*(B58-1.5)*(1+$E$40*0.01)</f>
        <v>5.1041490900000017</v>
      </c>
      <c r="E58" s="73"/>
    </row>
    <row r="64" spans="1:6" ht="15" thickBot="1" x14ac:dyDescent="0.35">
      <c r="B64" t="s">
        <v>45</v>
      </c>
    </row>
    <row r="65" spans="2:5" x14ac:dyDescent="0.3">
      <c r="B65" s="139" t="s">
        <v>43</v>
      </c>
      <c r="C65" s="83" t="s">
        <v>35</v>
      </c>
      <c r="D65" s="83" t="s">
        <v>30</v>
      </c>
      <c r="E65" s="71" t="s">
        <v>42</v>
      </c>
    </row>
    <row r="66" spans="2:5" x14ac:dyDescent="0.3">
      <c r="B66" s="140">
        <v>0</v>
      </c>
      <c r="C66" s="21">
        <f>$C$38+($C$39-$C$38)/1.5*B66*(1+$E$38*0.01)</f>
        <v>1.5607441628168304</v>
      </c>
      <c r="D66" s="21">
        <f>$D$38+($D$39-$D$38)/1.5*B66*(1+$E$38*0.01)</f>
        <v>2.2249500000000002</v>
      </c>
      <c r="E66" s="72"/>
    </row>
    <row r="67" spans="2:5" x14ac:dyDescent="0.3">
      <c r="B67" s="141">
        <v>1</v>
      </c>
      <c r="C67" s="21">
        <f>$C$38+($C$39-$C$38)/1.5*B67*(1+$E$38*0.01) - 0.2 * 3</f>
        <v>0.54351182874695181</v>
      </c>
      <c r="D67" s="21">
        <f>$D$38+($D$39-$D$38)/1.5*B67*(1+$E$38*0.01) + 0.2*3</f>
        <v>3.24581586</v>
      </c>
      <c r="E67" s="72">
        <v>6.2460000000000004</v>
      </c>
    </row>
    <row r="68" spans="2:5" x14ac:dyDescent="0.3">
      <c r="B68" s="140">
        <v>1.5</v>
      </c>
      <c r="C68" s="21">
        <f>$C$38+($C$39-$C$38)/1.5*B68*(1+$E$38*0.01) - 0.2 * 3</f>
        <v>0.33489566171201268</v>
      </c>
      <c r="D68" s="21">
        <f>$D$38+($D$39-$D$38)/1.5*B68*(1+$E$38*0.01) + 0.2*3</f>
        <v>3.4562487900000001</v>
      </c>
      <c r="E68" s="72"/>
    </row>
    <row r="69" spans="2:5" x14ac:dyDescent="0.3">
      <c r="B69" s="141">
        <v>2</v>
      </c>
      <c r="C69" s="21">
        <f>$C$39+($C$40-$C$39)/1.5*(B69-1.5)*(1+$E$40*0.01) - 0.1*3</f>
        <v>0.5994568165386065</v>
      </c>
      <c r="D69" s="21">
        <f>$B$39+($D$40-$D$39)/1.5*(B69-1.5)*(1+$E$40*0.01)+0.5*3</f>
        <v>3.2120087700000002</v>
      </c>
      <c r="E69" s="72">
        <v>7.01</v>
      </c>
    </row>
    <row r="70" spans="2:5" x14ac:dyDescent="0.3">
      <c r="B70" s="142">
        <v>3</v>
      </c>
      <c r="C70" s="21">
        <f t="shared" ref="C70:C71" si="6">$C$39+($C$40-$C$39)/1.5*(B70-1.5)*(1+$E$40*0.01) - 0.1*3</f>
        <v>0.47247017878012554</v>
      </c>
      <c r="D70" s="21">
        <f t="shared" ref="D70:D71" si="7">$B$39+($D$40-$D$39)/1.5*(B70-1.5)*(1+$E$40*0.01)+0.5*3</f>
        <v>3.6360263100000001</v>
      </c>
      <c r="E70" s="72"/>
    </row>
    <row r="71" spans="2:5" ht="15" thickBot="1" x14ac:dyDescent="0.35">
      <c r="B71" s="143">
        <v>10</v>
      </c>
      <c r="C71" s="123">
        <f t="shared" si="6"/>
        <v>-0.41643628552924128</v>
      </c>
      <c r="D71" s="123">
        <f t="shared" si="7"/>
        <v>6.6041490900000017</v>
      </c>
      <c r="E71" s="73"/>
    </row>
  </sheetData>
  <mergeCells count="12">
    <mergeCell ref="B18:H18"/>
    <mergeCell ref="C19:E19"/>
    <mergeCell ref="F19:H19"/>
    <mergeCell ref="B26:H26"/>
    <mergeCell ref="C27:E27"/>
    <mergeCell ref="F27:H27"/>
    <mergeCell ref="B2:H2"/>
    <mergeCell ref="C3:E3"/>
    <mergeCell ref="F3:H3"/>
    <mergeCell ref="B10:H10"/>
    <mergeCell ref="C11:E11"/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и 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2024-03-03T12:50:53Z</dcterms:created>
  <dcterms:modified xsi:type="dcterms:W3CDTF">2024-03-08T15:21:38Z</dcterms:modified>
</cp:coreProperties>
</file>