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rauedu-my.sharepoint.com/personal/spillerh_my_erau_edu/Documents/"/>
    </mc:Choice>
  </mc:AlternateContent>
  <xr:revisionPtr revIDLastSave="36" documentId="8_{36FB1EAF-7BE6-46E8-8D3C-357CAB5F53E0}" xr6:coauthVersionLast="47" xr6:coauthVersionMax="47" xr10:uidLastSave="{BE497076-2116-43C7-B755-F22B77F581B0}"/>
  <bookViews>
    <workbookView xWindow="-98" yWindow="-98" windowWidth="20715" windowHeight="13155" xr2:uid="{F512ADCF-9857-4D0B-A27F-666FCBA808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2" i="1"/>
  <c r="K9" i="1"/>
  <c r="I2" i="1"/>
  <c r="I9" i="1" s="1"/>
  <c r="C16" i="1"/>
  <c r="I10" i="1"/>
  <c r="I1" i="1"/>
  <c r="G33" i="1"/>
  <c r="G32" i="1"/>
  <c r="G31" i="1"/>
  <c r="G30" i="1"/>
  <c r="G29" i="1"/>
  <c r="C13" i="1"/>
  <c r="C14" i="1"/>
  <c r="C15" i="1"/>
  <c r="C12" i="1"/>
  <c r="D22" i="1"/>
  <c r="D23" i="1"/>
  <c r="D24" i="1"/>
  <c r="D25" i="1"/>
  <c r="D21" i="1"/>
  <c r="C22" i="1"/>
  <c r="C23" i="1"/>
  <c r="C24" i="1"/>
  <c r="C25" i="1"/>
  <c r="C21" i="1"/>
  <c r="B22" i="1"/>
  <c r="B23" i="1"/>
  <c r="B24" i="1"/>
  <c r="B25" i="1"/>
  <c r="B21" i="1"/>
  <c r="I8" i="1"/>
  <c r="B13" i="1"/>
  <c r="B14" i="1"/>
  <c r="B15" i="1"/>
  <c r="B16" i="1"/>
  <c r="B12" i="1"/>
  <c r="I11" i="1"/>
  <c r="I3" i="1"/>
  <c r="I7" i="1"/>
  <c r="I6" i="1"/>
</calcChain>
</file>

<file path=xl/sharedStrings.xml><?xml version="1.0" encoding="utf-8"?>
<sst xmlns="http://schemas.openxmlformats.org/spreadsheetml/2006/main" count="40" uniqueCount="32">
  <si>
    <t>Aplied Load</t>
  </si>
  <si>
    <t>Ch1</t>
  </si>
  <si>
    <t>Ch2</t>
  </si>
  <si>
    <t>Ch3</t>
  </si>
  <si>
    <t>Ch4</t>
  </si>
  <si>
    <t>M</t>
  </si>
  <si>
    <t>T_t</t>
  </si>
  <si>
    <t>T_s</t>
  </si>
  <si>
    <t>C_t</t>
  </si>
  <si>
    <t>C_b</t>
  </si>
  <si>
    <t>I</t>
  </si>
  <si>
    <t>J</t>
  </si>
  <si>
    <t>D</t>
  </si>
  <si>
    <t>d</t>
  </si>
  <si>
    <t>x</t>
  </si>
  <si>
    <t>V</t>
  </si>
  <si>
    <t>T</t>
  </si>
  <si>
    <t>M_b</t>
  </si>
  <si>
    <t>Bending</t>
  </si>
  <si>
    <t>Torsion</t>
  </si>
  <si>
    <t>Trans Shear</t>
  </si>
  <si>
    <t>A</t>
  </si>
  <si>
    <t>E</t>
  </si>
  <si>
    <t>ksi</t>
  </si>
  <si>
    <t>G</t>
  </si>
  <si>
    <t>Calculated</t>
  </si>
  <si>
    <t>Measured</t>
  </si>
  <si>
    <t>Bending Calculated</t>
  </si>
  <si>
    <t>Bending Measured</t>
  </si>
  <si>
    <t>Torsion Calculated</t>
  </si>
  <si>
    <t>Torsion Measured</t>
  </si>
  <si>
    <t>Trans Shear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</si>
</sst>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Sheet1!$A$11:$A$16</c:f>
              <c:numCache>
                <c:formatCode>General</c:formatCode>
                <c:ptCount val="6"/>
                <c:pt idx="0">
                  <c:v>0</c:v>
                </c:pt>
                <c:pt idx="1">
                  <c:v>201.67</c:v>
                </c:pt>
                <c:pt idx="2">
                  <c:v>403.19</c:v>
                </c:pt>
                <c:pt idx="3">
                  <c:v>598.49</c:v>
                </c:pt>
                <c:pt idx="4">
                  <c:v>797.07</c:v>
                </c:pt>
                <c:pt idx="5">
                  <c:v>997.09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0</c:v>
                </c:pt>
                <c:pt idx="1">
                  <c:v>2709.6589065909238</c:v>
                </c:pt>
                <c:pt idx="2">
                  <c:v>5417.3023977210032</c:v>
                </c:pt>
                <c:pt idx="3">
                  <c:v>8041.3733277413703</c:v>
                </c:pt>
                <c:pt idx="4">
                  <c:v>10709.514675838887</c:v>
                </c:pt>
                <c:pt idx="5">
                  <c:v>13397.004012360514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0-4FC7-86C7-B489FCDB2102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Sheet1!$A$20:$A$25</c:f>
              <c:numCache>
                <c:formatCode>General</c:formatCode>
                <c:ptCount val="6"/>
                <c:pt idx="0">
                  <c:v>0</c:v>
                </c:pt>
                <c:pt idx="1">
                  <c:v>201.67</c:v>
                </c:pt>
                <c:pt idx="2">
                  <c:v>403.19</c:v>
                </c:pt>
                <c:pt idx="3">
                  <c:v>598.49</c:v>
                </c:pt>
                <c:pt idx="4">
                  <c:v>797.07</c:v>
                </c:pt>
                <c:pt idx="5">
                  <c:v>997.09</c:v>
                </c:pt>
              </c:numCache>
            </c:numRef>
          </c:xVal>
          <c:yVal>
            <c:numRef>
              <c:f>Sheet1!$B$20:$B$25</c:f>
              <c:numCache>
                <c:formatCode>General</c:formatCode>
                <c:ptCount val="6"/>
                <c:pt idx="0">
                  <c:v>0</c:v>
                </c:pt>
                <c:pt idx="1">
                  <c:v>2623.5</c:v>
                </c:pt>
                <c:pt idx="2">
                  <c:v>5227.2</c:v>
                </c:pt>
                <c:pt idx="3">
                  <c:v>7771.5</c:v>
                </c:pt>
                <c:pt idx="4">
                  <c:v>10345.5</c:v>
                </c:pt>
                <c:pt idx="5">
                  <c:v>12949.2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0-4FC7-86C7-B489FCDB2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54328"/>
        <c:axId val="729657208"/>
      </c:scatterChart>
      <c:valAx>
        <c:axId val="72965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7208"/>
        <c:crosses val="autoZero"/>
        <c:crossBetween val="midCat"/>
      </c:valAx>
      <c:valAx>
        <c:axId val="7296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201.67</c:v>
                </c:pt>
                <c:pt idx="2">
                  <c:v>403.19</c:v>
                </c:pt>
                <c:pt idx="3">
                  <c:v>598.49</c:v>
                </c:pt>
                <c:pt idx="4">
                  <c:v>797.07</c:v>
                </c:pt>
                <c:pt idx="5">
                  <c:v>997.09</c:v>
                </c:pt>
              </c:numCache>
            </c:numRef>
          </c:xVal>
          <c:yVal>
            <c:numRef>
              <c:f>Sheet1!$I$28:$I$33</c:f>
              <c:numCache>
                <c:formatCode>General</c:formatCode>
                <c:ptCount val="6"/>
                <c:pt idx="0">
                  <c:v>0</c:v>
                </c:pt>
                <c:pt idx="1">
                  <c:v>918.79238786703741</c:v>
                </c:pt>
                <c:pt idx="2">
                  <c:v>1836.9013877329839</c:v>
                </c:pt>
                <c:pt idx="3">
                  <c:v>2726.6725651536835</c:v>
                </c:pt>
                <c:pt idx="4">
                  <c:v>3631.3871601982432</c:v>
                </c:pt>
                <c:pt idx="5">
                  <c:v>4542.6622800532778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AD-415F-B9CC-505A45A35668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201.67</c:v>
                </c:pt>
                <c:pt idx="2">
                  <c:v>403.19</c:v>
                </c:pt>
                <c:pt idx="3">
                  <c:v>598.49</c:v>
                </c:pt>
                <c:pt idx="4">
                  <c:v>797.07</c:v>
                </c:pt>
                <c:pt idx="5">
                  <c:v>997.09</c:v>
                </c:pt>
              </c:numCache>
            </c:numRef>
          </c:xVal>
          <c:yVal>
            <c:numRef>
              <c:f>Sheet1!$J$28:$J$33</c:f>
              <c:numCache>
                <c:formatCode>General</c:formatCode>
                <c:ptCount val="6"/>
                <c:pt idx="0">
                  <c:v>0</c:v>
                </c:pt>
                <c:pt idx="1">
                  <c:v>851.2</c:v>
                </c:pt>
                <c:pt idx="2">
                  <c:v>1675.8</c:v>
                </c:pt>
                <c:pt idx="3">
                  <c:v>2481.4</c:v>
                </c:pt>
                <c:pt idx="4">
                  <c:v>3287</c:v>
                </c:pt>
                <c:pt idx="5">
                  <c:v>4100.2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AD-415F-B9CC-505A45A3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17848"/>
        <c:axId val="729623928"/>
      </c:scatterChart>
      <c:valAx>
        <c:axId val="72961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23928"/>
        <c:crosses val="autoZero"/>
        <c:crossBetween val="midCat"/>
      </c:valAx>
      <c:valAx>
        <c:axId val="7296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1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Transverse Shear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201.67</c:v>
                </c:pt>
                <c:pt idx="2">
                  <c:v>403.19</c:v>
                </c:pt>
                <c:pt idx="3">
                  <c:v>598.49</c:v>
                </c:pt>
                <c:pt idx="4">
                  <c:v>797.07</c:v>
                </c:pt>
                <c:pt idx="5">
                  <c:v>997.09</c:v>
                </c:pt>
              </c:numCache>
            </c:numRef>
          </c:xVal>
          <c:yVal>
            <c:numRef>
              <c:f>Sheet1!$K$28:$K$33</c:f>
              <c:numCache>
                <c:formatCode>General</c:formatCode>
                <c:ptCount val="6"/>
                <c:pt idx="0">
                  <c:v>0</c:v>
                </c:pt>
                <c:pt idx="1">
                  <c:v>-194.52592347480334</c:v>
                </c:pt>
                <c:pt idx="2">
                  <c:v>-388.90716063770492</c:v>
                </c:pt>
                <c:pt idx="3">
                  <c:v>-577.28873873374846</c:v>
                </c:pt>
                <c:pt idx="4">
                  <c:v>-768.83412418337628</c:v>
                </c:pt>
                <c:pt idx="5">
                  <c:v>-961.76849822726069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4-463B-9A9D-914614A3F63D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201.67</c:v>
                </c:pt>
                <c:pt idx="2">
                  <c:v>403.19</c:v>
                </c:pt>
                <c:pt idx="3">
                  <c:v>598.49</c:v>
                </c:pt>
                <c:pt idx="4">
                  <c:v>797.07</c:v>
                </c:pt>
                <c:pt idx="5">
                  <c:v>997.09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0</c:v>
                </c:pt>
                <c:pt idx="1">
                  <c:v>-163.4</c:v>
                </c:pt>
                <c:pt idx="2">
                  <c:v>-307.8</c:v>
                </c:pt>
                <c:pt idx="3">
                  <c:v>-448.40000000000003</c:v>
                </c:pt>
                <c:pt idx="4">
                  <c:v>-585.20000000000005</c:v>
                </c:pt>
                <c:pt idx="5">
                  <c:v>-725.80000000000007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64-463B-9A9D-914614A3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30472"/>
        <c:axId val="724628872"/>
      </c:scatterChart>
      <c:valAx>
        <c:axId val="72463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28872"/>
        <c:crosses val="autoZero"/>
        <c:crossBetween val="midCat"/>
      </c:valAx>
      <c:valAx>
        <c:axId val="7246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235742</xdr:colOff>
      <xdr:row>35</xdr:row>
      <xdr:rowOff>11906</xdr:rowOff>
    </xdr:from>
    <xdr:to>
      <xdr:col>11</xdr:col>
      <xdr:colOff>273842</xdr:colOff>
      <xdr:row>50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EE1A0-B479-1686-9835-EE7CF426E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154779</xdr:rowOff>
    </xdr:from>
    <xdr:to>
      <xdr:col>6</xdr:col>
      <xdr:colOff>142875</xdr:colOff>
      <xdr:row>52</xdr:row>
      <xdr:rowOff>2379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5F981-4F52-9293-49AB-80E976FC8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773906</xdr:colOff>
      <xdr:row>38</xdr:row>
      <xdr:rowOff>78581</xdr:rowOff>
    </xdr:from>
    <xdr:to>
      <xdr:col>13</xdr:col>
      <xdr:colOff>292893</xdr:colOff>
      <xdr:row>53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312F9-4F83-2B2E-BFA4-19D16DFD9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5F44B-76CB-4FEF-AEF1-34DBC9FD37F5}" name="Table1" displayName="Table1" ref="A10:D16" totalsRowShown="0">
  <autoFilter ref="A10:D16" xr:uid="{18B5F44B-76CB-4FEF-AEF1-34DBC9FD37F5}">
    <filterColumn colId="0" hiddenButton="1"/>
    <filterColumn colId="1" hiddenButton="1"/>
    <filterColumn colId="2" hiddenButton="1"/>
    <filterColumn colId="3" hiddenButton="1"/>
  </autoFilter>
  <tableColumns count="4">
    <tableColumn id="1" xr3:uid="{A9BFF63F-BC42-4940-AEF9-833CD79464B1}" name="Aplied Load"/>
    <tableColumn id="2" xr3:uid="{B0769019-87D4-42C2-9FE8-A608F1C5587F}" name="Bending">
      <calculatedColumnFormula>(A11*21.75*$I$5)/$I$6</calculatedColumnFormula>
    </tableColumn>
    <tableColumn id="3" xr3:uid="{2A7BFA58-4E1D-41B2-BF39-A30314C4BD98}" name="Torsion">
      <calculatedColumnFormula>(A11*14.75*$I$4)/$I$7</calculatedColumnFormula>
    </tableColumn>
    <tableColumn id="4" xr3:uid="{1D725296-A287-4E0C-ABE3-C01898713A72}" name="Trans Shear">
      <calculatedColumnFormula>(4/3)*(A11/$I$8)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09E162-9304-4387-B1DC-699DC193EAB5}" name="Table2" displayName="Table2" ref="A19:D25" totalsRowShown="0">
  <autoFilter ref="A19:D25" xr:uid="{6A09E162-9304-4387-B1DC-699DC193EAB5}">
    <filterColumn colId="0" hiddenButton="1"/>
    <filterColumn colId="1" hiddenButton="1"/>
    <filterColumn colId="2" hiddenButton="1"/>
    <filterColumn colId="3" hiddenButton="1"/>
  </autoFilter>
  <tableColumns count="4">
    <tableColumn id="1" xr3:uid="{9A1207C5-6537-4DB3-AAA8-5F838AD5EDD1}" name="Aplied Load"/>
    <tableColumn id="2" xr3:uid="{2B7ADFB1-B1E3-43D9-91C5-D0E01FAFCB10}" name="Bending">
      <calculatedColumnFormula>$L$5*E2*(10^-3)</calculatedColumnFormula>
    </tableColumn>
    <tableColumn id="3" xr3:uid="{8D4C8F24-65C0-4334-88F7-E59082F412FB}" name="Torsion">
      <calculatedColumnFormula>$L$6*B2*(10^-3)</calculatedColumnFormula>
    </tableColumn>
    <tableColumn id="4" xr3:uid="{721B2F47-C4C4-4031-8770-D52436E0D483}" name="Trans Shear">
      <calculatedColumnFormula>$L$6*(D2-B2)*(10^-3)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3433-6403-4576-AA90-83AD9FCA2BD3}">
  <dimension ref="A1:M33"/>
  <sheetViews>
    <sheetView tabSelected="1" topLeftCell="A21" workbookViewId="0">
      <selection activeCell="K27" sqref="K27:K33"/>
    </sheetView>
  </sheetViews>
  <sheetFormatPr defaultRowHeight="14.25" x14ac:dyDescent="0.45"/>
  <cols>
    <col min="1" max="1" width="12.19921875" customWidth="1"/>
    <col min="2" max="2" width="9.265625" customWidth="1"/>
    <col min="4" max="4" width="12.06640625" customWidth="1"/>
    <col min="6" max="6" width="10.33203125" bestFit="1" customWidth="1"/>
    <col min="7" max="7" width="16.332031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>
        <f>A7*L3</f>
        <v>21686.7075</v>
      </c>
      <c r="K1" t="s">
        <v>12</v>
      </c>
      <c r="L1">
        <v>3.5</v>
      </c>
    </row>
    <row r="2" spans="1:13" x14ac:dyDescent="0.45">
      <c r="A2">
        <v>0</v>
      </c>
      <c r="B2">
        <v>1</v>
      </c>
      <c r="C2">
        <v>1</v>
      </c>
      <c r="D2">
        <v>0</v>
      </c>
      <c r="E2">
        <v>0</v>
      </c>
      <c r="H2" t="s">
        <v>16</v>
      </c>
      <c r="I2">
        <f>A7*14.75</f>
        <v>14707.077500000001</v>
      </c>
      <c r="K2" t="s">
        <v>13</v>
      </c>
      <c r="L2">
        <v>3.1</v>
      </c>
    </row>
    <row r="3" spans="1:13" x14ac:dyDescent="0.45">
      <c r="A3">
        <v>201.67</v>
      </c>
      <c r="B3">
        <v>224</v>
      </c>
      <c r="C3">
        <v>-268</v>
      </c>
      <c r="D3">
        <v>181</v>
      </c>
      <c r="E3">
        <v>265</v>
      </c>
      <c r="H3" t="s">
        <v>15</v>
      </c>
      <c r="I3">
        <f>A7</f>
        <v>997.09</v>
      </c>
      <c r="K3" t="s">
        <v>14</v>
      </c>
      <c r="L3">
        <v>21.75</v>
      </c>
    </row>
    <row r="4" spans="1:13" x14ac:dyDescent="0.45">
      <c r="A4">
        <v>403.19</v>
      </c>
      <c r="B4">
        <v>441</v>
      </c>
      <c r="C4">
        <v>-531</v>
      </c>
      <c r="D4">
        <v>360</v>
      </c>
      <c r="E4">
        <v>528</v>
      </c>
      <c r="H4" t="s">
        <v>8</v>
      </c>
      <c r="I4">
        <v>1.75</v>
      </c>
    </row>
    <row r="5" spans="1:13" x14ac:dyDescent="0.45">
      <c r="A5">
        <v>598.49</v>
      </c>
      <c r="B5">
        <v>653</v>
      </c>
      <c r="C5">
        <v>-786</v>
      </c>
      <c r="D5">
        <v>535</v>
      </c>
      <c r="E5">
        <v>785</v>
      </c>
      <c r="H5" t="s">
        <v>9</v>
      </c>
      <c r="I5">
        <v>1.75</v>
      </c>
      <c r="K5" t="s">
        <v>22</v>
      </c>
      <c r="L5">
        <v>9900</v>
      </c>
      <c r="M5" t="s">
        <v>23</v>
      </c>
    </row>
    <row r="6" spans="1:13" x14ac:dyDescent="0.45">
      <c r="A6">
        <v>797.07</v>
      </c>
      <c r="B6">
        <v>865</v>
      </c>
      <c r="C6">
        <v>-1042</v>
      </c>
      <c r="D6">
        <v>711</v>
      </c>
      <c r="E6">
        <v>1045</v>
      </c>
      <c r="H6" t="s">
        <v>10</v>
      </c>
      <c r="I6">
        <f>(PI()/64)*((3.5^4)-(3.1^4))</f>
        <v>2.8328526355582553</v>
      </c>
      <c r="K6" t="s">
        <v>24</v>
      </c>
      <c r="L6">
        <v>3800</v>
      </c>
      <c r="M6" t="s">
        <v>23</v>
      </c>
    </row>
    <row r="7" spans="1:13" x14ac:dyDescent="0.45">
      <c r="A7">
        <v>997.09</v>
      </c>
      <c r="B7">
        <v>1079</v>
      </c>
      <c r="C7">
        <v>-1301</v>
      </c>
      <c r="D7">
        <v>888</v>
      </c>
      <c r="E7">
        <v>1308</v>
      </c>
      <c r="H7" t="s">
        <v>11</v>
      </c>
      <c r="I7">
        <f>(PI()/32)*((3.5^4)-(3.1^4))</f>
        <v>5.6657052711165106</v>
      </c>
    </row>
    <row r="8" spans="1:13" x14ac:dyDescent="0.45">
      <c r="H8" t="s">
        <v>21</v>
      </c>
      <c r="I8">
        <f>PI()*((1.75^2)-(1.55^2))</f>
        <v>2.0734511513692624</v>
      </c>
    </row>
    <row r="9" spans="1:13" x14ac:dyDescent="0.45">
      <c r="B9" t="s">
        <v>25</v>
      </c>
      <c r="H9" t="s">
        <v>6</v>
      </c>
      <c r="I9">
        <f>(I2*I4)/I7</f>
        <v>4542.6622800532778</v>
      </c>
      <c r="K9">
        <f>I9+I10</f>
        <v>5183.8412788714513</v>
      </c>
    </row>
    <row r="10" spans="1:13" x14ac:dyDescent="0.45">
      <c r="A10" t="s">
        <v>0</v>
      </c>
      <c r="B10" t="s">
        <v>18</v>
      </c>
      <c r="C10" t="s">
        <v>19</v>
      </c>
      <c r="D10" t="s">
        <v>20</v>
      </c>
      <c r="H10" t="s">
        <v>7</v>
      </c>
      <c r="I10">
        <f>(4/3)*(I3/I8)</f>
        <v>641.1789988181738</v>
      </c>
    </row>
    <row r="11" spans="1:13" x14ac:dyDescent="0.45">
      <c r="A11">
        <v>0</v>
      </c>
      <c r="B11">
        <v>0</v>
      </c>
      <c r="C11">
        <v>0</v>
      </c>
      <c r="D11">
        <v>0</v>
      </c>
      <c r="H11" t="s">
        <v>17</v>
      </c>
      <c r="I11">
        <f>(I1*I5)/I6</f>
        <v>13397.004012360514</v>
      </c>
    </row>
    <row r="12" spans="1:13" x14ac:dyDescent="0.45">
      <c r="A12">
        <v>201.67</v>
      </c>
      <c r="B12">
        <f>(A12*21.75*$I$5)/$I$6</f>
        <v>2709.6589065909238</v>
      </c>
      <c r="C12">
        <f>(A12*14.75*$I$4)/$I$7</f>
        <v>918.79238786703741</v>
      </c>
      <c r="D12">
        <f>-(2)*(A12/$I$8)</f>
        <v>-194.52592347480334</v>
      </c>
    </row>
    <row r="13" spans="1:13" x14ac:dyDescent="0.45">
      <c r="A13">
        <v>403.19</v>
      </c>
      <c r="B13">
        <f t="shared" ref="B13:B16" si="0">(A13*21.75*$I$5)/$I$6</f>
        <v>5417.3023977210032</v>
      </c>
      <c r="C13">
        <f t="shared" ref="C13:C16" si="1">(A13*14.75*$I$4)/$I$7</f>
        <v>1836.9013877329839</v>
      </c>
      <c r="D13">
        <f t="shared" ref="D13:D16" si="2">-(2)*(A13/$I$8)</f>
        <v>-388.90716063770492</v>
      </c>
    </row>
    <row r="14" spans="1:13" x14ac:dyDescent="0.45">
      <c r="A14">
        <v>598.49</v>
      </c>
      <c r="B14">
        <f t="shared" si="0"/>
        <v>8041.3733277413703</v>
      </c>
      <c r="C14">
        <f t="shared" si="1"/>
        <v>2726.6725651536835</v>
      </c>
      <c r="D14">
        <f t="shared" si="2"/>
        <v>-577.28873873374846</v>
      </c>
    </row>
    <row r="15" spans="1:13" x14ac:dyDescent="0.45">
      <c r="A15">
        <v>797.07</v>
      </c>
      <c r="B15">
        <f t="shared" si="0"/>
        <v>10709.514675838887</v>
      </c>
      <c r="C15">
        <f t="shared" si="1"/>
        <v>3631.3871601982432</v>
      </c>
      <c r="D15">
        <f t="shared" si="2"/>
        <v>-768.83412418337628</v>
      </c>
    </row>
    <row r="16" spans="1:13" x14ac:dyDescent="0.45">
      <c r="A16">
        <v>997.09</v>
      </c>
      <c r="B16">
        <f t="shared" si="0"/>
        <v>13397.004012360514</v>
      </c>
      <c r="C16">
        <f>(A16*14.75*$I$4)/$I$7</f>
        <v>4542.6622800532778</v>
      </c>
      <c r="D16">
        <f t="shared" si="2"/>
        <v>-961.76849822726069</v>
      </c>
    </row>
    <row r="18" spans="1:12" x14ac:dyDescent="0.45">
      <c r="B18" t="s">
        <v>26</v>
      </c>
    </row>
    <row r="19" spans="1:12" x14ac:dyDescent="0.45">
      <c r="A19" t="s">
        <v>0</v>
      </c>
      <c r="B19" t="s">
        <v>18</v>
      </c>
      <c r="C19" t="s">
        <v>19</v>
      </c>
      <c r="D19" t="s">
        <v>20</v>
      </c>
    </row>
    <row r="20" spans="1:12" x14ac:dyDescent="0.45">
      <c r="A20">
        <v>0</v>
      </c>
      <c r="B20">
        <v>0</v>
      </c>
      <c r="C20">
        <v>0</v>
      </c>
      <c r="D20">
        <v>0</v>
      </c>
    </row>
    <row r="21" spans="1:12" x14ac:dyDescent="0.45">
      <c r="A21">
        <v>201.67</v>
      </c>
      <c r="B21">
        <f>$L$5*E3*(10^-3)</f>
        <v>2623.5</v>
      </c>
      <c r="C21">
        <f>$L$6*B3*(10^-3)</f>
        <v>851.2</v>
      </c>
      <c r="D21">
        <f>$L$6*(D3-B3)*(10^-3)</f>
        <v>-163.4</v>
      </c>
    </row>
    <row r="22" spans="1:12" x14ac:dyDescent="0.45">
      <c r="A22">
        <v>403.19</v>
      </c>
      <c r="B22">
        <f t="shared" ref="B22:B25" si="3">$L$5*E4*(10^-3)</f>
        <v>5227.2</v>
      </c>
      <c r="C22">
        <f t="shared" ref="C22:C25" si="4">$L$6*B4*(10^-3)</f>
        <v>1675.8</v>
      </c>
      <c r="D22">
        <f t="shared" ref="D22:D25" si="5">$L$6*(D4-B4)*(10^-3)</f>
        <v>-307.8</v>
      </c>
    </row>
    <row r="23" spans="1:12" x14ac:dyDescent="0.45">
      <c r="A23">
        <v>598.49</v>
      </c>
      <c r="B23">
        <f t="shared" si="3"/>
        <v>7771.5</v>
      </c>
      <c r="C23">
        <f t="shared" si="4"/>
        <v>2481.4</v>
      </c>
      <c r="D23">
        <f t="shared" si="5"/>
        <v>-448.40000000000003</v>
      </c>
    </row>
    <row r="24" spans="1:12" x14ac:dyDescent="0.45">
      <c r="A24">
        <v>797.07</v>
      </c>
      <c r="B24">
        <f t="shared" si="3"/>
        <v>10345.5</v>
      </c>
      <c r="C24">
        <f t="shared" si="4"/>
        <v>3287</v>
      </c>
      <c r="D24">
        <f t="shared" si="5"/>
        <v>-585.20000000000005</v>
      </c>
    </row>
    <row r="25" spans="1:12" x14ac:dyDescent="0.45">
      <c r="A25">
        <v>997.09</v>
      </c>
      <c r="B25">
        <f t="shared" si="3"/>
        <v>12949.2</v>
      </c>
      <c r="C25">
        <f t="shared" si="4"/>
        <v>4100.2</v>
      </c>
      <c r="D25">
        <f t="shared" si="5"/>
        <v>-725.80000000000007</v>
      </c>
    </row>
    <row r="27" spans="1:12" x14ac:dyDescent="0.45">
      <c r="F27" s="1" t="s">
        <v>0</v>
      </c>
      <c r="G27" s="2" t="s">
        <v>27</v>
      </c>
      <c r="H27" t="s">
        <v>28</v>
      </c>
      <c r="I27" t="s">
        <v>29</v>
      </c>
      <c r="J27" t="s">
        <v>30</v>
      </c>
      <c r="K27" t="s">
        <v>20</v>
      </c>
      <c r="L27" t="s">
        <v>31</v>
      </c>
    </row>
    <row r="28" spans="1:12" x14ac:dyDescent="0.45">
      <c r="F28" s="3">
        <v>0</v>
      </c>
      <c r="G28" s="4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45">
      <c r="F29" s="5">
        <v>201.67</v>
      </c>
      <c r="G29" s="6">
        <f>(F29*21.75*$I$5)/$I$6</f>
        <v>2709.6589065909238</v>
      </c>
      <c r="H29">
        <v>2623.5</v>
      </c>
      <c r="I29">
        <v>918.79238786703741</v>
      </c>
      <c r="J29">
        <v>851.2</v>
      </c>
      <c r="K29">
        <v>-194.52592347480334</v>
      </c>
      <c r="L29">
        <v>-163.4</v>
      </c>
    </row>
    <row r="30" spans="1:12" x14ac:dyDescent="0.45">
      <c r="F30" s="3">
        <v>403.19</v>
      </c>
      <c r="G30" s="4">
        <f t="shared" ref="G30:G33" si="6">(F30*21.75*$I$5)/$I$6</f>
        <v>5417.3023977210032</v>
      </c>
      <c r="H30">
        <v>5227.2</v>
      </c>
      <c r="I30">
        <v>1836.9013877329839</v>
      </c>
      <c r="J30">
        <v>1675.8</v>
      </c>
      <c r="K30">
        <v>-388.90716063770492</v>
      </c>
      <c r="L30">
        <v>-307.8</v>
      </c>
    </row>
    <row r="31" spans="1:12" x14ac:dyDescent="0.45">
      <c r="F31" s="5">
        <v>598.49</v>
      </c>
      <c r="G31" s="6">
        <f t="shared" si="6"/>
        <v>8041.3733277413703</v>
      </c>
      <c r="H31">
        <v>7771.5</v>
      </c>
      <c r="I31">
        <v>2726.6725651536835</v>
      </c>
      <c r="J31">
        <v>2481.4</v>
      </c>
      <c r="K31">
        <v>-577.28873873374846</v>
      </c>
      <c r="L31">
        <v>-448.40000000000003</v>
      </c>
    </row>
    <row r="32" spans="1:12" x14ac:dyDescent="0.45">
      <c r="F32" s="3">
        <v>797.07</v>
      </c>
      <c r="G32" s="4">
        <f t="shared" si="6"/>
        <v>10709.514675838887</v>
      </c>
      <c r="H32">
        <v>10345.5</v>
      </c>
      <c r="I32">
        <v>3631.3871601982432</v>
      </c>
      <c r="J32">
        <v>3287</v>
      </c>
      <c r="K32">
        <v>-768.83412418337628</v>
      </c>
      <c r="L32">
        <v>-585.20000000000005</v>
      </c>
    </row>
    <row r="33" spans="6:12" x14ac:dyDescent="0.45">
      <c r="F33" s="5">
        <v>997.09</v>
      </c>
      <c r="G33" s="6">
        <f t="shared" si="6"/>
        <v>13397.004012360514</v>
      </c>
      <c r="H33">
        <v>12949.2</v>
      </c>
      <c r="I33">
        <v>4542.6622800532778</v>
      </c>
      <c r="J33">
        <v>4100.2</v>
      </c>
      <c r="K33">
        <v>-961.76849822726069</v>
      </c>
      <c r="L33">
        <v>-725.80000000000007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4C7BF29C09A459847F473FC62647D" ma:contentTypeVersion="12" ma:contentTypeDescription="Create a new document." ma:contentTypeScope="" ma:versionID="08dbc2ce77f6e9d618f9e5381392837c">
  <xsd:schema xmlns:xsd="http://www.w3.org/2001/XMLSchema" xmlns:xs="http://www.w3.org/2001/XMLSchema" xmlns:p="http://schemas.microsoft.com/office/2006/metadata/properties" xmlns:ns2="c16edb20-3aa4-4afe-a476-0df01e7c613c" xmlns:ns3="a177c1b8-29a0-45e9-aae7-bf99dab4fe04" targetNamespace="http://schemas.microsoft.com/office/2006/metadata/properties" ma:root="true" ma:fieldsID="80e868432043db789d285794671949b2" ns2:_="" ns3:_="">
    <xsd:import namespace="c16edb20-3aa4-4afe-a476-0df01e7c613c"/>
    <xsd:import namespace="a177c1b8-29a0-45e9-aae7-bf99dab4f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edb20-3aa4-4afe-a476-0df01e7c6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7c1b8-29a0-45e9-aae7-bf99dab4fe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06e373d-7a57-494f-9b6c-ea7b45031b6f}" ma:internalName="TaxCatchAll" ma:showField="CatchAllData" ma:web="a177c1b8-29a0-45e9-aae7-bf99dab4fe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77c1b8-29a0-45e9-aae7-bf99dab4fe04" xsi:nil="true"/>
    <lcf76f155ced4ddcb4097134ff3c332f xmlns="c16edb20-3aa4-4afe-a476-0df01e7c613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28B0E5-4ABD-4F75-993C-CDFDAA8FAB22}"/>
</file>

<file path=customXml/itemProps2.xml><?xml version="1.0" encoding="utf-8"?>
<ds:datastoreItem xmlns:ds="http://schemas.openxmlformats.org/officeDocument/2006/customXml" ds:itemID="{97419B6B-3768-4E18-BAC3-57FC145885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9E650A-F03B-470C-B9C8-B0AF297C80B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6ced00e7-aa6a-4a6e-b7ab-f434ea9707ea"/>
    <ds:schemaRef ds:uri="8b05737e-f81c-4dda-a30c-07eb89c1d17f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Spiller</dc:creator>
  <cp:lastModifiedBy>Hannah Spiller</cp:lastModifiedBy>
  <dcterms:created xsi:type="dcterms:W3CDTF">2022-12-07T22:19:49Z</dcterms:created>
  <dcterms:modified xsi:type="dcterms:W3CDTF">2022-12-08T19:40:53Z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0x0101004D2C42C0C4B6794DABC09C42F4091CA4</vt:lpwstr>
  </property>
</Properties>
</file>