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ttps://myerauedu.sharepoint.com/sites/H2Migos/Shared Documents/General/"/>
    </mc:Choice>
  </mc:AlternateContent>
  <bookViews>
    <workbookView xWindow="16785" yWindow="5775" windowWidth="21630" windowHeight="14850" activeTab="1"/>
  </bookViews>
  <sheets>
    <sheet name="Starting Stuff" sheetId="1" r:id="rId1"/>
    <sheet name="Solution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2" l="1"/>
  <c r="N55" i="2"/>
  <c r="N54" i="2"/>
  <c r="N53" i="2"/>
  <c r="N52" i="2"/>
  <c r="L56" i="2"/>
  <c r="L55" i="2"/>
  <c r="L54" i="2"/>
  <c r="L53" i="2"/>
  <c r="L52" i="2"/>
  <c r="L49" i="2"/>
  <c r="L48" i="2"/>
  <c r="L47" i="2"/>
  <c r="L46" i="2" l="1"/>
  <c r="L43" i="2"/>
  <c r="L41" i="2"/>
  <c r="L40" i="2"/>
  <c r="L37" i="2"/>
  <c r="L32" i="2"/>
  <c r="L30" i="2"/>
  <c r="L31" i="2"/>
  <c r="L27" i="2"/>
  <c r="L24" i="2"/>
  <c r="B46" i="2"/>
  <c r="B48" i="2" s="1"/>
  <c r="B62" i="2" s="1"/>
  <c r="B64" i="2" s="1"/>
  <c r="B65" i="2" s="1"/>
  <c r="B59" i="2" l="1"/>
  <c r="B21" i="2"/>
  <c r="B23" i="2"/>
  <c r="B22" i="2"/>
  <c r="D29" i="2"/>
  <c r="B29" i="2"/>
  <c r="B4" i="2"/>
  <c r="B58" i="2" s="1"/>
  <c r="B3" i="2"/>
  <c r="B38" i="2" s="1"/>
  <c r="B68" i="2" s="1"/>
  <c r="B2" i="2"/>
  <c r="B72" i="2" s="1"/>
  <c r="K9" i="1"/>
  <c r="C31" i="1" s="1"/>
  <c r="C17" i="1"/>
  <c r="C16" i="1"/>
  <c r="C15" i="1"/>
  <c r="B24" i="2" l="1"/>
  <c r="B73" i="2" s="1"/>
  <c r="B75" i="2" s="1"/>
  <c r="C20" i="1"/>
  <c r="C33" i="1"/>
  <c r="C35" i="1" l="1"/>
  <c r="C42" i="1" s="1"/>
  <c r="E35" i="1"/>
  <c r="E42" i="1" s="1"/>
  <c r="E45" i="1" l="1"/>
  <c r="E46" i="1" s="1"/>
  <c r="E43" i="1"/>
  <c r="C43" i="1"/>
  <c r="C45" i="1"/>
  <c r="C46" i="1" s="1"/>
</calcChain>
</file>

<file path=xl/sharedStrings.xml><?xml version="1.0" encoding="utf-8"?>
<sst xmlns="http://schemas.openxmlformats.org/spreadsheetml/2006/main" count="260" uniqueCount="166">
  <si>
    <t>If the hydrogen gas exits the electrolyzer at 300°C, what does the heat transfer look like through a straight pipe?</t>
  </si>
  <si>
    <t>Q dot conduction through a cylinder with purely axial HT, steady</t>
  </si>
  <si>
    <t>English</t>
  </si>
  <si>
    <t>Metric</t>
  </si>
  <si>
    <t>Inner Diameter (in)</t>
  </si>
  <si>
    <t>(m)</t>
  </si>
  <si>
    <t>https://www.mcmaster.com/5175K133/</t>
  </si>
  <si>
    <t>Outer Diameter (in)</t>
  </si>
  <si>
    <t>Length (in)</t>
  </si>
  <si>
    <t>Thermal Conductivity</t>
  </si>
  <si>
    <t>(W/m*K)</t>
  </si>
  <si>
    <t>Copper @ 327°C</t>
  </si>
  <si>
    <t>https://www.engineeringtoolbox.com/thermal-conductivity-metals-d_858.html</t>
  </si>
  <si>
    <t>Thermal Resistance</t>
  </si>
  <si>
    <t>(K/W)</t>
  </si>
  <si>
    <t>pg 499</t>
  </si>
  <si>
    <t>Mass Flow Rate</t>
  </si>
  <si>
    <t>(kg/s)</t>
  </si>
  <si>
    <t>Dynamic Viscosity</t>
  </si>
  <si>
    <t>(kg/m*s)</t>
  </si>
  <si>
    <t>Hydrogen gas @ 300°C</t>
  </si>
  <si>
    <t>https://www.lmnoeng.com/Flow/GasViscosity.php</t>
  </si>
  <si>
    <t>Inner Diameter</t>
  </si>
  <si>
    <t>Reynolds Number</t>
  </si>
  <si>
    <t>What we need:</t>
  </si>
  <si>
    <t>Temperature of hydrogen gas &amp; copper pipe when it enters the t-fitting</t>
  </si>
  <si>
    <t xml:space="preserve">Questions: </t>
  </si>
  <si>
    <t>What assumptions &amp; simplifications can be made since the pipe is so thin?</t>
  </si>
  <si>
    <t>Neglect thermal resistance w.r.t. radial heat transfer?</t>
  </si>
  <si>
    <t>Assume same temp as hydrogen, or as air, or as median?</t>
  </si>
  <si>
    <t>If the pipe is the same temp as the air, use the equations of constant surface temperature?</t>
  </si>
  <si>
    <t>Or is there no canned equation, and we need to somehow integrate along the length of the pipe?</t>
  </si>
  <si>
    <t>We just need to ensure the exit temp of the air &amp; pipe stay below _, is there a super conservative equation to use?</t>
  </si>
  <si>
    <t>Nusselt Number:</t>
  </si>
  <si>
    <t>Thermal Boundary Layer:</t>
  </si>
  <si>
    <t>pg 412</t>
  </si>
  <si>
    <t>pg 405</t>
  </si>
  <si>
    <t>Placeholder Values</t>
  </si>
  <si>
    <t>Standard Air @300°C</t>
  </si>
  <si>
    <t>* fuel cell needs 0.02 grams H2 to operate for 10 minutes</t>
  </si>
  <si>
    <t>Necessary Mass flow rate of hydrogen gas</t>
  </si>
  <si>
    <t>(g/s)</t>
  </si>
  <si>
    <t>https://genh2hydrogen.com/defining-hydrogen-from-a-to-z-3/#:~:text=Trying%20to%20achieve%20the%20same,density%20of%2039.6%20g%2FL.</t>
  </si>
  <si>
    <t>Hydrogen gas density STP</t>
  </si>
  <si>
    <t>(g/L)</t>
  </si>
  <si>
    <t>This motherfucker is laminar</t>
  </si>
  <si>
    <t>pg 502</t>
  </si>
  <si>
    <t>Hydrodynamic Entry Length</t>
  </si>
  <si>
    <t>(mm)</t>
  </si>
  <si>
    <t>Thermal Entry Length</t>
  </si>
  <si>
    <t>Prandtl Number</t>
  </si>
  <si>
    <t>at 300°C &amp; 1 atm</t>
  </si>
  <si>
    <t xml:space="preserve">From textbook, appendix 1 Tables A-15 and </t>
  </si>
  <si>
    <t>In conclusion: that shit is fully developed IMMEDIATELY</t>
  </si>
  <si>
    <t>Constant Surface Temperature</t>
  </si>
  <si>
    <t>pg 505</t>
  </si>
  <si>
    <t>pg 506</t>
  </si>
  <si>
    <t>pg 507</t>
  </si>
  <si>
    <t>Look at example 8-1 on page 507!!</t>
  </si>
  <si>
    <t>pg 509: veloctiy profile &amp; pressure drop equations for internal laminar flow!</t>
  </si>
  <si>
    <t>pg 513</t>
  </si>
  <si>
    <t>LETS FUCKING GO THAT'S WHAT I WANTED</t>
  </si>
  <si>
    <t>Global Constants</t>
  </si>
  <si>
    <t>Mass Flow Rate of Hydrogen Gas</t>
  </si>
  <si>
    <t>Based on: fuel cell needs 0.02 g H2 over 10 minutes</t>
  </si>
  <si>
    <t>(in)</t>
  </si>
  <si>
    <t>Outer Diameter</t>
  </si>
  <si>
    <t>Constants</t>
  </si>
  <si>
    <t>Dynamic Viscocity</t>
  </si>
  <si>
    <t>Reference</t>
  </si>
  <si>
    <t>Equation 8-5</t>
  </si>
  <si>
    <t>Appendix 1 Table A-15 &amp;</t>
  </si>
  <si>
    <t>Nussult Number</t>
  </si>
  <si>
    <t>Equation 8-16</t>
  </si>
  <si>
    <t>*include justifications for applying certain equations!*</t>
  </si>
  <si>
    <t>(W/m2*K)</t>
  </si>
  <si>
    <t>Equation 8-11</t>
  </si>
  <si>
    <t>Equation 8-12</t>
  </si>
  <si>
    <t>Equation 8-61</t>
  </si>
  <si>
    <t>Specific Heat</t>
  </si>
  <si>
    <t>Bulk Mean Fluid Temperature</t>
  </si>
  <si>
    <t>(°C)</t>
  </si>
  <si>
    <t>Air</t>
  </si>
  <si>
    <t>Hydrogen</t>
  </si>
  <si>
    <t>Surface Temperature</t>
  </si>
  <si>
    <t>▲Ti</t>
  </si>
  <si>
    <t>Inlet Temperature</t>
  </si>
  <si>
    <t>Exit Temperature</t>
  </si>
  <si>
    <t>▲Te</t>
  </si>
  <si>
    <t>Log Mean Temperature Difference</t>
  </si>
  <si>
    <t>Average of hydrogen gas &amp; air</t>
  </si>
  <si>
    <t>Surface temperature: find internal and external convection heat transfer coefficient to see which dominates temperature</t>
  </si>
  <si>
    <t>Internal Convection Heat Transfer Coefficient</t>
  </si>
  <si>
    <t>External Convection Heat Transfer Coefficient</t>
  </si>
  <si>
    <t>Rate of Heat Transfer</t>
  </si>
  <si>
    <t>Heat Transfer Surface Area</t>
  </si>
  <si>
    <t>Required Length</t>
  </si>
  <si>
    <t xml:space="preserve">Appendix 1 Table A-15 &amp; </t>
  </si>
  <si>
    <t>Page 949</t>
  </si>
  <si>
    <t xml:space="preserve">                                         </t>
  </si>
  <si>
    <t>Bulk mean temperature (250°C) and 1 atm</t>
  </si>
  <si>
    <t>?</t>
  </si>
  <si>
    <t>pg 465 if forced</t>
  </si>
  <si>
    <t>pg 565 if natural</t>
  </si>
  <si>
    <t>pg 562</t>
  </si>
  <si>
    <t>pg 564</t>
  </si>
  <si>
    <t>pg 565</t>
  </si>
  <si>
    <t>Determining External Convection Heat Transfer Coefficient</t>
  </si>
  <si>
    <t>Equation 9-15</t>
  </si>
  <si>
    <t>Gravitational Acceleration</t>
  </si>
  <si>
    <t>(m/s^2)</t>
  </si>
  <si>
    <t>Coefficient of Volume Expansion</t>
  </si>
  <si>
    <t>(1/K)</t>
  </si>
  <si>
    <t>Temperature of Surface</t>
  </si>
  <si>
    <t>Length of Cylinder</t>
  </si>
  <si>
    <t>Temperature of Surrounding Fluid</t>
  </si>
  <si>
    <t>Grashof Number</t>
  </si>
  <si>
    <t>*need to iterate, since this process requires temperature of surface</t>
  </si>
  <si>
    <t>Kinematic Viscocity</t>
  </si>
  <si>
    <t>(m^2/s)</t>
  </si>
  <si>
    <t>Check:</t>
  </si>
  <si>
    <t>35L/Gr^(1/4)</t>
  </si>
  <si>
    <t>If it can be treated as a verticle plate:</t>
  </si>
  <si>
    <t>Rayleigh Number</t>
  </si>
  <si>
    <t>Equation 9-17</t>
  </si>
  <si>
    <t>External Nussult Number</t>
  </si>
  <si>
    <t>External Prandtl Number</t>
  </si>
  <si>
    <t>pg 949, 20°C &amp; 1 atm</t>
  </si>
  <si>
    <t>Equation 9-16</t>
  </si>
  <si>
    <t>Compare:</t>
  </si>
  <si>
    <t>From analysis above</t>
  </si>
  <si>
    <t>Therefore: temperature of pipe is dominated by:</t>
  </si>
  <si>
    <t>Values based on Temperature</t>
  </si>
  <si>
    <t>Values to control/decide</t>
  </si>
  <si>
    <t>Values that need to be checked</t>
  </si>
  <si>
    <t>Values used for decisions</t>
  </si>
  <si>
    <t>Equations to Use</t>
  </si>
  <si>
    <t>Process:</t>
  </si>
  <si>
    <t>Choose temperatures</t>
  </si>
  <si>
    <t>External convection coefficient</t>
  </si>
  <si>
    <t>Internal convection coefficient</t>
  </si>
  <si>
    <t>Update surface temperature, iterate 2&amp;3</t>
  </si>
  <si>
    <t>Equation 8-32</t>
  </si>
  <si>
    <t>Air exiting material storage</t>
  </si>
  <si>
    <t>Source</t>
  </si>
  <si>
    <t>Eq 9-15</t>
  </si>
  <si>
    <t>Kinematic Viscosity</t>
  </si>
  <si>
    <t>Table A-15, 20°C</t>
  </si>
  <si>
    <t>https://www.engineeringtoolbox.com/air-density-specific-weight-d_600.html, thermal expansion coefficient @ 20°C</t>
  </si>
  <si>
    <t>Diameter</t>
  </si>
  <si>
    <t>35L/Gr</t>
  </si>
  <si>
    <t>Pipe Length</t>
  </si>
  <si>
    <t>Eq 9-28</t>
  </si>
  <si>
    <t>Conclusion: cannot treat cylinder like vertical plate, find equation to find Nusselt Number</t>
  </si>
  <si>
    <t>What is max allowable length for valid equation?</t>
  </si>
  <si>
    <t>Max Length</t>
  </si>
  <si>
    <t>Check: D &gt; 35L/Gr^0.25</t>
  </si>
  <si>
    <t>Eq 9-17</t>
  </si>
  <si>
    <t>Nusselt Number</t>
  </si>
  <si>
    <t>Eq 9-21</t>
  </si>
  <si>
    <t>Heat Transfer Coefficient</t>
  </si>
  <si>
    <t>Eq 9-16</t>
  </si>
  <si>
    <t>Eq 8-33</t>
  </si>
  <si>
    <t>Hydrogen Gas</t>
  </si>
  <si>
    <t>(J/kg*K)</t>
  </si>
  <si>
    <t>Table A-15, 225°C interpolation &amp; A-16 225°C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</si>
</sst>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  <xf numFmtId="0" fontId="0" fillId="3" borderId="0" xfId="0" applyFill="1"/>
    <xf numFmtId="0" fontId="1" fillId="0" borderId="0" xfId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11" fontId="0" fillId="6" borderId="0" xfId="0" applyNumberFormat="1" applyFill="1" applyAlignment="1">
      <alignment horizontal="left"/>
    </xf>
    <xf numFmtId="0" fontId="0" fillId="6" borderId="0" xfId="0" applyFill="1"/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16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0" fillId="0" borderId="2" xfId="0" applyBorder="1" applyAlignment="1">
      <alignment horizontal="left"/>
    </xf>
    <xf numFmtId="0" fontId="0" fillId="7" borderId="0" xfId="0" applyFill="1" applyAlignment="1">
      <alignment horizontal="left"/>
    </xf>
    <xf numFmtId="11" fontId="0" fillId="7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9525</xdr:rowOff>
    </xdr:from>
    <xdr:to>
      <xdr:col>7</xdr:col>
      <xdr:colOff>429415</xdr:colOff>
      <xdr:row>10</xdr:row>
      <xdr:rowOff>28764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81025"/>
          <a:ext cx="5658640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19050</xdr:colOff>
      <xdr:row>28</xdr:row>
      <xdr:rowOff>108556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5343525" cy="125155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157</xdr:row>
      <xdr:rowOff>57150</xdr:rowOff>
    </xdr:from>
    <xdr:to>
      <xdr:col>8</xdr:col>
      <xdr:colOff>562653</xdr:colOff>
      <xdr:row>159</xdr:row>
      <xdr:rowOff>152466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8300" y="12249150"/>
          <a:ext cx="4858428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164</xdr:row>
      <xdr:rowOff>123825</xdr:rowOff>
    </xdr:from>
    <xdr:to>
      <xdr:col>5</xdr:col>
      <xdr:colOff>229193</xdr:colOff>
      <xdr:row>185</xdr:row>
      <xdr:rowOff>114857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13649325"/>
          <a:ext cx="4248743" cy="399153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188</xdr:row>
      <xdr:rowOff>0</xdr:rowOff>
    </xdr:from>
    <xdr:to>
      <xdr:col>5</xdr:col>
      <xdr:colOff>572147</xdr:colOff>
      <xdr:row>190</xdr:row>
      <xdr:rowOff>123895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18097500"/>
          <a:ext cx="4639322" cy="5048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15</xdr:col>
      <xdr:colOff>524614</xdr:colOff>
      <xdr:row>28</xdr:row>
      <xdr:rowOff>171607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53175" y="4381500"/>
          <a:ext cx="5296639" cy="1124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4</xdr:col>
      <xdr:colOff>448225</xdr:colOff>
      <xdr:row>39</xdr:row>
      <xdr:rowOff>114396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858000"/>
          <a:ext cx="3943900" cy="685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4</xdr:col>
      <xdr:colOff>524436</xdr:colOff>
      <xdr:row>51</xdr:row>
      <xdr:rowOff>104816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525000"/>
          <a:ext cx="4020111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0</xdr:rowOff>
    </xdr:from>
    <xdr:to>
      <xdr:col>5</xdr:col>
      <xdr:colOff>124413</xdr:colOff>
      <xdr:row>54</xdr:row>
      <xdr:rowOff>114369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" y="9906000"/>
          <a:ext cx="4210638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69</xdr:row>
      <xdr:rowOff>0</xdr:rowOff>
    </xdr:from>
    <xdr:to>
      <xdr:col>7</xdr:col>
      <xdr:colOff>48371</xdr:colOff>
      <xdr:row>71</xdr:row>
      <xdr:rowOff>142948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75" y="12382500"/>
          <a:ext cx="5344271" cy="5239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73</xdr:row>
      <xdr:rowOff>38100</xdr:rowOff>
    </xdr:from>
    <xdr:to>
      <xdr:col>7</xdr:col>
      <xdr:colOff>38844</xdr:colOff>
      <xdr:row>78</xdr:row>
      <xdr:rowOff>9654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" y="13182600"/>
          <a:ext cx="5334744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55</xdr:row>
      <xdr:rowOff>161925</xdr:rowOff>
    </xdr:from>
    <xdr:to>
      <xdr:col>7</xdr:col>
      <xdr:colOff>29310</xdr:colOff>
      <xdr:row>66</xdr:row>
      <xdr:rowOff>19323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725" y="10639425"/>
          <a:ext cx="5268060" cy="195289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84</xdr:row>
      <xdr:rowOff>0</xdr:rowOff>
    </xdr:from>
    <xdr:to>
      <xdr:col>7</xdr:col>
      <xdr:colOff>153160</xdr:colOff>
      <xdr:row>89</xdr:row>
      <xdr:rowOff>143028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575" y="16002000"/>
          <a:ext cx="5449060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142875</xdr:rowOff>
    </xdr:from>
    <xdr:to>
      <xdr:col>6</xdr:col>
      <xdr:colOff>372185</xdr:colOff>
      <xdr:row>98</xdr:row>
      <xdr:rowOff>66904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7097375"/>
          <a:ext cx="5087060" cy="163852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90</xdr:row>
      <xdr:rowOff>1</xdr:rowOff>
    </xdr:from>
    <xdr:to>
      <xdr:col>10</xdr:col>
      <xdr:colOff>285750</xdr:colOff>
      <xdr:row>94</xdr:row>
      <xdr:rowOff>136209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17145001"/>
          <a:ext cx="2733675" cy="8982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4</xdr:col>
      <xdr:colOff>391067</xdr:colOff>
      <xdr:row>102</xdr:row>
      <xdr:rowOff>181053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9050000"/>
          <a:ext cx="3886742" cy="562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5</xdr:col>
      <xdr:colOff>324468</xdr:colOff>
      <xdr:row>106</xdr:row>
      <xdr:rowOff>47711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9621500"/>
          <a:ext cx="4429743" cy="619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142875</xdr:rowOff>
    </xdr:from>
    <xdr:to>
      <xdr:col>9</xdr:col>
      <xdr:colOff>1334599</xdr:colOff>
      <xdr:row>114</xdr:row>
      <xdr:rowOff>19219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0526375"/>
          <a:ext cx="7878274" cy="1209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6</xdr:col>
      <xdr:colOff>534133</xdr:colOff>
      <xdr:row>126</xdr:row>
      <xdr:rowOff>57477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1717000"/>
          <a:ext cx="5249008" cy="2343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66675</xdr:rowOff>
    </xdr:from>
    <xdr:to>
      <xdr:col>9</xdr:col>
      <xdr:colOff>1334599</xdr:colOff>
      <xdr:row>132</xdr:row>
      <xdr:rowOff>171624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4069675"/>
          <a:ext cx="7878274" cy="1247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5</xdr:col>
      <xdr:colOff>372100</xdr:colOff>
      <xdr:row>135</xdr:row>
      <xdr:rowOff>152474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5336500"/>
          <a:ext cx="4477375" cy="533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49</xdr:row>
      <xdr:rowOff>171450</xdr:rowOff>
    </xdr:from>
    <xdr:to>
      <xdr:col>1</xdr:col>
      <xdr:colOff>620224</xdr:colOff>
      <xdr:row>56</xdr:row>
      <xdr:rowOff>47794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791"/>
        <a:stretch/>
      </xdr:blipFill>
      <xdr:spPr>
        <a:xfrm>
          <a:off x="95250" y="9505950"/>
          <a:ext cx="3325324" cy="120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mnoeng.com/Flow/GasViscosity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ineeringtoolbox.com/air-density-specific-weight-d_600.html,%20thermal%20expansion%20coefficient%20@%2020&#176;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workbookViewId="0">
      <selection activeCell="K81" sqref="K81"/>
    </sheetView>
  </sheetViews>
  <sheetFormatPr defaultRowHeight="15" x14ac:dyDescent="0.25"/>
  <cols>
    <col min="1" max="1" width="22.140625" customWidth="1"/>
    <col min="3" max="3" width="12" bestFit="1" customWidth="1"/>
    <col min="10" max="10" width="23" customWidth="1"/>
    <col min="11" max="11" width="12" bestFit="1" customWidth="1"/>
  </cols>
  <sheetData>
    <row r="1" spans="1:13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3" spans="1:13" x14ac:dyDescent="0.25">
      <c r="A3" t="s">
        <v>1</v>
      </c>
    </row>
    <row r="4" spans="1:13" x14ac:dyDescent="0.25">
      <c r="K4" s="25" t="s">
        <v>37</v>
      </c>
      <c r="L4" s="25"/>
    </row>
    <row r="8" spans="1:13" x14ac:dyDescent="0.25">
      <c r="K8" t="s">
        <v>39</v>
      </c>
    </row>
    <row r="9" spans="1:13" x14ac:dyDescent="0.25">
      <c r="J9" t="s">
        <v>40</v>
      </c>
      <c r="K9">
        <f>0.02/10/60</f>
        <v>3.3333333333333335E-5</v>
      </c>
      <c r="L9" t="s">
        <v>41</v>
      </c>
    </row>
    <row r="10" spans="1:13" x14ac:dyDescent="0.25">
      <c r="J10" t="s">
        <v>43</v>
      </c>
      <c r="K10">
        <v>8.3000000000000004E-2</v>
      </c>
      <c r="L10" t="s">
        <v>44</v>
      </c>
      <c r="M10" t="s">
        <v>42</v>
      </c>
    </row>
    <row r="14" spans="1:13" x14ac:dyDescent="0.25">
      <c r="B14" t="s">
        <v>2</v>
      </c>
      <c r="C14" t="s">
        <v>3</v>
      </c>
    </row>
    <row r="15" spans="1:13" x14ac:dyDescent="0.25">
      <c r="A15" t="s">
        <v>4</v>
      </c>
      <c r="B15">
        <v>0.45</v>
      </c>
      <c r="C15">
        <f>B15*0.0254</f>
        <v>1.1429999999999999E-2</v>
      </c>
      <c r="D15" t="s">
        <v>5</v>
      </c>
      <c r="F15" t="s">
        <v>6</v>
      </c>
    </row>
    <row r="16" spans="1:13" x14ac:dyDescent="0.25">
      <c r="A16" t="s">
        <v>7</v>
      </c>
      <c r="B16">
        <v>0.5</v>
      </c>
      <c r="C16">
        <f>B16*0.0254</f>
        <v>1.2699999999999999E-2</v>
      </c>
      <c r="D16" t="s">
        <v>5</v>
      </c>
    </row>
    <row r="17" spans="1:9" x14ac:dyDescent="0.25">
      <c r="A17" s="4" t="s">
        <v>8</v>
      </c>
      <c r="B17" s="4">
        <v>24</v>
      </c>
      <c r="C17" s="4">
        <f>B17*0.0254</f>
        <v>0.60959999999999992</v>
      </c>
      <c r="D17" s="4" t="s">
        <v>5</v>
      </c>
    </row>
    <row r="18" spans="1:9" x14ac:dyDescent="0.25">
      <c r="A18" t="s">
        <v>9</v>
      </c>
      <c r="C18">
        <v>383</v>
      </c>
      <c r="D18" t="s">
        <v>10</v>
      </c>
      <c r="F18" t="s">
        <v>11</v>
      </c>
      <c r="H18" t="s">
        <v>12</v>
      </c>
    </row>
    <row r="20" spans="1:9" x14ac:dyDescent="0.25">
      <c r="A20" s="1" t="s">
        <v>13</v>
      </c>
      <c r="B20" s="1"/>
      <c r="C20" s="1">
        <f>LN(C16/C15)/(2*PI()*C17*C18)</f>
        <v>7.182146951497581E-5</v>
      </c>
      <c r="D20" s="1" t="s">
        <v>14</v>
      </c>
    </row>
    <row r="23" spans="1:9" x14ac:dyDescent="0.25">
      <c r="I23" t="s">
        <v>15</v>
      </c>
    </row>
    <row r="30" spans="1:9" x14ac:dyDescent="0.25">
      <c r="C30" t="s">
        <v>20</v>
      </c>
      <c r="E30" t="s">
        <v>38</v>
      </c>
    </row>
    <row r="31" spans="1:9" x14ac:dyDescent="0.25">
      <c r="A31" s="6" t="s">
        <v>16</v>
      </c>
      <c r="B31" s="6"/>
      <c r="C31" s="6">
        <f>K9/1000</f>
        <v>3.3333333333333334E-8</v>
      </c>
      <c r="D31" s="6" t="s">
        <v>17</v>
      </c>
    </row>
    <row r="32" spans="1:9" x14ac:dyDescent="0.25">
      <c r="A32" t="s">
        <v>18</v>
      </c>
      <c r="C32" s="2">
        <v>1.3533103000000001E-5</v>
      </c>
      <c r="D32" t="s">
        <v>19</v>
      </c>
      <c r="E32" s="2">
        <v>2.9935772999999998E-5</v>
      </c>
      <c r="F32" t="s">
        <v>19</v>
      </c>
      <c r="I32" s="5" t="s">
        <v>21</v>
      </c>
    </row>
    <row r="33" spans="1:9" x14ac:dyDescent="0.25">
      <c r="A33" t="s">
        <v>22</v>
      </c>
      <c r="C33">
        <f>C15</f>
        <v>1.1429999999999999E-2</v>
      </c>
      <c r="D33" t="s">
        <v>5</v>
      </c>
    </row>
    <row r="35" spans="1:9" x14ac:dyDescent="0.25">
      <c r="A35" s="1" t="s">
        <v>23</v>
      </c>
      <c r="B35" s="1"/>
      <c r="C35" s="3">
        <f>4*C31/(C32*PI()*C33)</f>
        <v>0.27437544773815192</v>
      </c>
      <c r="D35" s="1"/>
      <c r="E35" s="3">
        <f>4*C31/(E32*PI()*C33)</f>
        <v>0.12403725786240857</v>
      </c>
      <c r="G35" t="s">
        <v>45</v>
      </c>
    </row>
    <row r="37" spans="1:9" x14ac:dyDescent="0.25">
      <c r="G37" t="s">
        <v>46</v>
      </c>
    </row>
    <row r="42" spans="1:9" x14ac:dyDescent="0.25">
      <c r="A42" t="s">
        <v>47</v>
      </c>
      <c r="C42" s="2">
        <f>0.05*C35*C33</f>
        <v>1.5680556838235381E-4</v>
      </c>
      <c r="D42" t="s">
        <v>5</v>
      </c>
      <c r="E42" s="2">
        <f>0.05*E35*C33</f>
        <v>7.0887292868366495E-5</v>
      </c>
    </row>
    <row r="43" spans="1:9" x14ac:dyDescent="0.25">
      <c r="C43" s="2">
        <f>C42*1000</f>
        <v>0.15680556838235382</v>
      </c>
      <c r="D43" t="s">
        <v>48</v>
      </c>
      <c r="E43" s="2">
        <f>E42*1000</f>
        <v>7.0887292868366494E-2</v>
      </c>
    </row>
    <row r="44" spans="1:9" x14ac:dyDescent="0.25">
      <c r="A44" t="s">
        <v>50</v>
      </c>
      <c r="C44">
        <v>0.71489999999999998</v>
      </c>
      <c r="E44">
        <v>0.69350000000000001</v>
      </c>
      <c r="G44" t="s">
        <v>51</v>
      </c>
      <c r="I44" t="s">
        <v>52</v>
      </c>
    </row>
    <row r="45" spans="1:9" x14ac:dyDescent="0.25">
      <c r="A45" t="s">
        <v>49</v>
      </c>
      <c r="C45" s="2">
        <f>C44*C42</f>
        <v>1.1210030083654474E-4</v>
      </c>
      <c r="D45" t="s">
        <v>5</v>
      </c>
      <c r="E45" s="2">
        <f>E44*E42</f>
        <v>4.9160337604212161E-5</v>
      </c>
    </row>
    <row r="46" spans="1:9" x14ac:dyDescent="0.25">
      <c r="C46" s="2">
        <f>C45*1000</f>
        <v>0.11210030083654474</v>
      </c>
      <c r="D46" t="s">
        <v>48</v>
      </c>
      <c r="E46" s="2">
        <f>E45*1000</f>
        <v>4.9160337604212158E-2</v>
      </c>
    </row>
    <row r="47" spans="1:9" x14ac:dyDescent="0.25">
      <c r="A47" s="24" t="s">
        <v>53</v>
      </c>
      <c r="B47" s="24"/>
      <c r="C47" s="24"/>
      <c r="D47" s="24"/>
      <c r="E47" s="24"/>
    </row>
    <row r="50" spans="1:9" x14ac:dyDescent="0.25">
      <c r="A50" t="s">
        <v>54</v>
      </c>
    </row>
    <row r="51" spans="1:9" x14ac:dyDescent="0.25">
      <c r="G51" t="s">
        <v>55</v>
      </c>
    </row>
    <row r="53" spans="1:9" x14ac:dyDescent="0.25">
      <c r="G53" t="s">
        <v>56</v>
      </c>
    </row>
    <row r="57" spans="1:9" x14ac:dyDescent="0.25">
      <c r="H57" t="s">
        <v>57</v>
      </c>
    </row>
    <row r="60" spans="1:9" x14ac:dyDescent="0.25">
      <c r="I60" t="s">
        <v>58</v>
      </c>
    </row>
    <row r="68" spans="1:9" x14ac:dyDescent="0.25">
      <c r="A68" t="s">
        <v>59</v>
      </c>
    </row>
    <row r="70" spans="1:9" x14ac:dyDescent="0.25">
      <c r="I70" t="s">
        <v>60</v>
      </c>
    </row>
    <row r="73" spans="1:9" x14ac:dyDescent="0.25">
      <c r="A73" t="s">
        <v>61</v>
      </c>
    </row>
    <row r="78" spans="1:9" x14ac:dyDescent="0.25">
      <c r="A78" s="6"/>
      <c r="B78" s="6"/>
      <c r="C78" s="6"/>
      <c r="D78" s="6"/>
    </row>
    <row r="81" spans="1:9" x14ac:dyDescent="0.25">
      <c r="A81" t="s">
        <v>91</v>
      </c>
    </row>
    <row r="82" spans="1:9" x14ac:dyDescent="0.25">
      <c r="A82" t="s">
        <v>102</v>
      </c>
    </row>
    <row r="83" spans="1:9" x14ac:dyDescent="0.25">
      <c r="A83" t="s">
        <v>103</v>
      </c>
    </row>
    <row r="85" spans="1:9" x14ac:dyDescent="0.25">
      <c r="I85" t="s">
        <v>104</v>
      </c>
    </row>
    <row r="101" spans="7:11" x14ac:dyDescent="0.25">
      <c r="G101" t="s">
        <v>105</v>
      </c>
    </row>
    <row r="109" spans="7:11" x14ac:dyDescent="0.25">
      <c r="K109" t="s">
        <v>106</v>
      </c>
    </row>
    <row r="152" spans="1:3" x14ac:dyDescent="0.25">
      <c r="A152" t="s">
        <v>24</v>
      </c>
      <c r="B152" t="s">
        <v>25</v>
      </c>
    </row>
    <row r="154" spans="1:3" x14ac:dyDescent="0.25">
      <c r="A154" t="s">
        <v>26</v>
      </c>
      <c r="B154" t="s">
        <v>27</v>
      </c>
    </row>
    <row r="155" spans="1:3" x14ac:dyDescent="0.25">
      <c r="C155" t="s">
        <v>28</v>
      </c>
    </row>
    <row r="156" spans="1:3" x14ac:dyDescent="0.25">
      <c r="C156" t="s">
        <v>29</v>
      </c>
    </row>
    <row r="157" spans="1:3" x14ac:dyDescent="0.25">
      <c r="B157" t="s">
        <v>30</v>
      </c>
    </row>
    <row r="161" spans="1:8" x14ac:dyDescent="0.25">
      <c r="B161" t="s">
        <v>31</v>
      </c>
    </row>
    <row r="162" spans="1:8" x14ac:dyDescent="0.25">
      <c r="B162" t="s">
        <v>32</v>
      </c>
    </row>
    <row r="164" spans="1:8" x14ac:dyDescent="0.25">
      <c r="A164" t="s">
        <v>33</v>
      </c>
    </row>
    <row r="166" spans="1:8" x14ac:dyDescent="0.25">
      <c r="H166" t="s">
        <v>36</v>
      </c>
    </row>
    <row r="188" spans="1:8" x14ac:dyDescent="0.25">
      <c r="A188" t="s">
        <v>34</v>
      </c>
    </row>
    <row r="190" spans="1:8" x14ac:dyDescent="0.25">
      <c r="H190" t="s">
        <v>35</v>
      </c>
    </row>
  </sheetData>
  <mergeCells count="3">
    <mergeCell ref="A1:J1"/>
    <mergeCell ref="K4:L4"/>
    <mergeCell ref="A47:E47"/>
  </mergeCells>
  <hyperlinks>
    <hyperlink ref="I3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F37" zoomScaleNormal="100" workbookViewId="0">
      <selection activeCell="K59" sqref="K59"/>
    </sheetView>
  </sheetViews>
  <sheetFormatPr defaultRowHeight="15" x14ac:dyDescent="0.25"/>
  <cols>
    <col min="1" max="1" width="42" style="7" customWidth="1"/>
    <col min="2" max="2" width="11" style="7" bestFit="1" customWidth="1"/>
    <col min="3" max="3" width="10" style="7" bestFit="1" customWidth="1"/>
    <col min="4" max="4" width="9.140625" style="7"/>
    <col min="5" max="5" width="10" style="7" bestFit="1" customWidth="1"/>
    <col min="6" max="6" width="9.140625" style="7"/>
    <col min="7" max="7" width="12.7109375" style="7" customWidth="1"/>
    <col min="8" max="10" width="9.140625" style="7"/>
    <col min="11" max="11" width="31.7109375" style="7" bestFit="1" customWidth="1"/>
    <col min="12" max="12" width="12" style="7" bestFit="1" customWidth="1"/>
    <col min="13" max="13" width="9.140625" style="7"/>
    <col min="14" max="14" width="12" style="7" bestFit="1" customWidth="1"/>
    <col min="15" max="16384" width="9.140625" style="7"/>
  </cols>
  <sheetData>
    <row r="1" spans="1:15" x14ac:dyDescent="0.25">
      <c r="A1" s="8" t="s">
        <v>62</v>
      </c>
    </row>
    <row r="2" spans="1:15" x14ac:dyDescent="0.25">
      <c r="A2" s="7" t="s">
        <v>63</v>
      </c>
      <c r="B2" s="7">
        <f>0.02/10/60</f>
        <v>3.3333333333333335E-5</v>
      </c>
      <c r="C2" s="7" t="s">
        <v>41</v>
      </c>
      <c r="D2" s="7" t="s">
        <v>64</v>
      </c>
    </row>
    <row r="3" spans="1:15" x14ac:dyDescent="0.25">
      <c r="A3" s="7" t="s">
        <v>22</v>
      </c>
      <c r="B3" s="7">
        <f>D3*0.0254</f>
        <v>1.1429999999999999E-2</v>
      </c>
      <c r="C3" s="7" t="s">
        <v>5</v>
      </c>
      <c r="D3" s="7">
        <v>0.45</v>
      </c>
      <c r="E3" s="7" t="s">
        <v>65</v>
      </c>
    </row>
    <row r="4" spans="1:15" x14ac:dyDescent="0.25">
      <c r="A4" s="7" t="s">
        <v>66</v>
      </c>
      <c r="B4" s="7">
        <f>D4*0.0254</f>
        <v>1.2699999999999999E-2</v>
      </c>
      <c r="C4" s="7" t="s">
        <v>5</v>
      </c>
      <c r="D4" s="7">
        <v>0.5</v>
      </c>
      <c r="E4" s="7" t="s">
        <v>65</v>
      </c>
      <c r="L4" s="7" t="s">
        <v>137</v>
      </c>
    </row>
    <row r="5" spans="1:15" x14ac:dyDescent="0.25">
      <c r="K5" s="7">
        <v>1</v>
      </c>
      <c r="L5" s="7" t="s">
        <v>138</v>
      </c>
    </row>
    <row r="6" spans="1:15" x14ac:dyDescent="0.25">
      <c r="K6" s="7">
        <v>2</v>
      </c>
      <c r="L6" s="7" t="s">
        <v>139</v>
      </c>
    </row>
    <row r="7" spans="1:15" x14ac:dyDescent="0.25">
      <c r="A7" s="7" t="s">
        <v>74</v>
      </c>
      <c r="E7" s="29" t="s">
        <v>133</v>
      </c>
      <c r="F7" s="29"/>
      <c r="G7" s="29"/>
      <c r="K7" s="7">
        <v>3</v>
      </c>
      <c r="L7" s="7" t="s">
        <v>140</v>
      </c>
    </row>
    <row r="8" spans="1:15" x14ac:dyDescent="0.25">
      <c r="E8" s="28" t="s">
        <v>132</v>
      </c>
      <c r="F8" s="28"/>
      <c r="G8" s="28"/>
      <c r="K8" s="7">
        <v>4</v>
      </c>
      <c r="L8" s="7" t="s">
        <v>141</v>
      </c>
    </row>
    <row r="9" spans="1:15" x14ac:dyDescent="0.25">
      <c r="E9" s="25" t="s">
        <v>134</v>
      </c>
      <c r="F9" s="25"/>
      <c r="G9" s="25"/>
      <c r="K9" s="7">
        <v>5</v>
      </c>
    </row>
    <row r="10" spans="1:15" x14ac:dyDescent="0.25">
      <c r="E10" s="30" t="s">
        <v>135</v>
      </c>
      <c r="F10" s="30"/>
      <c r="G10" s="30"/>
      <c r="K10" s="7">
        <v>6</v>
      </c>
    </row>
    <row r="11" spans="1:15" x14ac:dyDescent="0.25">
      <c r="A11" s="9"/>
      <c r="B11" s="9"/>
      <c r="C11" s="9"/>
      <c r="K11" s="7">
        <v>7</v>
      </c>
    </row>
    <row r="14" spans="1:15" x14ac:dyDescent="0.25">
      <c r="A14" s="8" t="s">
        <v>136</v>
      </c>
      <c r="K14" s="7" t="s">
        <v>143</v>
      </c>
      <c r="O14" s="7" t="s">
        <v>144</v>
      </c>
    </row>
    <row r="15" spans="1:15" x14ac:dyDescent="0.25">
      <c r="J15" s="18"/>
      <c r="K15" s="7">
        <v>1</v>
      </c>
    </row>
    <row r="16" spans="1:15" x14ac:dyDescent="0.25">
      <c r="J16" s="18"/>
      <c r="K16" s="12" t="s">
        <v>84</v>
      </c>
      <c r="L16" s="12">
        <v>100</v>
      </c>
      <c r="M16" s="12" t="s">
        <v>81</v>
      </c>
    </row>
    <row r="17" spans="1:15" x14ac:dyDescent="0.25">
      <c r="A17" s="8" t="s">
        <v>67</v>
      </c>
      <c r="J17" s="18"/>
      <c r="K17" s="7" t="s">
        <v>86</v>
      </c>
      <c r="L17" s="7">
        <v>300</v>
      </c>
      <c r="M17" s="7" t="s">
        <v>81</v>
      </c>
    </row>
    <row r="18" spans="1:15" x14ac:dyDescent="0.25">
      <c r="A18" s="12" t="s">
        <v>84</v>
      </c>
      <c r="B18" s="12">
        <v>100</v>
      </c>
      <c r="C18" s="12" t="s">
        <v>81</v>
      </c>
      <c r="G18" s="7" t="s">
        <v>90</v>
      </c>
      <c r="J18" s="18"/>
      <c r="K18" s="12" t="s">
        <v>87</v>
      </c>
      <c r="L18" s="12">
        <v>150</v>
      </c>
      <c r="M18" s="12" t="s">
        <v>81</v>
      </c>
    </row>
    <row r="19" spans="1:15" x14ac:dyDescent="0.25">
      <c r="A19" s="7" t="s">
        <v>86</v>
      </c>
      <c r="B19" s="7">
        <v>300</v>
      </c>
      <c r="C19" s="7" t="s">
        <v>81</v>
      </c>
      <c r="J19" s="18"/>
    </row>
    <row r="20" spans="1:15" x14ac:dyDescent="0.25">
      <c r="A20" s="12" t="s">
        <v>87</v>
      </c>
      <c r="B20" s="12">
        <v>200</v>
      </c>
      <c r="C20" s="12" t="s">
        <v>81</v>
      </c>
      <c r="J20" s="18"/>
      <c r="K20" s="7">
        <v>2</v>
      </c>
    </row>
    <row r="21" spans="1:15" x14ac:dyDescent="0.25">
      <c r="A21" s="14" t="s">
        <v>80</v>
      </c>
      <c r="B21" s="14">
        <f>(B20+B19)/2</f>
        <v>250</v>
      </c>
      <c r="C21" s="14" t="s">
        <v>81</v>
      </c>
      <c r="J21" s="18"/>
      <c r="K21" s="7" t="s">
        <v>109</v>
      </c>
      <c r="L21" s="7">
        <v>9.81</v>
      </c>
      <c r="M21" s="7" t="s">
        <v>110</v>
      </c>
    </row>
    <row r="22" spans="1:15" x14ac:dyDescent="0.25">
      <c r="A22" s="7" t="s">
        <v>85</v>
      </c>
      <c r="B22" s="7">
        <f>B18-B19</f>
        <v>-200</v>
      </c>
      <c r="C22" s="7" t="s">
        <v>81</v>
      </c>
      <c r="J22" s="18"/>
      <c r="K22" s="14" t="s">
        <v>111</v>
      </c>
      <c r="L22" s="15">
        <v>3.4299999999999999E-3</v>
      </c>
      <c r="M22" s="14" t="s">
        <v>112</v>
      </c>
      <c r="O22" s="20" t="s">
        <v>148</v>
      </c>
    </row>
    <row r="23" spans="1:15" x14ac:dyDescent="0.25">
      <c r="A23" s="7" t="s">
        <v>88</v>
      </c>
      <c r="B23" s="7">
        <f>B18-B20</f>
        <v>-100</v>
      </c>
      <c r="C23" s="7" t="s">
        <v>81</v>
      </c>
      <c r="J23" s="18"/>
      <c r="K23" s="12" t="s">
        <v>115</v>
      </c>
      <c r="L23" s="12">
        <v>20</v>
      </c>
      <c r="M23" s="12" t="s">
        <v>81</v>
      </c>
    </row>
    <row r="24" spans="1:15" x14ac:dyDescent="0.25">
      <c r="A24" s="7" t="s">
        <v>89</v>
      </c>
      <c r="B24" s="7">
        <f>(B23-B22)/LN(B23/B22)</f>
        <v>-144.26950408889635</v>
      </c>
      <c r="C24" s="7" t="s">
        <v>81</v>
      </c>
      <c r="E24" s="7" t="s">
        <v>100</v>
      </c>
      <c r="J24" s="18"/>
      <c r="K24" s="12" t="s">
        <v>114</v>
      </c>
      <c r="L24" s="12">
        <f>6*2.54/100</f>
        <v>0.15240000000000001</v>
      </c>
      <c r="M24" s="12" t="s">
        <v>5</v>
      </c>
    </row>
    <row r="25" spans="1:15" x14ac:dyDescent="0.25">
      <c r="J25" s="18"/>
      <c r="K25" s="14" t="s">
        <v>146</v>
      </c>
      <c r="L25" s="15">
        <v>1.5160000000000001E-5</v>
      </c>
      <c r="M25" s="14" t="s">
        <v>119</v>
      </c>
      <c r="O25" s="7" t="s">
        <v>147</v>
      </c>
    </row>
    <row r="26" spans="1:15" x14ac:dyDescent="0.25">
      <c r="B26" s="24" t="s">
        <v>82</v>
      </c>
      <c r="C26" s="24"/>
      <c r="D26" s="24" t="s">
        <v>83</v>
      </c>
      <c r="E26" s="24"/>
      <c r="G26" s="7" t="s">
        <v>69</v>
      </c>
      <c r="J26" s="18"/>
    </row>
    <row r="27" spans="1:15" x14ac:dyDescent="0.25">
      <c r="A27" s="14" t="s">
        <v>68</v>
      </c>
      <c r="B27" s="15">
        <v>2.76E-5</v>
      </c>
      <c r="C27" s="16" t="s">
        <v>19</v>
      </c>
      <c r="D27" s="15">
        <v>2.9935772999999998E-5</v>
      </c>
      <c r="E27" s="16" t="s">
        <v>19</v>
      </c>
      <c r="G27" s="7" t="s">
        <v>97</v>
      </c>
      <c r="J27" s="18" t="s">
        <v>98</v>
      </c>
      <c r="K27" s="7" t="s">
        <v>116</v>
      </c>
      <c r="L27" s="10">
        <f>L21*L22*(L16-L23)*L24^3</f>
        <v>9.528137491815936E-3</v>
      </c>
      <c r="O27" s="19" t="s">
        <v>145</v>
      </c>
    </row>
    <row r="28" spans="1:15" x14ac:dyDescent="0.25">
      <c r="A28" s="14" t="s">
        <v>118</v>
      </c>
      <c r="B28" s="15">
        <v>4.091E-5</v>
      </c>
      <c r="C28" s="14" t="s">
        <v>119</v>
      </c>
      <c r="D28" s="14"/>
      <c r="E28" s="14" t="s">
        <v>119</v>
      </c>
      <c r="G28" s="7" t="s">
        <v>97</v>
      </c>
      <c r="J28" s="18" t="s">
        <v>99</v>
      </c>
      <c r="K28" s="21"/>
    </row>
    <row r="29" spans="1:15" x14ac:dyDescent="0.25">
      <c r="A29" s="7" t="s">
        <v>23</v>
      </c>
      <c r="B29" s="10">
        <f>4*$B$2/(B27*PI()*$B$3*1000)</f>
        <v>0.13453446358375099</v>
      </c>
      <c r="D29" s="10">
        <f>4*$B$2/(D27*PI()*$B$3*1000)</f>
        <v>0.12403725786240859</v>
      </c>
      <c r="G29" s="7" t="s">
        <v>70</v>
      </c>
      <c r="J29" s="18"/>
      <c r="K29" s="7" t="s">
        <v>156</v>
      </c>
    </row>
    <row r="30" spans="1:15" x14ac:dyDescent="0.25">
      <c r="A30" s="14" t="s">
        <v>50</v>
      </c>
      <c r="B30" s="14">
        <v>0.6946</v>
      </c>
      <c r="C30" s="14"/>
      <c r="D30" s="14"/>
      <c r="E30" s="14"/>
      <c r="G30" s="7" t="s">
        <v>71</v>
      </c>
      <c r="J30" s="18"/>
      <c r="K30" s="12" t="s">
        <v>151</v>
      </c>
      <c r="L30" s="12">
        <f>6*2.54/100</f>
        <v>0.15240000000000001</v>
      </c>
      <c r="M30" s="12" t="s">
        <v>5</v>
      </c>
    </row>
    <row r="31" spans="1:15" x14ac:dyDescent="0.25">
      <c r="A31" s="7" t="s">
        <v>72</v>
      </c>
      <c r="B31" s="7">
        <v>3.66</v>
      </c>
      <c r="D31" s="7">
        <v>3.66</v>
      </c>
      <c r="G31" s="7" t="s">
        <v>73</v>
      </c>
      <c r="J31" s="18"/>
      <c r="K31" s="22" t="s">
        <v>149</v>
      </c>
      <c r="L31" s="22">
        <f>B4</f>
        <v>1.2699999999999999E-2</v>
      </c>
      <c r="M31" s="22" t="s">
        <v>5</v>
      </c>
    </row>
    <row r="32" spans="1:15" x14ac:dyDescent="0.25">
      <c r="A32" s="14" t="s">
        <v>9</v>
      </c>
      <c r="B32" s="14">
        <v>4.104E-2</v>
      </c>
      <c r="C32" s="14"/>
      <c r="D32" s="14"/>
      <c r="E32" s="14"/>
      <c r="G32" s="7" t="s">
        <v>97</v>
      </c>
      <c r="J32" s="18"/>
      <c r="K32" s="22" t="s">
        <v>150</v>
      </c>
      <c r="L32" s="23">
        <f>35*L30/L27^0.25</f>
        <v>17.072652766987442</v>
      </c>
      <c r="M32" s="22" t="s">
        <v>5</v>
      </c>
      <c r="O32" s="7" t="s">
        <v>152</v>
      </c>
    </row>
    <row r="33" spans="1:15" x14ac:dyDescent="0.25">
      <c r="A33" s="14" t="s">
        <v>79</v>
      </c>
      <c r="B33" s="14">
        <v>1033</v>
      </c>
      <c r="C33" s="14"/>
      <c r="D33" s="14"/>
      <c r="E33" s="14"/>
      <c r="G33" s="7" t="s">
        <v>97</v>
      </c>
      <c r="J33" s="18"/>
      <c r="K33" s="26" t="s">
        <v>153</v>
      </c>
      <c r="L33" s="27"/>
      <c r="M33" s="27"/>
    </row>
    <row r="34" spans="1:15" x14ac:dyDescent="0.25">
      <c r="J34" s="18"/>
      <c r="K34" s="26"/>
      <c r="L34" s="27"/>
      <c r="M34" s="27"/>
    </row>
    <row r="35" spans="1:15" x14ac:dyDescent="0.25">
      <c r="J35" s="18"/>
      <c r="K35" s="10"/>
    </row>
    <row r="36" spans="1:15" x14ac:dyDescent="0.25">
      <c r="A36" s="7" t="s">
        <v>47</v>
      </c>
      <c r="G36" s="7" t="s">
        <v>76</v>
      </c>
      <c r="J36" s="18"/>
      <c r="K36" s="7" t="s">
        <v>154</v>
      </c>
    </row>
    <row r="37" spans="1:15" x14ac:dyDescent="0.25">
      <c r="A37" s="7" t="s">
        <v>49</v>
      </c>
      <c r="G37" s="7" t="s">
        <v>77</v>
      </c>
      <c r="J37" s="18"/>
      <c r="K37" s="7" t="s">
        <v>155</v>
      </c>
      <c r="L37" s="10">
        <f>L31/35*L27^0.25</f>
        <v>1.1336726790007372E-4</v>
      </c>
      <c r="M37" s="7" t="s">
        <v>5</v>
      </c>
    </row>
    <row r="38" spans="1:15" x14ac:dyDescent="0.25">
      <c r="A38" s="7" t="s">
        <v>92</v>
      </c>
      <c r="B38" s="17">
        <f>B31*B32/B3</f>
        <v>13.141417322834648</v>
      </c>
      <c r="C38" s="7" t="s">
        <v>75</v>
      </c>
      <c r="E38" s="7" t="s">
        <v>75</v>
      </c>
      <c r="G38" s="7" t="s">
        <v>78</v>
      </c>
      <c r="J38" s="18"/>
    </row>
    <row r="39" spans="1:15" x14ac:dyDescent="0.25">
      <c r="J39" s="18"/>
      <c r="K39" s="14" t="s">
        <v>50</v>
      </c>
      <c r="L39" s="14">
        <v>0.73089999999999999</v>
      </c>
      <c r="M39" s="14"/>
      <c r="O39" s="7" t="s">
        <v>147</v>
      </c>
    </row>
    <row r="40" spans="1:15" x14ac:dyDescent="0.25">
      <c r="J40" s="18"/>
      <c r="K40" s="7" t="s">
        <v>123</v>
      </c>
      <c r="L40" s="10">
        <f>L27*L39</f>
        <v>6.9641156927682671E-3</v>
      </c>
      <c r="O40" s="7" t="s">
        <v>157</v>
      </c>
    </row>
    <row r="41" spans="1:15" x14ac:dyDescent="0.25">
      <c r="A41" s="8" t="s">
        <v>107</v>
      </c>
      <c r="C41" s="7" t="s">
        <v>117</v>
      </c>
      <c r="J41" s="18"/>
      <c r="K41" s="7" t="s">
        <v>158</v>
      </c>
      <c r="L41" s="10">
        <f>(0.825+0.387*L40^(1/6)/(1+(0.492/L39)^(9/16))^(8/27))^2</f>
        <v>0.93523763267946169</v>
      </c>
      <c r="O41" s="7" t="s">
        <v>159</v>
      </c>
    </row>
    <row r="42" spans="1:15" x14ac:dyDescent="0.25">
      <c r="A42" s="7" t="s">
        <v>109</v>
      </c>
      <c r="B42" s="7">
        <v>9.81</v>
      </c>
      <c r="C42" s="7" t="s">
        <v>110</v>
      </c>
      <c r="J42" s="18"/>
      <c r="K42" s="14" t="s">
        <v>9</v>
      </c>
      <c r="L42" s="14">
        <v>2.5139999999999999E-2</v>
      </c>
      <c r="M42" s="14" t="s">
        <v>10</v>
      </c>
      <c r="O42" s="7" t="s">
        <v>147</v>
      </c>
    </row>
    <row r="43" spans="1:15" x14ac:dyDescent="0.25">
      <c r="A43" s="14" t="s">
        <v>111</v>
      </c>
      <c r="B43" s="14">
        <v>1</v>
      </c>
      <c r="C43" s="14" t="s">
        <v>112</v>
      </c>
      <c r="D43" s="14"/>
      <c r="E43" s="14"/>
      <c r="J43" s="18"/>
      <c r="K43" s="7" t="s">
        <v>160</v>
      </c>
      <c r="L43" s="10">
        <f>L41*L42/L37</f>
        <v>207.39561357592157</v>
      </c>
      <c r="O43" s="7" t="s">
        <v>161</v>
      </c>
    </row>
    <row r="44" spans="1:15" x14ac:dyDescent="0.25">
      <c r="A44" s="12" t="s">
        <v>113</v>
      </c>
      <c r="B44" s="12">
        <v>2</v>
      </c>
      <c r="C44" s="12" t="s">
        <v>81</v>
      </c>
      <c r="J44" s="18"/>
    </row>
    <row r="45" spans="1:15" x14ac:dyDescent="0.25">
      <c r="A45" s="12" t="s">
        <v>115</v>
      </c>
      <c r="B45" s="12">
        <v>1</v>
      </c>
      <c r="C45" s="12" t="s">
        <v>81</v>
      </c>
      <c r="J45" s="18"/>
      <c r="K45" s="7">
        <v>3</v>
      </c>
    </row>
    <row r="46" spans="1:15" x14ac:dyDescent="0.25">
      <c r="A46" s="12" t="s">
        <v>114</v>
      </c>
      <c r="B46" s="12">
        <f>6*2.54/100</f>
        <v>0.15240000000000001</v>
      </c>
      <c r="C46" s="12" t="s">
        <v>5</v>
      </c>
      <c r="J46" s="18"/>
      <c r="K46" s="22" t="s">
        <v>80</v>
      </c>
      <c r="L46" s="22">
        <f>(L17+L18)/2</f>
        <v>225</v>
      </c>
      <c r="M46" s="22" t="s">
        <v>81</v>
      </c>
    </row>
    <row r="47" spans="1:15" x14ac:dyDescent="0.25">
      <c r="J47" s="18"/>
      <c r="K47" s="7" t="s">
        <v>85</v>
      </c>
      <c r="L47" s="7">
        <f>L16-L17</f>
        <v>-200</v>
      </c>
      <c r="M47" s="7" t="s">
        <v>81</v>
      </c>
      <c r="O47" s="7" t="s">
        <v>162</v>
      </c>
    </row>
    <row r="48" spans="1:15" x14ac:dyDescent="0.25">
      <c r="A48" s="7" t="s">
        <v>116</v>
      </c>
      <c r="B48" s="10">
        <f>B42*B43*(B44-B45)*B46^3/B28^2</f>
        <v>20747460.641608499</v>
      </c>
      <c r="G48" s="7" t="s">
        <v>108</v>
      </c>
      <c r="J48" s="18"/>
      <c r="K48" s="7" t="s">
        <v>88</v>
      </c>
      <c r="L48" s="7">
        <f>L16-L18</f>
        <v>-50</v>
      </c>
      <c r="M48" s="7" t="s">
        <v>81</v>
      </c>
      <c r="O48" s="7" t="s">
        <v>162</v>
      </c>
    </row>
    <row r="49" spans="1:19" x14ac:dyDescent="0.25">
      <c r="J49" s="18"/>
      <c r="K49" s="7" t="s">
        <v>89</v>
      </c>
      <c r="L49" s="7">
        <f>(L48-L47)/LN(L48/L47)</f>
        <v>-108.20212806667226</v>
      </c>
      <c r="M49" s="7" t="s">
        <v>81</v>
      </c>
      <c r="O49" s="7" t="s">
        <v>162</v>
      </c>
    </row>
    <row r="50" spans="1:19" x14ac:dyDescent="0.25">
      <c r="A50" s="7" t="s">
        <v>120</v>
      </c>
      <c r="J50" s="18"/>
    </row>
    <row r="51" spans="1:19" x14ac:dyDescent="0.25">
      <c r="G51" s="7" t="s">
        <v>106</v>
      </c>
      <c r="J51" s="18"/>
      <c r="L51" s="24" t="s">
        <v>82</v>
      </c>
      <c r="M51" s="24"/>
      <c r="N51" s="24" t="s">
        <v>163</v>
      </c>
      <c r="O51" s="24"/>
    </row>
    <row r="52" spans="1:19" x14ac:dyDescent="0.25">
      <c r="J52" s="18"/>
      <c r="K52" s="14" t="s">
        <v>68</v>
      </c>
      <c r="L52" s="14">
        <f>0.000005*(2.577+2.76)</f>
        <v>2.6684999999999999E-5</v>
      </c>
      <c r="M52" s="14" t="s">
        <v>19</v>
      </c>
      <c r="N52" s="14">
        <f>(1.228*0.75+1.403*0.25)*0.00001</f>
        <v>1.27175E-5</v>
      </c>
      <c r="O52" s="14" t="s">
        <v>19</v>
      </c>
      <c r="Q52" s="7" t="s">
        <v>165</v>
      </c>
    </row>
    <row r="53" spans="1:19" x14ac:dyDescent="0.25">
      <c r="J53" s="18"/>
      <c r="K53" s="14" t="s">
        <v>118</v>
      </c>
      <c r="L53" s="14">
        <f>0.000005*(3.455+4.091)</f>
        <v>3.7730000000000006E-5</v>
      </c>
      <c r="M53" s="14" t="s">
        <v>119</v>
      </c>
      <c r="N53" s="14">
        <f>(2.365*0.75+3.274*0.25)*0.0001</f>
        <v>2.5922500000000003E-4</v>
      </c>
      <c r="O53" s="14" t="s">
        <v>119</v>
      </c>
      <c r="Q53" s="7" t="s">
        <v>165</v>
      </c>
    </row>
    <row r="54" spans="1:19" x14ac:dyDescent="0.25">
      <c r="J54" s="18"/>
      <c r="K54" s="14" t="s">
        <v>50</v>
      </c>
      <c r="L54" s="14">
        <f>(0.6974+0.6946)/2</f>
        <v>0.69599999999999995</v>
      </c>
      <c r="M54" s="14"/>
      <c r="N54" s="14">
        <f>0.7155*0.75+0.7149*0.25</f>
        <v>0.71535000000000004</v>
      </c>
      <c r="O54" s="14"/>
      <c r="Q54" s="7" t="s">
        <v>165</v>
      </c>
    </row>
    <row r="55" spans="1:19" x14ac:dyDescent="0.25">
      <c r="J55" s="18"/>
      <c r="K55" s="14" t="s">
        <v>9</v>
      </c>
      <c r="L55" s="14">
        <f>(0.03779+0.04104)/2</f>
        <v>3.9414999999999999E-2</v>
      </c>
      <c r="M55" s="14" t="s">
        <v>10</v>
      </c>
      <c r="N55" s="14">
        <f>0.2486*0.75+0.2843*0.25</f>
        <v>0.257525</v>
      </c>
      <c r="O55" s="14" t="s">
        <v>10</v>
      </c>
      <c r="Q55" s="7" t="s">
        <v>165</v>
      </c>
    </row>
    <row r="56" spans="1:19" x14ac:dyDescent="0.25">
      <c r="J56" s="18"/>
      <c r="K56" s="14" t="s">
        <v>79</v>
      </c>
      <c r="L56" s="14">
        <f>(1023+1033)/2</f>
        <v>1028</v>
      </c>
      <c r="M56" s="14" t="s">
        <v>164</v>
      </c>
      <c r="N56" s="14">
        <f>14482*0.75+14481*0.25</f>
        <v>14481.75</v>
      </c>
      <c r="O56" s="14" t="s">
        <v>164</v>
      </c>
      <c r="Q56" s="7" t="s">
        <v>165</v>
      </c>
    </row>
    <row r="57" spans="1:19" x14ac:dyDescent="0.25">
      <c r="J57" s="18"/>
    </row>
    <row r="58" spans="1:19" x14ac:dyDescent="0.25">
      <c r="A58" s="7" t="s">
        <v>66</v>
      </c>
      <c r="B58" s="7">
        <f>B4</f>
        <v>1.2699999999999999E-2</v>
      </c>
      <c r="C58" s="7" t="s">
        <v>5</v>
      </c>
      <c r="J58" s="18"/>
    </row>
    <row r="59" spans="1:19" x14ac:dyDescent="0.25">
      <c r="A59" s="7" t="s">
        <v>121</v>
      </c>
      <c r="B59" s="13">
        <f>35*B46/B48^(0.25)</f>
        <v>7.903360170965798E-2</v>
      </c>
      <c r="C59" s="7" t="s">
        <v>5</v>
      </c>
      <c r="J59" s="18"/>
      <c r="L59" s="17"/>
      <c r="M59" s="17"/>
    </row>
    <row r="60" spans="1:19" x14ac:dyDescent="0.25">
      <c r="J60" s="18"/>
      <c r="N60" s="17"/>
      <c r="O60" s="17"/>
      <c r="P60" s="17"/>
      <c r="Q60" s="17"/>
      <c r="R60" s="17"/>
      <c r="S60" s="17"/>
    </row>
    <row r="61" spans="1:19" x14ac:dyDescent="0.25">
      <c r="A61" s="7" t="s">
        <v>122</v>
      </c>
      <c r="J61" s="18"/>
    </row>
    <row r="62" spans="1:19" x14ac:dyDescent="0.25">
      <c r="A62" s="7" t="s">
        <v>123</v>
      </c>
      <c r="B62" s="10">
        <f>B48*B30</f>
        <v>14411186.161661264</v>
      </c>
      <c r="G62" s="7" t="s">
        <v>124</v>
      </c>
      <c r="J62" s="18"/>
    </row>
    <row r="63" spans="1:19" x14ac:dyDescent="0.25">
      <c r="A63" s="14" t="s">
        <v>126</v>
      </c>
      <c r="B63" s="14">
        <v>0.73089999999999999</v>
      </c>
      <c r="C63" s="14"/>
      <c r="D63" s="14"/>
      <c r="E63" s="14"/>
      <c r="G63" s="7" t="s">
        <v>127</v>
      </c>
      <c r="J63" s="18"/>
    </row>
    <row r="64" spans="1:19" x14ac:dyDescent="0.25">
      <c r="A64" s="7" t="s">
        <v>125</v>
      </c>
      <c r="B64" s="7">
        <f>(0.825+0.387*B62^(1/6)/(1+(0.492/B63)^(9/16))^(8/27))^2</f>
        <v>34.772271880664633</v>
      </c>
      <c r="G64" s="7" t="s">
        <v>106</v>
      </c>
      <c r="J64" s="18"/>
    </row>
    <row r="65" spans="1:10" x14ac:dyDescent="0.25">
      <c r="A65" s="7" t="s">
        <v>93</v>
      </c>
      <c r="B65" s="7">
        <f>B64*B32/B46</f>
        <v>9.3638716403049642</v>
      </c>
      <c r="C65" s="7" t="s">
        <v>75</v>
      </c>
      <c r="G65" s="7" t="s">
        <v>128</v>
      </c>
      <c r="J65" s="18"/>
    </row>
    <row r="66" spans="1:10" x14ac:dyDescent="0.25">
      <c r="J66" s="18"/>
    </row>
    <row r="67" spans="1:10" x14ac:dyDescent="0.25">
      <c r="A67" s="7" t="s">
        <v>129</v>
      </c>
      <c r="J67" s="18"/>
    </row>
    <row r="68" spans="1:10" x14ac:dyDescent="0.25">
      <c r="A68" s="7" t="s">
        <v>92</v>
      </c>
      <c r="B68" s="7">
        <f>B38</f>
        <v>13.141417322834648</v>
      </c>
      <c r="C68" s="7" t="s">
        <v>75</v>
      </c>
      <c r="G68" s="7" t="s">
        <v>130</v>
      </c>
      <c r="J68" s="18"/>
    </row>
    <row r="69" spans="1:10" x14ac:dyDescent="0.25">
      <c r="J69" s="18"/>
    </row>
    <row r="70" spans="1:10" x14ac:dyDescent="0.25">
      <c r="A70" s="7" t="s">
        <v>131</v>
      </c>
      <c r="J70" s="18"/>
    </row>
    <row r="71" spans="1:10" x14ac:dyDescent="0.25">
      <c r="J71" s="18"/>
    </row>
    <row r="72" spans="1:10" x14ac:dyDescent="0.25">
      <c r="A72" s="11" t="s">
        <v>94</v>
      </c>
      <c r="B72" s="11">
        <f>$B$2*B33*($B$20-$B$19)</f>
        <v>-3.4433333333333338</v>
      </c>
      <c r="C72" s="11"/>
      <c r="D72" s="11"/>
      <c r="E72" s="11"/>
      <c r="J72" s="18"/>
    </row>
    <row r="73" spans="1:10" x14ac:dyDescent="0.25">
      <c r="A73" s="11" t="s">
        <v>95</v>
      </c>
      <c r="B73" s="11">
        <f>B72/(B38*B24)</f>
        <v>1.816194351868624E-3</v>
      </c>
      <c r="C73" s="11"/>
      <c r="D73" s="11"/>
      <c r="E73" s="11"/>
      <c r="J73" s="18"/>
    </row>
    <row r="74" spans="1:10" x14ac:dyDescent="0.25">
      <c r="A74" s="11"/>
      <c r="B74" s="11"/>
      <c r="C74" s="11"/>
      <c r="D74" s="11"/>
      <c r="E74" s="11"/>
      <c r="J74" s="18"/>
    </row>
    <row r="75" spans="1:10" x14ac:dyDescent="0.25">
      <c r="A75" s="11" t="s">
        <v>96</v>
      </c>
      <c r="B75" s="11">
        <f>B73/(B3*PI())</f>
        <v>5.0578531708744115E-2</v>
      </c>
      <c r="C75" s="11" t="s">
        <v>101</v>
      </c>
      <c r="D75" s="11"/>
      <c r="E75" s="11"/>
      <c r="G75" s="7" t="s">
        <v>142</v>
      </c>
      <c r="J75" s="18"/>
    </row>
  </sheetData>
  <mergeCells count="9">
    <mergeCell ref="L51:M51"/>
    <mergeCell ref="N51:O51"/>
    <mergeCell ref="K33:M34"/>
    <mergeCell ref="B26:C26"/>
    <mergeCell ref="D26:E26"/>
    <mergeCell ref="E8:G8"/>
    <mergeCell ref="E7:G7"/>
    <mergeCell ref="E9:G9"/>
    <mergeCell ref="E10:G10"/>
  </mergeCells>
  <hyperlinks>
    <hyperlink ref="O22" r:id="rId1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DCA2E0-5751-43F8-9AB9-D045F9898D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3EF7AE-13AC-44E1-A943-1B24FCB81A2E}">
  <ds:schemaRefs>
    <ds:schemaRef ds:uri="c16edb20-3aa4-4afe-a476-0df01e7c613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177c1b8-29a0-45e9-aae7-bf99dab4fe04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80DD18-0F22-40EA-B5FF-614CBA4E9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edb20-3aa4-4afe-a476-0df01e7c613c"/>
    <ds:schemaRef ds:uri="a177c1b8-29a0-45e9-aae7-bf99dab4f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Starting Stuff</vt:lpstr>
      <vt:lpstr>Solutions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Wolf, Jacob D.</cp:lastModifiedBy>
  <cp:revision/>
  <dcterms:created xsi:type="dcterms:W3CDTF">2022-11-21T17:06:09Z</dcterms:created>
  <dcterms:modified xsi:type="dcterms:W3CDTF">2022-12-03T03:02:32Z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0x010100EA34C7BF29C09A459847F473FC62647D</vt:lpwstr>
  </property>
  <property fmtid="{D5CDD505-2E9C-101B-9397-08002B2CF9AE}" pid="3" name="MediaServiceImageTags">
    <vt:lpwstr/>
  </property>
</Properties>
</file>