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erauedu.sharepoint.com/sites/H2Migos/Shared Documents/General/Pipe Heat Transfer/"/>
    </mc:Choice>
  </mc:AlternateContent>
  <xr:revisionPtr revIDLastSave="1151" documentId="11_AC81677A269C34E1F3B170D80E7525161B0B64AB" xr6:coauthVersionLast="47" xr6:coauthVersionMax="47" xr10:uidLastSave="{10CA433C-909E-4F48-9574-A4EDF19EA0D0}"/>
  <bookViews>
    <workbookView xWindow="-120" yWindow="-120" windowWidth="29040" windowHeight="15840" activeTab="3" xr2:uid="{FF5BD969-CE97-4598-B766-3A329C2CF38C}"/>
  </bookViews>
  <sheets>
    <sheet name="Starting Stuff" sheetId="1" r:id="rId1"/>
    <sheet name="Solutions" sheetId="2" r:id="rId2"/>
    <sheet name="DRVP Math" sheetId="3" r:id="rId3"/>
    <sheet name="Delta PDR Math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4" l="1"/>
  <c r="J12" i="4"/>
  <c r="G12" i="4"/>
  <c r="C30" i="4"/>
  <c r="C63" i="4"/>
  <c r="C50" i="4"/>
  <c r="C36" i="4"/>
  <c r="C41" i="4" s="1"/>
  <c r="C33" i="4"/>
  <c r="D66" i="4" s="1"/>
  <c r="C25" i="4"/>
  <c r="C23" i="4"/>
  <c r="K26" i="4"/>
  <c r="K23" i="4"/>
  <c r="K22" i="4"/>
  <c r="C11" i="4"/>
  <c r="C17" i="4" s="1"/>
  <c r="C35" i="4" s="1"/>
  <c r="B187" i="3"/>
  <c r="B186" i="3"/>
  <c r="B182" i="3"/>
  <c r="B177" i="3"/>
  <c r="B233" i="3"/>
  <c r="C233" i="3"/>
  <c r="B253" i="3"/>
  <c r="B255" i="3" s="1"/>
  <c r="C177" i="3"/>
  <c r="B205" i="3"/>
  <c r="B202" i="3"/>
  <c r="B207" i="3" s="1"/>
  <c r="B197" i="3"/>
  <c r="B254" i="3" s="1"/>
  <c r="C179" i="3"/>
  <c r="C178" i="3"/>
  <c r="C34" i="4" l="1"/>
  <c r="D69" i="4"/>
  <c r="C66" i="4"/>
  <c r="C69" i="4" s="1"/>
  <c r="C24" i="4"/>
  <c r="C26" i="4" s="1"/>
  <c r="C29" i="4" s="1"/>
  <c r="C31" i="4" s="1"/>
  <c r="C39" i="4" s="1"/>
  <c r="C45" i="4" s="1"/>
  <c r="C46" i="4" s="1"/>
  <c r="K25" i="4"/>
  <c r="D24" i="4" s="1"/>
  <c r="D26" i="4" s="1"/>
  <c r="D29" i="4" s="1"/>
  <c r="D31" i="4" s="1"/>
  <c r="D39" i="4" s="1"/>
  <c r="D45" i="4" s="1"/>
  <c r="D46" i="4" s="1"/>
  <c r="K21" i="4"/>
  <c r="B256" i="3"/>
  <c r="C236" i="3"/>
  <c r="C71" i="4" l="1"/>
  <c r="C37" i="4"/>
  <c r="B199" i="3"/>
  <c r="B198" i="3"/>
  <c r="B200" i="3"/>
  <c r="C200" i="3"/>
  <c r="B194" i="3"/>
  <c r="B189" i="3"/>
  <c r="C185" i="3"/>
  <c r="C183" i="3"/>
  <c r="B162" i="3"/>
  <c r="B124" i="3"/>
  <c r="B116" i="3"/>
  <c r="B74" i="3"/>
  <c r="B70" i="3"/>
  <c r="L24" i="2"/>
  <c r="B62" i="3"/>
  <c r="B61" i="3"/>
  <c r="B16" i="3"/>
  <c r="B2" i="3"/>
  <c r="Q12" i="2"/>
  <c r="AF84" i="2"/>
  <c r="AF23" i="2"/>
  <c r="AF17" i="2"/>
  <c r="X74" i="2"/>
  <c r="X68" i="2"/>
  <c r="X69" i="2" s="1"/>
  <c r="X19" i="2"/>
  <c r="X24" i="2"/>
  <c r="X27" i="2" s="1"/>
  <c r="C40" i="4" l="1"/>
  <c r="C42" i="4" s="1"/>
  <c r="C43" i="4" s="1"/>
  <c r="C182" i="3"/>
  <c r="C187" i="3" s="1"/>
  <c r="C190" i="3" s="1"/>
  <c r="C193" i="3" s="1"/>
  <c r="C195" i="3" s="1"/>
  <c r="B123" i="3"/>
  <c r="B190" i="3"/>
  <c r="B236" i="3"/>
  <c r="B238" i="3" s="1"/>
  <c r="B122" i="3"/>
  <c r="B18" i="3"/>
  <c r="AF31" i="2"/>
  <c r="X39" i="2"/>
  <c r="X31" i="2"/>
  <c r="B2" i="2"/>
  <c r="L27" i="2"/>
  <c r="N62" i="2"/>
  <c r="N61" i="2"/>
  <c r="N60" i="2"/>
  <c r="N59" i="2"/>
  <c r="N58" i="2"/>
  <c r="L62" i="2"/>
  <c r="L61" i="2"/>
  <c r="L60" i="2"/>
  <c r="L59" i="2"/>
  <c r="L58" i="2"/>
  <c r="C58" i="4" l="1"/>
  <c r="B193" i="3"/>
  <c r="B195" i="3" s="1"/>
  <c r="B204" i="3" s="1"/>
  <c r="AF43" i="2"/>
  <c r="AF49" i="2" s="1"/>
  <c r="AF35" i="2"/>
  <c r="X45" i="2"/>
  <c r="L55" i="2"/>
  <c r="B46" i="2"/>
  <c r="B48" i="2" s="1"/>
  <c r="B62" i="2" s="1"/>
  <c r="B64" i="2" s="1"/>
  <c r="B65" i="2" s="1"/>
  <c r="B206" i="3" l="1"/>
  <c r="B208" i="3" s="1"/>
  <c r="B211" i="3"/>
  <c r="L39" i="2"/>
  <c r="L45" i="2" s="1"/>
  <c r="B59" i="2"/>
  <c r="B21" i="2"/>
  <c r="B23" i="2"/>
  <c r="B22" i="2"/>
  <c r="B4" i="2"/>
  <c r="B3" i="2"/>
  <c r="K9" i="1"/>
  <c r="C31" i="1" s="1"/>
  <c r="C17" i="1"/>
  <c r="C16" i="1"/>
  <c r="C15" i="1"/>
  <c r="AF60" i="2" l="1"/>
  <c r="AF34" i="2"/>
  <c r="AF61" i="2"/>
  <c r="X30" i="2"/>
  <c r="X46" i="2" s="1"/>
  <c r="X50" i="2" s="1"/>
  <c r="X61" i="2" s="1"/>
  <c r="X66" i="2" s="1"/>
  <c r="X57" i="2"/>
  <c r="X60" i="2" s="1"/>
  <c r="X65" i="2" s="1"/>
  <c r="L65" i="2"/>
  <c r="L76" i="2"/>
  <c r="L83" i="2" s="1"/>
  <c r="N76" i="2"/>
  <c r="L85" i="2"/>
  <c r="B38" i="2"/>
  <c r="B68" i="2" s="1"/>
  <c r="B72" i="2"/>
  <c r="N65" i="2"/>
  <c r="N70" i="2" s="1"/>
  <c r="N71" i="2" s="1"/>
  <c r="L31" i="2"/>
  <c r="B58" i="2"/>
  <c r="L30" i="2"/>
  <c r="L42" i="2" s="1"/>
  <c r="D29" i="2"/>
  <c r="B29" i="2"/>
  <c r="B24" i="2"/>
  <c r="C20" i="1"/>
  <c r="C33" i="1"/>
  <c r="L70" i="2" l="1"/>
  <c r="L71" i="2" s="1"/>
  <c r="AF85" i="2"/>
  <c r="AF68" i="2"/>
  <c r="AF69" i="2" s="1"/>
  <c r="AF70" i="2"/>
  <c r="AF40" i="2"/>
  <c r="AF46" i="2"/>
  <c r="AF50" i="2"/>
  <c r="AF54" i="2" s="1"/>
  <c r="AF65" i="2" s="1"/>
  <c r="X36" i="2"/>
  <c r="X62" i="2"/>
  <c r="X42" i="2"/>
  <c r="L46" i="2"/>
  <c r="L50" i="2" s="1"/>
  <c r="L86" i="2" s="1"/>
  <c r="B73" i="2"/>
  <c r="B75" i="2" s="1"/>
  <c r="L36" i="2"/>
  <c r="C35" i="1"/>
  <c r="C42" i="1" s="1"/>
  <c r="E35" i="1"/>
  <c r="E42" i="1" s="1"/>
  <c r="AF62" i="2" l="1"/>
  <c r="AF64" i="2" s="1"/>
  <c r="X70" i="2"/>
  <c r="X75" i="2"/>
  <c r="E45" i="1"/>
  <c r="E46" i="1" s="1"/>
  <c r="E43" i="1"/>
  <c r="C43" i="1"/>
  <c r="C45" i="1"/>
  <c r="C46" i="1" s="1"/>
  <c r="B66" i="3"/>
  <c r="B75" i="3" s="1"/>
  <c r="B84" i="3" l="1"/>
  <c r="B110" i="3" s="1"/>
  <c r="B111" i="3" s="1"/>
  <c r="B117" i="3" s="1"/>
  <c r="B69" i="3"/>
  <c r="B125" i="3" l="1"/>
  <c r="B163" i="3" s="1"/>
  <c r="B152" i="3"/>
  <c r="B136" i="3" l="1"/>
  <c r="B139" i="3" s="1"/>
</calcChain>
</file>

<file path=xl/sharedStrings.xml><?xml version="1.0" encoding="utf-8"?>
<sst xmlns="http://schemas.openxmlformats.org/spreadsheetml/2006/main" count="879" uniqueCount="395">
  <si>
    <t>If the hydrogen gas exits the electrolyzer at 300°C, what does the heat transfer look like through a straight pipe?</t>
  </si>
  <si>
    <t>Q dot conduction through a cylinder with purely axial HT, steady</t>
  </si>
  <si>
    <t>Placeholder Values</t>
  </si>
  <si>
    <t>* fuel cell needs 0.02 grams H2 to operate for 10 minutes</t>
  </si>
  <si>
    <t>Necessary Mass flow rate of hydrogen gas</t>
  </si>
  <si>
    <t>(g/s)</t>
  </si>
  <si>
    <t>Hydrogen gas density STP</t>
  </si>
  <si>
    <t>(g/L)</t>
  </si>
  <si>
    <t>https://genh2hydrogen.com/defining-hydrogen-from-a-to-z-3/#:~:text=Trying%20to%20achieve%20the%20same,density%20of%2039.6%20g%2FL.</t>
  </si>
  <si>
    <t>English</t>
  </si>
  <si>
    <t>Metric</t>
  </si>
  <si>
    <t>Inner Diameter (in)</t>
  </si>
  <si>
    <t>(m)</t>
  </si>
  <si>
    <t>https://www.mcmaster.com/5175K133/</t>
  </si>
  <si>
    <t>Outer Diameter (in)</t>
  </si>
  <si>
    <t>Length (in)</t>
  </si>
  <si>
    <t>Thermal Conductivity</t>
  </si>
  <si>
    <t>(W/m*K)</t>
  </si>
  <si>
    <t>Copper @ 327°C</t>
  </si>
  <si>
    <t>https://www.engineeringtoolbox.com/thermal-conductivity-metals-d_858.html</t>
  </si>
  <si>
    <t>Thermal Resistance</t>
  </si>
  <si>
    <t>(K/W)</t>
  </si>
  <si>
    <t>pg 499</t>
  </si>
  <si>
    <t>Hydrogen gas @ 300°C</t>
  </si>
  <si>
    <t>Standard Air @300°C</t>
  </si>
  <si>
    <t>Mass Flow Rate</t>
  </si>
  <si>
    <t>(kg/s)</t>
  </si>
  <si>
    <t>Dynamic Viscosity</t>
  </si>
  <si>
    <t>(kg/m*s)</t>
  </si>
  <si>
    <t>https://www.lmnoeng.com/Flow/GasViscosity.php</t>
  </si>
  <si>
    <t>Inner Diameter</t>
  </si>
  <si>
    <t>Reynolds Number</t>
  </si>
  <si>
    <t>This motherfucker is laminar</t>
  </si>
  <si>
    <t>pg 502</t>
  </si>
  <si>
    <t>Hydrodynamic Entry Length</t>
  </si>
  <si>
    <t>(mm)</t>
  </si>
  <si>
    <t>Prandtl Number</t>
  </si>
  <si>
    <t>at 300°C &amp; 1 atm</t>
  </si>
  <si>
    <t xml:space="preserve">From textbook, appendix 1 Tables A-15 and </t>
  </si>
  <si>
    <t>Thermal Entry Length</t>
  </si>
  <si>
    <t>In conclusion: that shit is fully developed IMMEDIATELY</t>
  </si>
  <si>
    <t>Constant Surface Temperature</t>
  </si>
  <si>
    <t>pg 505</t>
  </si>
  <si>
    <t>pg 506</t>
  </si>
  <si>
    <t>pg 507</t>
  </si>
  <si>
    <t>Look at example 8-1 on page 507!!</t>
  </si>
  <si>
    <t>pg 509: veloctiy profile &amp; pressure drop equations for internal laminar flow!</t>
  </si>
  <si>
    <t>pg 513</t>
  </si>
  <si>
    <t>LETS FUCKING GO THAT'S WHAT I WANTED</t>
  </si>
  <si>
    <t>Surface temperature: find internal and external convection heat transfer coefficient to see which dominates temperature</t>
  </si>
  <si>
    <t>pg 465 if forced</t>
  </si>
  <si>
    <t>pg 565 if natural</t>
  </si>
  <si>
    <t>pg 562</t>
  </si>
  <si>
    <t>pg 564</t>
  </si>
  <si>
    <t>pg 565</t>
  </si>
  <si>
    <t>Free Convection on vertical cylinder</t>
  </si>
  <si>
    <t>http://mtraum.altervista.org/Day__2011__ASME_JHT__Nat_Convection_Vert_Cyl_.pdf</t>
  </si>
  <si>
    <t>Nusselt Number:</t>
  </si>
  <si>
    <t>Pg 185</t>
  </si>
  <si>
    <t>MASS TRANSFER</t>
  </si>
  <si>
    <t>Ch. 14</t>
  </si>
  <si>
    <t>Pg 858</t>
  </si>
  <si>
    <t>Anyways</t>
  </si>
  <si>
    <t>Pg 198</t>
  </si>
  <si>
    <t>pg 195</t>
  </si>
  <si>
    <t>pg 405</t>
  </si>
  <si>
    <t>Adiabatic Fin Tip</t>
  </si>
  <si>
    <t>Pg 197</t>
  </si>
  <si>
    <t>Global Constants</t>
  </si>
  <si>
    <t>Mass Flow Rate of Hydrogen Gas</t>
  </si>
  <si>
    <t>Based on: fuel cell needs 0.02 g H2 over 10 minutes</t>
  </si>
  <si>
    <t xml:space="preserve">DRVP: </t>
  </si>
  <si>
    <t>(in)</t>
  </si>
  <si>
    <t>governing equations</t>
  </si>
  <si>
    <t>Outer Diameter</t>
  </si>
  <si>
    <t>Process:</t>
  </si>
  <si>
    <t>end results (Reynolds, etc.)</t>
  </si>
  <si>
    <t>Choose temperatures</t>
  </si>
  <si>
    <t>Assumptions</t>
  </si>
  <si>
    <t>External convection coefficient</t>
  </si>
  <si>
    <t>therefore…</t>
  </si>
  <si>
    <t>h</t>
  </si>
  <si>
    <t>*include justifications for applying certain equations!*</t>
  </si>
  <si>
    <t>Values to control/decide</t>
  </si>
  <si>
    <t>Internal convection coefficient</t>
  </si>
  <si>
    <t>Values based on Temperature</t>
  </si>
  <si>
    <t>Update surface temperature, iterate 2&amp;3</t>
  </si>
  <si>
    <t>Values used for decisions</t>
  </si>
  <si>
    <t>Process: treat cylinder like extended fin</t>
  </si>
  <si>
    <t>Process: Adiabatic Fin Tip</t>
  </si>
  <si>
    <t>Equations to Use</t>
  </si>
  <si>
    <t>Air goes 300-&gt;150°C, pipe 6 in long at constant 100°C</t>
  </si>
  <si>
    <t xml:space="preserve">Pipe Convects to air: </t>
  </si>
  <si>
    <t>Global Energy Balance:</t>
  </si>
  <si>
    <t>Surface Temperature</t>
  </si>
  <si>
    <t>(°C)</t>
  </si>
  <si>
    <t>Wire Voltage</t>
  </si>
  <si>
    <t>(V)</t>
  </si>
  <si>
    <t>Inlet Temperature</t>
  </si>
  <si>
    <t>Wire Amperage</t>
  </si>
  <si>
    <t>(A)</t>
  </si>
  <si>
    <t>Constants</t>
  </si>
  <si>
    <t>Exit Temperature</t>
  </si>
  <si>
    <t>Wire Heat Rate</t>
  </si>
  <si>
    <t>(W)</t>
  </si>
  <si>
    <t>Average of hydrogen gas &amp; air</t>
  </si>
  <si>
    <t>Bulk Air Temperature</t>
  </si>
  <si>
    <t>Film Temperature</t>
  </si>
  <si>
    <t>Bulk Mean Fluid Temperature</t>
  </si>
  <si>
    <t>Gravitational Acceleration</t>
  </si>
  <si>
    <t>(m/s^2)</t>
  </si>
  <si>
    <t>▲Ti</t>
  </si>
  <si>
    <t>Coefficient of Volume Expansion</t>
  </si>
  <si>
    <t>(1/K)</t>
  </si>
  <si>
    <t>https://www.engineeringtoolbox.com/air-density-specific-weight-d_600.html, thermal expansion coefficient @ 20°C</t>
  </si>
  <si>
    <t>▲Te</t>
  </si>
  <si>
    <t>Temperature of Surrounding Fluid</t>
  </si>
  <si>
    <t>https://www.engineeringtoolbox.com/air-density-specific-weight-d_600.html, thermal expansion coefficient @ 175°C</t>
  </si>
  <si>
    <t>Log Mean Temperature Difference</t>
  </si>
  <si>
    <t>Bulk mean temperature (250°C) and 1 atm</t>
  </si>
  <si>
    <t>Length of Cylinder</t>
  </si>
  <si>
    <t>Kinematic Viscosity</t>
  </si>
  <si>
    <t>(m^2/s)</t>
  </si>
  <si>
    <t>Table A-15, 20°C</t>
  </si>
  <si>
    <t>Table A-15, 180°C</t>
  </si>
  <si>
    <t>Air</t>
  </si>
  <si>
    <t>Hydrogen</t>
  </si>
  <si>
    <t>Reference</t>
  </si>
  <si>
    <t>Dynamic Viscocity</t>
  </si>
  <si>
    <t xml:space="preserve">Appendix 1 Table A-15 &amp; </t>
  </si>
  <si>
    <t>Page 949</t>
  </si>
  <si>
    <t>Grashof Number</t>
  </si>
  <si>
    <t>Eq 9-15</t>
  </si>
  <si>
    <t>j</t>
  </si>
  <si>
    <t>Kinematic Viscocity</t>
  </si>
  <si>
    <t xml:space="preserve">                                         </t>
  </si>
  <si>
    <t>Equation 8-5</t>
  </si>
  <si>
    <t>Check: D &gt; 35L/Gr^0.25</t>
  </si>
  <si>
    <t>Appendix 1 Table A-15 &amp;</t>
  </si>
  <si>
    <t>Diameter</t>
  </si>
  <si>
    <t>Nussult Number</t>
  </si>
  <si>
    <t>Equation 8-16</t>
  </si>
  <si>
    <t>35L/Gr</t>
  </si>
  <si>
    <t>Eq 9-28</t>
  </si>
  <si>
    <t>35L/Gr^0.25</t>
  </si>
  <si>
    <t>Conclusion: cannot treat cylinder like vertical plate, find equation to find Nusselt Number</t>
  </si>
  <si>
    <t>Specific Heat</t>
  </si>
  <si>
    <t>What is max allowable length for valid equation?</t>
  </si>
  <si>
    <t>Equation 8-11</t>
  </si>
  <si>
    <t>Max Length</t>
  </si>
  <si>
    <t>Equation 8-12</t>
  </si>
  <si>
    <t>Internal Convection Heat Transfer Coefficient</t>
  </si>
  <si>
    <t>(W/m2*K)</t>
  </si>
  <si>
    <t>Equation 8-61</t>
  </si>
  <si>
    <t>* NO! Evaluate at film temperature!</t>
  </si>
  <si>
    <t>Rayleigh Number</t>
  </si>
  <si>
    <t>Eq 9-17</t>
  </si>
  <si>
    <t>Determining External Convection Heat Transfer Coefficient</t>
  </si>
  <si>
    <t>*need to iterate, since this process requires temperature of surface</t>
  </si>
  <si>
    <t>Use equations from Cebeci (1974)</t>
  </si>
  <si>
    <t>Curvature Parameter</t>
  </si>
  <si>
    <t>It's between 0 &amp; 5, and 0.01 &lt; Pr &lt; 100, so Cebeci is valid!</t>
  </si>
  <si>
    <t>Temperature of Surface</t>
  </si>
  <si>
    <t>Nusselt Number Flat Plate</t>
  </si>
  <si>
    <t>Day et al. eq 5</t>
  </si>
  <si>
    <t>Nusselt Number Cylinder</t>
  </si>
  <si>
    <t>Day et al. eq 4</t>
  </si>
  <si>
    <t>Equation 9-15</t>
  </si>
  <si>
    <t>Check:</t>
  </si>
  <si>
    <t>Heat Transfer Coefficient</t>
  </si>
  <si>
    <t>(W/m^2*K)</t>
  </si>
  <si>
    <t>Eq 9-16</t>
  </si>
  <si>
    <t>If the copper pipe is 6 in long and has a constant surface temperature of 100°C, the natural convection heat transfer coefficient is 8 (W/m^2*K)</t>
  </si>
  <si>
    <t>Circular Tube, Laminar, Fully Developed</t>
  </si>
  <si>
    <t>Nusselt Number</t>
  </si>
  <si>
    <t>Worst Case Scenario: Smallest internal h, most energy in hydrogen</t>
  </si>
  <si>
    <t>Table A-15, Air @ 50°C, smallest</t>
  </si>
  <si>
    <t>Hydrogen Gas</t>
  </si>
  <si>
    <t xml:space="preserve">Copper thermal conductivity, chose: </t>
  </si>
  <si>
    <t>(J/kg*K)</t>
  </si>
  <si>
    <t>Table A-16, Hydrogen Gas @400°C, largest</t>
  </si>
  <si>
    <t>35L/Gr^(1/4)</t>
  </si>
  <si>
    <t>Assume constant properties over all temperatures</t>
  </si>
  <si>
    <t>Table A-15 &amp; A-16 Interpolate 225°C</t>
  </si>
  <si>
    <t>R convection, inside</t>
  </si>
  <si>
    <t>(m*K/W)</t>
  </si>
  <si>
    <t>Outer Perimeter</t>
  </si>
  <si>
    <t>If it can be treated as a verticle plate:</t>
  </si>
  <si>
    <t>R convection, outside</t>
  </si>
  <si>
    <t>Cross-Sectional Area</t>
  </si>
  <si>
    <t>(m^2)</t>
  </si>
  <si>
    <t>Equation 9-17</t>
  </si>
  <si>
    <t>R Combined</t>
  </si>
  <si>
    <t>Qdot = L*▲Tradial/R</t>
  </si>
  <si>
    <t>m</t>
  </si>
  <si>
    <t>(God knows)</t>
  </si>
  <si>
    <t>Eq 3-57</t>
  </si>
  <si>
    <t>External Prandtl Number</t>
  </si>
  <si>
    <t>pg 949, 20°C &amp; 1 atm</t>
  </si>
  <si>
    <t>External Nussult Number</t>
  </si>
  <si>
    <t>Check: Laminar</t>
  </si>
  <si>
    <t>Qdot = mdot*c*▲Taxial</t>
  </si>
  <si>
    <t>Qdot</t>
  </si>
  <si>
    <t>External Convection Heat Transfer Coefficient</t>
  </si>
  <si>
    <t>Equation 9-16</t>
  </si>
  <si>
    <t>Eq 8-5</t>
  </si>
  <si>
    <t>Current R convection, inside</t>
  </si>
  <si>
    <t>Qdot Long fin:</t>
  </si>
  <si>
    <t>Re &lt; 2300 is laminar</t>
  </si>
  <si>
    <t xml:space="preserve">Dynamic viscosity barely changes from 100°C to 300°C. The mass flow rate can increase 10,000 times at it'll still be laminar. </t>
  </si>
  <si>
    <t>Current R convection, outside</t>
  </si>
  <si>
    <t>Compare:</t>
  </si>
  <si>
    <t>Conclusion: Both laminar</t>
  </si>
  <si>
    <t>What if I said: convection is 10 (W/m^2*K)</t>
  </si>
  <si>
    <t>From analysis above</t>
  </si>
  <si>
    <t>0.02g per 10 min</t>
  </si>
  <si>
    <t>Check: Fully Developed</t>
  </si>
  <si>
    <t>Eq 3-68</t>
  </si>
  <si>
    <t>Therefore: temperature of pipe is dominated by:</t>
  </si>
  <si>
    <t>Required Length</t>
  </si>
  <si>
    <t>If L = 0.1(m), Qdot = 33(W)</t>
  </si>
  <si>
    <t>Rate of Heat Transfer</t>
  </si>
  <si>
    <t>Conclusion: Immediately Fully Developed</t>
  </si>
  <si>
    <t>Heat Transfer Surface Area</t>
  </si>
  <si>
    <t>1g per second</t>
  </si>
  <si>
    <t>Equation 8-61 is now valid</t>
  </si>
  <si>
    <t>?</t>
  </si>
  <si>
    <t>Equation 8-32</t>
  </si>
  <si>
    <t>Eq 8-61</t>
  </si>
  <si>
    <t xml:space="preserve">We want to analyze this based on the worst-case scenario, that the air that's leaving transfers heat as slowly as possible. So use air's smaller convective heat transfer coefficient, and hydrogen's larger </t>
  </si>
  <si>
    <t>https://www.engineeringtoolbox.com/thermal-conductivity-metals-d_858.html, copper at ~100°C</t>
  </si>
  <si>
    <t>Question: do we care about the copper pipe?</t>
  </si>
  <si>
    <t>Check: thermal resistance network</t>
  </si>
  <si>
    <t>For Screenshot:</t>
  </si>
  <si>
    <t>Copper Thermal Conductivity</t>
  </si>
  <si>
    <t>0.02 g H2 in 10 minutes</t>
  </si>
  <si>
    <t>R conduction</t>
  </si>
  <si>
    <t>Questions:</t>
  </si>
  <si>
    <t xml:space="preserve">Reynolds Number: </t>
  </si>
  <si>
    <t>Valid to treat cylinder temp as average of inside and outside?</t>
  </si>
  <si>
    <t>Re &lt; 2,300 is laminar</t>
  </si>
  <si>
    <t>What's a better analysis method?</t>
  </si>
  <si>
    <t>Cannot treat like fluid flow</t>
  </si>
  <si>
    <t xml:space="preserve">Conduction through the pipe is negligible. Convection on the outside and inside of the pipe have similar magnitudes. </t>
  </si>
  <si>
    <t>Consider initial temp of pipe (aka transient analysis)?</t>
  </si>
  <si>
    <t>What if: natural convection on inside?</t>
  </si>
  <si>
    <t xml:space="preserve">Proposed solution: </t>
  </si>
  <si>
    <t>Does the hydrogen gas approach temp of air?</t>
  </si>
  <si>
    <t>Pipe is at average of inside and outside temperatures</t>
  </si>
  <si>
    <t>Rate of thermal energy into volume</t>
  </si>
  <si>
    <t>Have pipe at constant temp for small length increment</t>
  </si>
  <si>
    <t xml:space="preserve">Treat it like a fin: </t>
  </si>
  <si>
    <t>Calculate heat transfer through that section</t>
  </si>
  <si>
    <t xml:space="preserve">Extended surface, </t>
  </si>
  <si>
    <t>Find change in temperature of air through that section</t>
  </si>
  <si>
    <t>GLOBAL ENERGY BALANCE</t>
  </si>
  <si>
    <t>Iterate until exit temp is acceptable</t>
  </si>
  <si>
    <t>We're conducting thermal energy through the copper tube essentially</t>
  </si>
  <si>
    <t>Worst-case: all air, starts 350°C, natural convection</t>
  </si>
  <si>
    <t>* increase specific heat to reflect hydrogen gas' high value?</t>
  </si>
  <si>
    <t>Matlab?</t>
  </si>
  <si>
    <t>Needs:</t>
  </si>
  <si>
    <t>Change?</t>
  </si>
  <si>
    <t>Source:</t>
  </si>
  <si>
    <t>y</t>
  </si>
  <si>
    <t>Y</t>
  </si>
  <si>
    <t>1st analysis: 6in long, 350-&gt;50, .2g/10min</t>
  </si>
  <si>
    <t>n</t>
  </si>
  <si>
    <t>known</t>
  </si>
  <si>
    <t>Req'd length: 2.9in</t>
  </si>
  <si>
    <t>Thermal Expansion Coefficient</t>
  </si>
  <si>
    <t>internet</t>
  </si>
  <si>
    <t>Temp of Surface</t>
  </si>
  <si>
    <t>iteration</t>
  </si>
  <si>
    <t>2nd analysis: 2.9in long</t>
  </si>
  <si>
    <t>Temp of Bulk Air</t>
  </si>
  <si>
    <t>Req'd length: 2.6in long</t>
  </si>
  <si>
    <t>Characteristic Length</t>
  </si>
  <si>
    <t>*choose and iterate</t>
  </si>
  <si>
    <t>Kinematic Viscosity, Bulk Air</t>
  </si>
  <si>
    <t>table</t>
  </si>
  <si>
    <t>3rd analysis: 2.6in long</t>
  </si>
  <si>
    <t>Req'd Length</t>
  </si>
  <si>
    <t>At Film Temp!</t>
  </si>
  <si>
    <t>Prandtl Number, Bulk Air</t>
  </si>
  <si>
    <t>Flat Plate Nusselt Number</t>
  </si>
  <si>
    <t>Day et. al. eq's</t>
  </si>
  <si>
    <t>Cylinder Nusselt Number</t>
  </si>
  <si>
    <t>Thermal Conductivity, Bulk Air</t>
  </si>
  <si>
    <t>eq9-16</t>
  </si>
  <si>
    <t>Inlet Temp</t>
  </si>
  <si>
    <t>eq 8-61</t>
  </si>
  <si>
    <t>Thermal Resistance, inner convection</t>
  </si>
  <si>
    <t>pg 185</t>
  </si>
  <si>
    <t>Thermal Resistance, outer convection</t>
  </si>
  <si>
    <t>Exit Temp</t>
  </si>
  <si>
    <t>pg 507 example</t>
  </si>
  <si>
    <t>Treat this like fluid flow</t>
  </si>
  <si>
    <t>Textbook, pg 499</t>
  </si>
  <si>
    <t>Internal Diameter</t>
  </si>
  <si>
    <t>0.45" in meters</t>
  </si>
  <si>
    <t>Textbook, pg 950</t>
  </si>
  <si>
    <t>Hydrogen gas at bulk mean fluid temperature of 200°C</t>
  </si>
  <si>
    <t xml:space="preserve">Treat this like an energy balance on the extraction process. </t>
  </si>
  <si>
    <t>Wire Power</t>
  </si>
  <si>
    <t>Textbook, pg 198</t>
  </si>
  <si>
    <t>Textbook, pg 195</t>
  </si>
  <si>
    <t>Textbook, pg 405</t>
  </si>
  <si>
    <t>Textbook, pg 565</t>
  </si>
  <si>
    <t>Textbook, pg 566</t>
  </si>
  <si>
    <t>Textbook, pg 562</t>
  </si>
  <si>
    <t>"it is known"</t>
  </si>
  <si>
    <t>https://www.engineeringtoolbox.com/air-density-specific-weight-d_600.html</t>
  </si>
  <si>
    <t>Air, interpolated to film temp 185°C</t>
  </si>
  <si>
    <t>Textbook, pg 949</t>
  </si>
  <si>
    <t>Air, interpolated to film temperature 185°C</t>
  </si>
  <si>
    <t>Cylinder Length</t>
  </si>
  <si>
    <t>Put in the value from B163 to iterate</t>
  </si>
  <si>
    <t>Surrounding Air Temperature</t>
  </si>
  <si>
    <t>Evaluate: D &gt; 35L/Gr</t>
  </si>
  <si>
    <t>Outer Diameter D</t>
  </si>
  <si>
    <t>Not the case!</t>
  </si>
  <si>
    <t>Check: 0.01&lt;Pr&lt;100 and 0&lt;xi&lt;5</t>
  </si>
  <si>
    <t xml:space="preserve">All good! </t>
  </si>
  <si>
    <t>Nusselt Number, flat plate</t>
  </si>
  <si>
    <t>Nusselt Number, cylinder</t>
  </si>
  <si>
    <t>Textbook pg 949</t>
  </si>
  <si>
    <t>Convective Heat Transfer Coefficient</t>
  </si>
  <si>
    <t>Perimeter</t>
  </si>
  <si>
    <t>D*pi</t>
  </si>
  <si>
    <t>Cross-sectional Area</t>
  </si>
  <si>
    <t>0.25*pi*(Dout^2-Din^2)</t>
  </si>
  <si>
    <t>Copper, interpolated to 350°C</t>
  </si>
  <si>
    <t>Base Temperature</t>
  </si>
  <si>
    <t>Tip Temperature</t>
  </si>
  <si>
    <t>Heat Transfer Rate</t>
  </si>
  <si>
    <t>Heat Rate Entering</t>
  </si>
  <si>
    <t>Based on Qdot=V*I from the nichrome wire</t>
  </si>
  <si>
    <t>Factor of Safety</t>
  </si>
  <si>
    <t>Starting w/ spring 2023</t>
  </si>
  <si>
    <t>If it's an infinitely long fin (still vertical), what's the minimum required heat transfer rate?</t>
  </si>
  <si>
    <t>Pg 196</t>
  </si>
  <si>
    <t>Can we say that the heat transfer rate coming in doesn't matter? All that matters is that the inlet stays at a constant temperature</t>
  </si>
  <si>
    <t>Choose x = L, choose T(x), solve for L</t>
  </si>
  <si>
    <t>* check: thermal energy contained in copper pipe vs. thermal energy contained in hydrogen. Is one negligible?</t>
  </si>
  <si>
    <t>x</t>
  </si>
  <si>
    <t>Length</t>
  </si>
  <si>
    <t>Now: what if it's a horizontal cylinder?</t>
  </si>
  <si>
    <t>Pg 565</t>
  </si>
  <si>
    <t>This is for isothermal cylinders. Do analysis at max and min temp</t>
  </si>
  <si>
    <t>Max Temp 350°C</t>
  </si>
  <si>
    <t>Min Temp 50°C</t>
  </si>
  <si>
    <t>Outer Diameter:</t>
  </si>
  <si>
    <t>Inner Diameter:</t>
  </si>
  <si>
    <t>Gravitational Constant</t>
  </si>
  <si>
    <t>Bulk Temperature</t>
  </si>
  <si>
    <t>Volume Expansion Coefficient</t>
  </si>
  <si>
    <t>(K^-1)</t>
  </si>
  <si>
    <t>* Value at respective film temperatures, 185°C &amp; 35°C</t>
  </si>
  <si>
    <t>Pg 949, interpolated</t>
  </si>
  <si>
    <t>Prandtl</t>
  </si>
  <si>
    <t>Rayleigh</t>
  </si>
  <si>
    <t>*Rayleigh &lt; 10^12, we can use the book's equation!</t>
  </si>
  <si>
    <t>Eq 9-25</t>
  </si>
  <si>
    <t>Convection Coefficient</t>
  </si>
  <si>
    <t>Eq 6-5</t>
  </si>
  <si>
    <t>Convection Coefficient, Avg</t>
  </si>
  <si>
    <t>Thermal Conductivity, Avg</t>
  </si>
  <si>
    <t>cosh^-1(x)</t>
  </si>
  <si>
    <t>Qdot through Fin</t>
  </si>
  <si>
    <t>Eqn 3-65</t>
  </si>
  <si>
    <t>Pipe</t>
  </si>
  <si>
    <t>Textbook, engineering toolbox</t>
  </si>
  <si>
    <t>Density</t>
  </si>
  <si>
    <t>(kg/m^3)</t>
  </si>
  <si>
    <t>Energy</t>
  </si>
  <si>
    <t>Pipe/Hydrogen Energy Ratio</t>
  </si>
  <si>
    <t>Hydrogen Flow</t>
  </si>
  <si>
    <t>Inner Cross-sectional Area</t>
  </si>
  <si>
    <t>Volume Flow Rate</t>
  </si>
  <si>
    <t>(m^3/s)</t>
  </si>
  <si>
    <t>Velocity</t>
  </si>
  <si>
    <t>(m/s)</t>
  </si>
  <si>
    <t>(J/m)</t>
  </si>
  <si>
    <t>Temperature Change:</t>
  </si>
  <si>
    <t>Temperature Start</t>
  </si>
  <si>
    <t>Temperature End</t>
  </si>
  <si>
    <t>https://theengineeringmindset.com/specific-heat-capacity-of-materials/</t>
  </si>
  <si>
    <t>Surface Temperature (max)</t>
  </si>
  <si>
    <t>Surface Temperature (min)</t>
  </si>
  <si>
    <t>At Max Temp</t>
  </si>
  <si>
    <t>At Min Temp</t>
  </si>
  <si>
    <t>Thermal Conductivity (H2)</t>
  </si>
  <si>
    <t>new m for both scenarios</t>
  </si>
  <si>
    <t>new Length for both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</si>
</sst>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  <xf numFmtId="0" fontId="0" fillId="3" borderId="0" xfId="0" applyFill="1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11" fontId="0" fillId="6" borderId="0" xfId="0" applyNumberFormat="1" applyFill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left"/>
    </xf>
    <xf numFmtId="16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0" fillId="0" borderId="2" xfId="0" applyBorder="1" applyAlignment="1">
      <alignment horizontal="left"/>
    </xf>
    <xf numFmtId="0" fontId="0" fillId="7" borderId="0" xfId="0" applyFill="1" applyAlignment="1">
      <alignment horizontal="left"/>
    </xf>
    <xf numFmtId="11" fontId="0" fillId="7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164" fontId="0" fillId="7" borderId="0" xfId="0" applyNumberForma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2" fontId="0" fillId="7" borderId="0" xfId="0" applyNumberFormat="1" applyFill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1" xfId="0" applyBorder="1" applyAlignment="1">
      <alignment wrapText="1"/>
    </xf>
    <xf numFmtId="2" fontId="0" fillId="0" borderId="0" xfId="0" applyNumberFormat="1" applyAlignment="1">
      <alignment horizontal="left"/>
    </xf>
    <xf numFmtId="0" fontId="4" fillId="7" borderId="12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4" borderId="0" xfId="0" applyFill="1"/>
    <xf numFmtId="11" fontId="0" fillId="4" borderId="0" xfId="0" applyNumberFormat="1" applyFill="1"/>
    <xf numFmtId="0" fontId="5" fillId="0" borderId="0" xfId="0" applyFont="1"/>
    <xf numFmtId="2" fontId="0" fillId="0" borderId="0" xfId="0" applyNumberFormat="1"/>
    <xf numFmtId="1" fontId="0" fillId="0" borderId="0" xfId="0" applyNumberFormat="1"/>
    <xf numFmtId="0" fontId="0" fillId="8" borderId="0" xfId="0" applyFill="1"/>
    <xf numFmtId="1" fontId="0" fillId="8" borderId="0" xfId="0" applyNumberFormat="1" applyFill="1"/>
    <xf numFmtId="165" fontId="0" fillId="0" borderId="0" xfId="0" applyNumberFormat="1"/>
    <xf numFmtId="164" fontId="0" fillId="0" borderId="0" xfId="0" applyNumberFormat="1"/>
    <xf numFmtId="0" fontId="0" fillId="9" borderId="0" xfId="0" applyFill="1"/>
    <xf numFmtId="165" fontId="0" fillId="9" borderId="0" xfId="0" applyNumberFormat="1" applyFill="1"/>
    <xf numFmtId="166" fontId="0" fillId="9" borderId="0" xfId="0" applyNumberFormat="1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9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2" xfId="0" applyBorder="1" applyAlignment="1">
      <alignment horizontal="center" wrapText="1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16.png"/><Relationship Id="rId12" Type="http://schemas.openxmlformats.org/officeDocument/2006/relationships/image" Target="../media/image28.png"/><Relationship Id="rId2" Type="http://schemas.openxmlformats.org/officeDocument/2006/relationships/image" Target="../media/image3.png"/><Relationship Id="rId16" Type="http://schemas.openxmlformats.org/officeDocument/2006/relationships/image" Target="../media/image27.png"/><Relationship Id="rId1" Type="http://schemas.openxmlformats.org/officeDocument/2006/relationships/image" Target="../media/image2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26.png"/><Relationship Id="rId15" Type="http://schemas.openxmlformats.org/officeDocument/2006/relationships/image" Target="../media/image31.png"/><Relationship Id="rId10" Type="http://schemas.openxmlformats.org/officeDocument/2006/relationships/image" Target="../media/image18.png"/><Relationship Id="rId4" Type="http://schemas.openxmlformats.org/officeDocument/2006/relationships/image" Target="../media/image25.png"/><Relationship Id="rId9" Type="http://schemas.openxmlformats.org/officeDocument/2006/relationships/image" Target="../media/image19.png"/><Relationship Id="rId14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14.png"/><Relationship Id="rId2" Type="http://schemas.openxmlformats.org/officeDocument/2006/relationships/image" Target="../media/image26.png"/><Relationship Id="rId1" Type="http://schemas.openxmlformats.org/officeDocument/2006/relationships/image" Target="../media/image31.png"/><Relationship Id="rId6" Type="http://schemas.openxmlformats.org/officeDocument/2006/relationships/image" Target="../media/image10.png"/><Relationship Id="rId5" Type="http://schemas.openxmlformats.org/officeDocument/2006/relationships/image" Target="../media/image30.png"/><Relationship Id="rId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9525</xdr:rowOff>
    </xdr:from>
    <xdr:to>
      <xdr:col>7</xdr:col>
      <xdr:colOff>429415</xdr:colOff>
      <xdr:row>10</xdr:row>
      <xdr:rowOff>28764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81025"/>
          <a:ext cx="5658640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19050</xdr:colOff>
      <xdr:row>28</xdr:row>
      <xdr:rowOff>108556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5343525" cy="125155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15</xdr:col>
      <xdr:colOff>524614</xdr:colOff>
      <xdr:row>28</xdr:row>
      <xdr:rowOff>171607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3675" y="4381500"/>
          <a:ext cx="5296639" cy="1124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4</xdr:col>
      <xdr:colOff>448225</xdr:colOff>
      <xdr:row>39</xdr:row>
      <xdr:rowOff>114396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3943900" cy="685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4</xdr:col>
      <xdr:colOff>524436</xdr:colOff>
      <xdr:row>51</xdr:row>
      <xdr:rowOff>104816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25000"/>
          <a:ext cx="4020111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0</xdr:rowOff>
    </xdr:from>
    <xdr:to>
      <xdr:col>5</xdr:col>
      <xdr:colOff>124413</xdr:colOff>
      <xdr:row>54</xdr:row>
      <xdr:rowOff>114369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9906000"/>
          <a:ext cx="4210638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69</xdr:row>
      <xdr:rowOff>0</xdr:rowOff>
    </xdr:from>
    <xdr:to>
      <xdr:col>7</xdr:col>
      <xdr:colOff>48371</xdr:colOff>
      <xdr:row>71</xdr:row>
      <xdr:rowOff>142948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12382500"/>
          <a:ext cx="5344271" cy="5239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73</xdr:row>
      <xdr:rowOff>38100</xdr:rowOff>
    </xdr:from>
    <xdr:to>
      <xdr:col>7</xdr:col>
      <xdr:colOff>38844</xdr:colOff>
      <xdr:row>78</xdr:row>
      <xdr:rowOff>9654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13182600"/>
          <a:ext cx="5334744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55</xdr:row>
      <xdr:rowOff>161925</xdr:rowOff>
    </xdr:from>
    <xdr:to>
      <xdr:col>7</xdr:col>
      <xdr:colOff>29310</xdr:colOff>
      <xdr:row>66</xdr:row>
      <xdr:rowOff>19323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" y="10639425"/>
          <a:ext cx="5268060" cy="195289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84</xdr:row>
      <xdr:rowOff>0</xdr:rowOff>
    </xdr:from>
    <xdr:to>
      <xdr:col>7</xdr:col>
      <xdr:colOff>153160</xdr:colOff>
      <xdr:row>89</xdr:row>
      <xdr:rowOff>143028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75" y="16002000"/>
          <a:ext cx="5449060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142875</xdr:rowOff>
    </xdr:from>
    <xdr:to>
      <xdr:col>6</xdr:col>
      <xdr:colOff>372185</xdr:colOff>
      <xdr:row>98</xdr:row>
      <xdr:rowOff>66904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097375"/>
          <a:ext cx="5087060" cy="163852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90</xdr:row>
      <xdr:rowOff>1</xdr:rowOff>
    </xdr:from>
    <xdr:to>
      <xdr:col>10</xdr:col>
      <xdr:colOff>285750</xdr:colOff>
      <xdr:row>94</xdr:row>
      <xdr:rowOff>136209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29275" y="17145001"/>
          <a:ext cx="2733675" cy="8982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4</xdr:col>
      <xdr:colOff>391067</xdr:colOff>
      <xdr:row>102</xdr:row>
      <xdr:rowOff>181053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9050000"/>
          <a:ext cx="3886742" cy="562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5</xdr:col>
      <xdr:colOff>324468</xdr:colOff>
      <xdr:row>106</xdr:row>
      <xdr:rowOff>47711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9621500"/>
          <a:ext cx="4429743" cy="619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142875</xdr:rowOff>
    </xdr:from>
    <xdr:to>
      <xdr:col>9</xdr:col>
      <xdr:colOff>1334599</xdr:colOff>
      <xdr:row>114</xdr:row>
      <xdr:rowOff>19219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0526375"/>
          <a:ext cx="7878274" cy="1209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6</xdr:col>
      <xdr:colOff>534133</xdr:colOff>
      <xdr:row>126</xdr:row>
      <xdr:rowOff>57477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1717000"/>
          <a:ext cx="5249008" cy="2343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66675</xdr:rowOff>
    </xdr:from>
    <xdr:to>
      <xdr:col>9</xdr:col>
      <xdr:colOff>1334599</xdr:colOff>
      <xdr:row>132</xdr:row>
      <xdr:rowOff>171624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4069675"/>
          <a:ext cx="7878274" cy="1247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5</xdr:col>
      <xdr:colOff>372100</xdr:colOff>
      <xdr:row>135</xdr:row>
      <xdr:rowOff>152474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5336500"/>
          <a:ext cx="4477375" cy="533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85725</xdr:rowOff>
    </xdr:from>
    <xdr:to>
      <xdr:col>6</xdr:col>
      <xdr:colOff>29237</xdr:colOff>
      <xdr:row>146</xdr:row>
      <xdr:rowOff>9674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EBDD53D-BE44-35FD-E10F-1EEC9854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6565225"/>
          <a:ext cx="4744112" cy="1066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180975</xdr:rowOff>
    </xdr:from>
    <xdr:to>
      <xdr:col>6</xdr:col>
      <xdr:colOff>114974</xdr:colOff>
      <xdr:row>167</xdr:row>
      <xdr:rowOff>95823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D6B2C4-B057-3A7A-EE23-8A4359666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7612975"/>
          <a:ext cx="4829849" cy="4105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4</xdr:col>
      <xdr:colOff>114804</xdr:colOff>
      <xdr:row>173</xdr:row>
      <xdr:rowOff>104869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EC76E99-64D3-BB6C-FF47-0151CA66C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2194500"/>
          <a:ext cx="3610479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175</xdr:row>
      <xdr:rowOff>0</xdr:rowOff>
    </xdr:from>
    <xdr:to>
      <xdr:col>3</xdr:col>
      <xdr:colOff>581508</xdr:colOff>
      <xdr:row>178</xdr:row>
      <xdr:rowOff>38185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EDF08-9F56-2C2E-37C0-7D5E5E392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525" y="33147000"/>
          <a:ext cx="3458058" cy="609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123825</xdr:rowOff>
    </xdr:from>
    <xdr:to>
      <xdr:col>6</xdr:col>
      <xdr:colOff>600817</xdr:colOff>
      <xdr:row>137</xdr:row>
      <xdr:rowOff>171510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DE009E-B826-3ACC-893D-CE7075875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25841325"/>
          <a:ext cx="5315692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164522</xdr:rowOff>
    </xdr:from>
    <xdr:to>
      <xdr:col>6</xdr:col>
      <xdr:colOff>57816</xdr:colOff>
      <xdr:row>189</xdr:row>
      <xdr:rowOff>97997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C9A92E-FD0D-B7C4-A283-9D49E9B9B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5026022"/>
          <a:ext cx="4759702" cy="107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142875</xdr:rowOff>
    </xdr:from>
    <xdr:to>
      <xdr:col>2</xdr:col>
      <xdr:colOff>495660</xdr:colOff>
      <xdr:row>192</xdr:row>
      <xdr:rowOff>19112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86E8F11-DDD4-C9C8-A492-038546F27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6147375"/>
          <a:ext cx="2581635" cy="447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3</xdr:col>
      <xdr:colOff>231633</xdr:colOff>
      <xdr:row>195</xdr:row>
      <xdr:rowOff>152474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199C06B-A495-E981-44F7-6DCA205BA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6766500"/>
          <a:ext cx="3115110" cy="533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1</xdr:rowOff>
    </xdr:from>
    <xdr:to>
      <xdr:col>7</xdr:col>
      <xdr:colOff>69272</xdr:colOff>
      <xdr:row>211</xdr:row>
      <xdr:rowOff>124169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E6EAD2B-D34B-76C8-E3C5-F805F527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38290501"/>
          <a:ext cx="5377295" cy="2029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49</xdr:row>
      <xdr:rowOff>171450</xdr:rowOff>
    </xdr:from>
    <xdr:to>
      <xdr:col>1</xdr:col>
      <xdr:colOff>620224</xdr:colOff>
      <xdr:row>56</xdr:row>
      <xdr:rowOff>47794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791"/>
        <a:stretch/>
      </xdr:blipFill>
      <xdr:spPr>
        <a:xfrm>
          <a:off x="95250" y="9505950"/>
          <a:ext cx="3325324" cy="1209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154998</xdr:colOff>
      <xdr:row>8</xdr:row>
      <xdr:rowOff>108556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9EB1FC-6CA7-4040-8DCF-7E37D07B7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327073" cy="12515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123825</xdr:rowOff>
    </xdr:from>
    <xdr:to>
      <xdr:col>5</xdr:col>
      <xdr:colOff>106380</xdr:colOff>
      <xdr:row>14</xdr:row>
      <xdr:rowOff>104932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08FE3B-1D8E-4072-B703-044ADDEF6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47825"/>
          <a:ext cx="5278455" cy="1124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197227</xdr:colOff>
      <xdr:row>26</xdr:row>
      <xdr:rowOff>123975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85BDA-4231-4BCF-BCE9-4AAC4AA3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00500"/>
          <a:ext cx="4759702" cy="10764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26</xdr:row>
      <xdr:rowOff>114300</xdr:rowOff>
    </xdr:from>
    <xdr:to>
      <xdr:col>1</xdr:col>
      <xdr:colOff>1048976</xdr:colOff>
      <xdr:row>28</xdr:row>
      <xdr:rowOff>181037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175B40-0062-4B4A-B423-AEE15D7C8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" y="5067300"/>
          <a:ext cx="2582501" cy="447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2</xdr:col>
      <xdr:colOff>333810</xdr:colOff>
      <xdr:row>32</xdr:row>
      <xdr:rowOff>152474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47E11E-B83A-4B1D-AC14-29E7C297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15000"/>
          <a:ext cx="3115110" cy="533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120594</xdr:colOff>
      <xdr:row>39</xdr:row>
      <xdr:rowOff>66844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BC31B2-227F-41A5-B7A3-F29D6A9B7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286500"/>
          <a:ext cx="7854894" cy="1209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5</xdr:col>
      <xdr:colOff>63944</xdr:colOff>
      <xdr:row>52</xdr:row>
      <xdr:rowOff>57477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C5A6C9-BF96-42F9-BFFD-4872B5953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620000"/>
          <a:ext cx="5236019" cy="2343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5</xdr:col>
      <xdr:colOff>260533</xdr:colOff>
      <xdr:row>58</xdr:row>
      <xdr:rowOff>143028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46A1A2-29F8-4021-9250-133C4EAD5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096500"/>
          <a:ext cx="5432608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75</xdr:row>
      <xdr:rowOff>28575</xdr:rowOff>
    </xdr:from>
    <xdr:to>
      <xdr:col>4</xdr:col>
      <xdr:colOff>197223</xdr:colOff>
      <xdr:row>80</xdr:row>
      <xdr:rowOff>143024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E2B5B5-22D8-4AEE-B684-89D7CCE8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" y="14316075"/>
          <a:ext cx="4731123" cy="1066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3</xdr:col>
      <xdr:colOff>705475</xdr:colOff>
      <xdr:row>86</xdr:row>
      <xdr:rowOff>152474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5977E4-2B8E-4BD1-9450-9C157E9E4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002000"/>
          <a:ext cx="4467850" cy="533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4</xdr:col>
      <xdr:colOff>254385</xdr:colOff>
      <xdr:row>108</xdr:row>
      <xdr:rowOff>105348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CF34AF-2B4A-4543-BC12-A74DDDD6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573500"/>
          <a:ext cx="4816860" cy="410584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112</xdr:row>
      <xdr:rowOff>19050</xdr:rowOff>
    </xdr:from>
    <xdr:to>
      <xdr:col>2</xdr:col>
      <xdr:colOff>343335</xdr:colOff>
      <xdr:row>114</xdr:row>
      <xdr:rowOff>171524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1F1C34-E7D3-4726-9AF5-CB5103FF3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21355050"/>
          <a:ext cx="3115110" cy="533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1</xdr:col>
      <xdr:colOff>868001</xdr:colOff>
      <xdr:row>120</xdr:row>
      <xdr:rowOff>66737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2A070A8-8A56-41BC-AD6C-FF82490FB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479000"/>
          <a:ext cx="2582501" cy="447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4</xdr:col>
      <xdr:colOff>197227</xdr:colOff>
      <xdr:row>131</xdr:row>
      <xdr:rowOff>123975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134DEC-DB05-4A80-BCF3-B11E6DC2F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003000"/>
          <a:ext cx="4759702" cy="107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5</xdr:col>
      <xdr:colOff>134090</xdr:colOff>
      <xdr:row>149</xdr:row>
      <xdr:rowOff>104843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757DF49-B767-A087-4880-BC117EF6B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8003500"/>
          <a:ext cx="5306165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5</xdr:col>
      <xdr:colOff>123825</xdr:colOff>
      <xdr:row>157</xdr:row>
      <xdr:rowOff>117197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C1DBCA1-E075-DA84-7A05-069780F4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9527500"/>
          <a:ext cx="5295900" cy="4981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1</xdr:col>
      <xdr:colOff>371766</xdr:colOff>
      <xdr:row>160</xdr:row>
      <xdr:rowOff>38132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9890DDC-AE50-A9FF-6440-4B425C954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0289500"/>
          <a:ext cx="2086266" cy="22863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167</xdr:row>
      <xdr:rowOff>0</xdr:rowOff>
    </xdr:from>
    <xdr:to>
      <xdr:col>8</xdr:col>
      <xdr:colOff>104775</xdr:colOff>
      <xdr:row>172</xdr:row>
      <xdr:rowOff>88602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6C42A33-F33D-BBF0-FF41-CE88B73E1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31813500"/>
          <a:ext cx="7229474" cy="1041102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192</xdr:row>
      <xdr:rowOff>9525</xdr:rowOff>
    </xdr:from>
    <xdr:to>
      <xdr:col>12</xdr:col>
      <xdr:colOff>229035</xdr:colOff>
      <xdr:row>194</xdr:row>
      <xdr:rowOff>161999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D2A1DFE-E6FE-43E5-8514-11D24253B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9350" y="35823525"/>
          <a:ext cx="3115110" cy="533474"/>
        </a:xfrm>
        <a:prstGeom prst="rect">
          <a:avLst/>
        </a:prstGeom>
      </xdr:spPr>
    </xdr:pic>
    <xdr:clientData/>
  </xdr:twoCellAnchor>
  <xdr:oneCellAnchor>
    <xdr:from>
      <xdr:col>10</xdr:col>
      <xdr:colOff>495301</xdr:colOff>
      <xdr:row>196</xdr:row>
      <xdr:rowOff>87849</xdr:rowOff>
    </xdr:from>
    <xdr:ext cx="3449276" cy="598013"/>
    <xdr:pic>
      <xdr:nvPicPr>
        <xdr:cNvPr id="23" name="Picture 22">
          <a:extLst>
            <a:ext uri="{FF2B5EF4-FFF2-40B4-BE49-F238E27FC236}">
              <a16:creationId xmlns:a16="http://schemas.microsoft.com/office/drawing/2014/main" id="{7761B1A5-8C46-4D0E-935D-95EEACBA3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1526" y="36663849"/>
          <a:ext cx="3449276" cy="598013"/>
        </a:xfrm>
        <a:prstGeom prst="rect">
          <a:avLst/>
        </a:prstGeom>
      </xdr:spPr>
    </xdr:pic>
    <xdr:clientData/>
  </xdr:oneCellAnchor>
  <xdr:twoCellAnchor editAs="oneCell">
    <xdr:from>
      <xdr:col>8</xdr:col>
      <xdr:colOff>304800</xdr:colOff>
      <xdr:row>200</xdr:row>
      <xdr:rowOff>123825</xdr:rowOff>
    </xdr:from>
    <xdr:to>
      <xdr:col>17</xdr:col>
      <xdr:colOff>195695</xdr:colOff>
      <xdr:row>203</xdr:row>
      <xdr:rowOff>76199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C5E3342-DECA-4D90-AE96-4D5CF3AC82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74183"/>
        <a:stretch/>
      </xdr:blipFill>
      <xdr:spPr>
        <a:xfrm>
          <a:off x="6981825" y="37461825"/>
          <a:ext cx="5377295" cy="523875"/>
        </a:xfrm>
        <a:prstGeom prst="rect">
          <a:avLst/>
        </a:prstGeom>
      </xdr:spPr>
    </xdr:pic>
    <xdr:clientData/>
  </xdr:twoCellAnchor>
  <xdr:oneCellAnchor>
    <xdr:from>
      <xdr:col>7</xdr:col>
      <xdr:colOff>476250</xdr:colOff>
      <xdr:row>204</xdr:row>
      <xdr:rowOff>4762</xdr:rowOff>
    </xdr:from>
    <xdr:ext cx="6044347" cy="260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762E841-FB1D-CD35-8A5D-2987B676F491}"/>
                </a:ext>
              </a:extLst>
            </xdr:cNvPr>
            <xdr:cNvSpPr txBox="1"/>
          </xdr:nvSpPr>
          <xdr:spPr>
            <a:xfrm>
              <a:off x="6543675" y="38104762"/>
              <a:ext cx="6044347" cy="26039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At</a:t>
              </a:r>
              <a:r>
                <a:rPr lang="en-US" sz="1100" i="0" baseline="0">
                  <a:latin typeface="+mn-lt"/>
                </a:rPr>
                <a:t> the tip: 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cosh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m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latin typeface="Cambria Math" panose="02040503050406030204" pitchFamily="18" charset="0"/>
                                </a:rPr>
                                <m:t>L</m:t>
                              </m:r>
                              <m:r>
                                <a:rPr lang="en-US" sz="1100" b="0" i="0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latin typeface="Cambria Math" panose="02040503050406030204" pitchFamily="18" charset="0"/>
                                </a:rPr>
                                <m:t>L</m:t>
                              </m:r>
                            </m:e>
                          </m:d>
                        </m:e>
                      </m:d>
                      <m:r>
                        <a:rPr lang="en-US" sz="1100" b="0" i="0">
                          <a:latin typeface="Cambria Math" panose="02040503050406030204" pitchFamily="18" charset="0"/>
                        </a:rPr>
                        <m:t>=</m:t>
                      </m:r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cosh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0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d>
                      <m:r>
                        <a:rPr lang="en-US" sz="1100" b="0" i="0">
                          <a:latin typeface="Cambria Math" panose="02040503050406030204" pitchFamily="18" charset="0"/>
                        </a:rPr>
                        <m:t>=1, </m:t>
                      </m:r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cosh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𝑚𝐿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sub>
                      </m:sSub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𝑚𝐿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𝑐𝑜𝑠h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𝑐𝑜𝑠h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)/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𝑚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762E841-FB1D-CD35-8A5D-2987B676F491}"/>
                </a:ext>
              </a:extLst>
            </xdr:cNvPr>
            <xdr:cNvSpPr txBox="1"/>
          </xdr:nvSpPr>
          <xdr:spPr>
            <a:xfrm>
              <a:off x="6543675" y="38104762"/>
              <a:ext cx="6044347" cy="26039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At</a:t>
              </a:r>
              <a:r>
                <a:rPr lang="en-US" sz="1100" i="0" baseline="0">
                  <a:latin typeface="+mn-lt"/>
                </a:rPr>
                <a:t> the tip: </a:t>
              </a:r>
              <a:r>
                <a:rPr lang="en-US" sz="1100" b="0" i="0">
                  <a:latin typeface="Cambria Math" panose="02040503050406030204" pitchFamily="18" charset="0"/>
                </a:rPr>
                <a:t>〖cosh(m(L−L))=cosh(0)=1, cosh〗⁡(𝑚𝐿)=(𝑇_𝑏−𝑇_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∞)/(</a:t>
              </a:r>
              <a:r>
                <a:rPr lang="en-US" sz="1100" b="0" i="0">
                  <a:latin typeface="Cambria Math" panose="02040503050406030204" pitchFamily="18" charset="0"/>
                </a:rPr>
                <a:t>𝑇_𝐿−𝑇_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 )</a:t>
              </a:r>
              <a:r>
                <a:rPr lang="en-US" sz="1100" b="0" i="0">
                  <a:latin typeface="Cambria Math" panose="02040503050406030204" pitchFamily="18" charset="0"/>
                </a:rPr>
                <a:t>=𝑥, 𝑚𝐿=〖𝑐𝑜𝑠ℎ〗^(−1) (𝑥), 𝐿=〖𝑐𝑜𝑠ℎ〗^(−1) (𝑥)/𝑚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14</xdr:col>
      <xdr:colOff>123825</xdr:colOff>
      <xdr:row>205</xdr:row>
      <xdr:rowOff>104775</xdr:rowOff>
    </xdr:from>
    <xdr:to>
      <xdr:col>17</xdr:col>
      <xdr:colOff>381291</xdr:colOff>
      <xdr:row>206</xdr:row>
      <xdr:rowOff>142908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743ABC2-BD89-44FB-B35F-093B2A35B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458450" y="38395275"/>
          <a:ext cx="2086266" cy="228632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209</xdr:row>
      <xdr:rowOff>76200</xdr:rowOff>
    </xdr:from>
    <xdr:to>
      <xdr:col>17</xdr:col>
      <xdr:colOff>24245</xdr:colOff>
      <xdr:row>220</xdr:row>
      <xdr:rowOff>9868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E4D24F2-9562-43CC-B205-E109D1CBC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24700" y="39890700"/>
          <a:ext cx="5377295" cy="2029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9</xdr:col>
      <xdr:colOff>276991</xdr:colOff>
      <xdr:row>7</xdr:row>
      <xdr:rowOff>88602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A9871D-396E-4103-A677-FD81B2913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1813500"/>
          <a:ext cx="7229474" cy="1041102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39</xdr:row>
      <xdr:rowOff>9525</xdr:rowOff>
    </xdr:from>
    <xdr:to>
      <xdr:col>13</xdr:col>
      <xdr:colOff>229034</xdr:colOff>
      <xdr:row>41</xdr:row>
      <xdr:rowOff>161998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AECFA-9E47-40E9-90B1-02CC9CA0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7025" y="36585525"/>
          <a:ext cx="3115110" cy="533474"/>
        </a:xfrm>
        <a:prstGeom prst="rect">
          <a:avLst/>
        </a:prstGeom>
      </xdr:spPr>
    </xdr:pic>
    <xdr:clientData/>
  </xdr:twoCellAnchor>
  <xdr:oneCellAnchor>
    <xdr:from>
      <xdr:col>11</xdr:col>
      <xdr:colOff>495301</xdr:colOff>
      <xdr:row>43</xdr:row>
      <xdr:rowOff>87849</xdr:rowOff>
    </xdr:from>
    <xdr:ext cx="3449276" cy="598013"/>
    <xdr:pic>
      <xdr:nvPicPr>
        <xdr:cNvPr id="4" name="Picture 3">
          <a:extLst>
            <a:ext uri="{FF2B5EF4-FFF2-40B4-BE49-F238E27FC236}">
              <a16:creationId xmlns:a16="http://schemas.microsoft.com/office/drawing/2014/main" id="{9BD256DC-B609-4E74-BA88-848173986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39201" y="37425849"/>
          <a:ext cx="3449276" cy="598013"/>
        </a:xfrm>
        <a:prstGeom prst="rect">
          <a:avLst/>
        </a:prstGeom>
      </xdr:spPr>
    </xdr:pic>
    <xdr:clientData/>
  </xdr:oneCellAnchor>
  <xdr:twoCellAnchor editAs="oneCell">
    <xdr:from>
      <xdr:col>9</xdr:col>
      <xdr:colOff>304800</xdr:colOff>
      <xdr:row>47</xdr:row>
      <xdr:rowOff>123825</xdr:rowOff>
    </xdr:from>
    <xdr:to>
      <xdr:col>18</xdr:col>
      <xdr:colOff>195696</xdr:colOff>
      <xdr:row>50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2B0360-81D7-462B-89EC-10EA9302E1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74183"/>
        <a:stretch/>
      </xdr:blipFill>
      <xdr:spPr>
        <a:xfrm>
          <a:off x="7429500" y="38223825"/>
          <a:ext cx="5377295" cy="523874"/>
        </a:xfrm>
        <a:prstGeom prst="rect">
          <a:avLst/>
        </a:prstGeom>
      </xdr:spPr>
    </xdr:pic>
    <xdr:clientData/>
  </xdr:twoCellAnchor>
  <xdr:oneCellAnchor>
    <xdr:from>
      <xdr:col>8</xdr:col>
      <xdr:colOff>476250</xdr:colOff>
      <xdr:row>51</xdr:row>
      <xdr:rowOff>4762</xdr:rowOff>
    </xdr:from>
    <xdr:ext cx="6044347" cy="260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F1A847-B52F-4FED-B346-B615C560AB85}"/>
                </a:ext>
              </a:extLst>
            </xdr:cNvPr>
            <xdr:cNvSpPr txBox="1"/>
          </xdr:nvSpPr>
          <xdr:spPr>
            <a:xfrm>
              <a:off x="6991350" y="38866762"/>
              <a:ext cx="6044347" cy="26039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At</a:t>
              </a:r>
              <a:r>
                <a:rPr lang="en-US" sz="1100" i="0" baseline="0">
                  <a:latin typeface="+mn-lt"/>
                </a:rPr>
                <a:t> the tip: 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cosh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m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latin typeface="Cambria Math" panose="02040503050406030204" pitchFamily="18" charset="0"/>
                                </a:rPr>
                                <m:t>L</m:t>
                              </m:r>
                              <m:r>
                                <a:rPr lang="en-US" sz="1100" b="0" i="0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latin typeface="Cambria Math" panose="02040503050406030204" pitchFamily="18" charset="0"/>
                                </a:rPr>
                                <m:t>L</m:t>
                              </m:r>
                            </m:e>
                          </m:d>
                        </m:e>
                      </m:d>
                      <m:r>
                        <a:rPr lang="en-US" sz="1100" b="0" i="0">
                          <a:latin typeface="Cambria Math" panose="02040503050406030204" pitchFamily="18" charset="0"/>
                        </a:rPr>
                        <m:t>=</m:t>
                      </m:r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cosh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0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d>
                      <m:r>
                        <a:rPr lang="en-US" sz="1100" b="0" i="0">
                          <a:latin typeface="Cambria Math" panose="02040503050406030204" pitchFamily="18" charset="0"/>
                        </a:rPr>
                        <m:t>=1, </m:t>
                      </m:r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cosh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𝑚𝐿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sub>
                      </m:sSub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𝑚𝐿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𝑐𝑜𝑠h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𝑐𝑜𝑠h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)/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𝑚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F1A847-B52F-4FED-B346-B615C560AB85}"/>
                </a:ext>
              </a:extLst>
            </xdr:cNvPr>
            <xdr:cNvSpPr txBox="1"/>
          </xdr:nvSpPr>
          <xdr:spPr>
            <a:xfrm>
              <a:off x="6991350" y="38866762"/>
              <a:ext cx="6044347" cy="26039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At</a:t>
              </a:r>
              <a:r>
                <a:rPr lang="en-US" sz="1100" i="0" baseline="0">
                  <a:latin typeface="+mn-lt"/>
                </a:rPr>
                <a:t> the tip: </a:t>
              </a:r>
              <a:r>
                <a:rPr lang="en-US" sz="1100" b="0" i="0">
                  <a:latin typeface="Cambria Math" panose="02040503050406030204" pitchFamily="18" charset="0"/>
                </a:rPr>
                <a:t>〖cosh(m(L−L))=cosh(0)=1, cosh〗⁡(𝑚𝐿)=(𝑇_𝑏−𝑇_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∞)/(</a:t>
              </a:r>
              <a:r>
                <a:rPr lang="en-US" sz="1100" b="0" i="0">
                  <a:latin typeface="Cambria Math" panose="02040503050406030204" pitchFamily="18" charset="0"/>
                </a:rPr>
                <a:t>𝑇_𝐿−𝑇_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 )</a:t>
              </a:r>
              <a:r>
                <a:rPr lang="en-US" sz="1100" b="0" i="0">
                  <a:latin typeface="Cambria Math" panose="02040503050406030204" pitchFamily="18" charset="0"/>
                </a:rPr>
                <a:t>=𝑥, 𝑚𝐿=〖𝑐𝑜𝑠ℎ〗^(−1) (𝑥), 𝐿=〖𝑐𝑜𝑠ℎ〗^(−1) (𝑥)/𝑚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15</xdr:col>
      <xdr:colOff>123825</xdr:colOff>
      <xdr:row>52</xdr:row>
      <xdr:rowOff>104775</xdr:rowOff>
    </xdr:from>
    <xdr:to>
      <xdr:col>18</xdr:col>
      <xdr:colOff>381292</xdr:colOff>
      <xdr:row>53</xdr:row>
      <xdr:rowOff>142908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CCD3D4-A0C1-4C04-B3BD-B02DC6CD7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6125" y="39157275"/>
          <a:ext cx="2086266" cy="228633"/>
        </a:xfrm>
        <a:prstGeom prst="rect">
          <a:avLst/>
        </a:prstGeom>
      </xdr:spPr>
    </xdr:pic>
    <xdr:clientData/>
  </xdr:twoCellAnchor>
  <xdr:twoCellAnchor editAs="oneCell">
    <xdr:from>
      <xdr:col>7</xdr:col>
      <xdr:colOff>305962</xdr:colOff>
      <xdr:row>62</xdr:row>
      <xdr:rowOff>89337</xdr:rowOff>
    </xdr:from>
    <xdr:to>
      <xdr:col>16</xdr:col>
      <xdr:colOff>198856</xdr:colOff>
      <xdr:row>65</xdr:row>
      <xdr:rowOff>51237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24A56FE-A948-4DF6-9135-B30316F52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7410" b="26304"/>
        <a:stretch/>
      </xdr:blipFill>
      <xdr:spPr>
        <a:xfrm>
          <a:off x="6539910" y="11519337"/>
          <a:ext cx="5391118" cy="533401"/>
        </a:xfrm>
        <a:prstGeom prst="rect">
          <a:avLst/>
        </a:prstGeom>
      </xdr:spPr>
    </xdr:pic>
    <xdr:clientData/>
  </xdr:twoCellAnchor>
  <xdr:twoCellAnchor editAs="oneCell">
    <xdr:from>
      <xdr:col>8</xdr:col>
      <xdr:colOff>597775</xdr:colOff>
      <xdr:row>53</xdr:row>
      <xdr:rowOff>124810</xdr:rowOff>
    </xdr:from>
    <xdr:to>
      <xdr:col>14</xdr:col>
      <xdr:colOff>525589</xdr:colOff>
      <xdr:row>56</xdr:row>
      <xdr:rowOff>103614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2409EA-57A6-48E5-92F7-D9329180D3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857" t="49768"/>
        <a:stretch/>
      </xdr:blipFill>
      <xdr:spPr>
        <a:xfrm>
          <a:off x="7442637" y="9840310"/>
          <a:ext cx="3593297" cy="550303"/>
        </a:xfrm>
        <a:prstGeom prst="rect">
          <a:avLst/>
        </a:prstGeom>
      </xdr:spPr>
    </xdr:pic>
    <xdr:clientData/>
  </xdr:twoCellAnchor>
  <xdr:twoCellAnchor editAs="oneCell">
    <xdr:from>
      <xdr:col>8</xdr:col>
      <xdr:colOff>597775</xdr:colOff>
      <xdr:row>57</xdr:row>
      <xdr:rowOff>6569</xdr:rowOff>
    </xdr:from>
    <xdr:to>
      <xdr:col>16</xdr:col>
      <xdr:colOff>130683</xdr:colOff>
      <xdr:row>60</xdr:row>
      <xdr:rowOff>54280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0D15DC8-F16B-4A9D-B3B3-878B9A81B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637" y="10484069"/>
          <a:ext cx="4420218" cy="619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traum.altervista.org/Day__2011__ASME_JHT__Nat_Convection_Vert_Cyl_.pdf" TargetMode="External"/><Relationship Id="rId2" Type="http://schemas.openxmlformats.org/officeDocument/2006/relationships/hyperlink" Target="https://www.engineeringtoolbox.com/thermal-conductivity-metals-d_858.html" TargetMode="External"/><Relationship Id="rId1" Type="http://schemas.openxmlformats.org/officeDocument/2006/relationships/hyperlink" Target="https://www.lmnoeng.com/Flow/GasViscosity.php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air-density-specific-weight-d_600.html,%20thermal%20expansion%20coefficient%20@%20175&#176;C" TargetMode="External"/><Relationship Id="rId2" Type="http://schemas.openxmlformats.org/officeDocument/2006/relationships/hyperlink" Target="https://www.engineeringtoolbox.com/thermal-conductivity-metals-d_858.html,%20copper%20at%20~100&#176;C" TargetMode="External"/><Relationship Id="rId1" Type="http://schemas.openxmlformats.org/officeDocument/2006/relationships/hyperlink" Target="https://www.engineeringtoolbox.com/air-density-specific-weight-d_600.html,%20thermal%20expansion%20coefficient%20@%2020&#176;C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ngineeringtoolbox.com/air-density-specific-weight-d_600.html,%20thermal%20expansion%20coefficient%20@%20175&#176;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thermal-conductivity-metals-d_858.html" TargetMode="External"/><Relationship Id="rId2" Type="http://schemas.openxmlformats.org/officeDocument/2006/relationships/hyperlink" Target="http://mtraum.altervista.org/Day__2011__ASME_JHT__Nat_Convection_Vert_Cyl_.pdf" TargetMode="External"/><Relationship Id="rId1" Type="http://schemas.openxmlformats.org/officeDocument/2006/relationships/hyperlink" Target="https://www.engineeringtoolbox.com/air-density-specific-weight-d_600.html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ngineeringtoolbox.com/thermal-conductivity-metals-d_858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ngineeringtoolbox.com/thermal-conductivity-metals-d_8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02"/>
  <sheetViews>
    <sheetView topLeftCell="A75" zoomScale="110" zoomScaleNormal="110" workbookViewId="0">
      <selection activeCell="I203" sqref="I203"/>
    </sheetView>
  </sheetViews>
  <sheetFormatPr defaultRowHeight="15" x14ac:dyDescent="0.25"/>
  <cols>
    <col min="1" max="1" width="22.140625" customWidth="1"/>
    <col min="3" max="3" width="12" bestFit="1" customWidth="1"/>
    <col min="10" max="10" width="23" customWidth="1"/>
    <col min="11" max="11" width="12" bestFit="1" customWidth="1"/>
  </cols>
  <sheetData>
    <row r="1" spans="1:13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3" spans="1:13" x14ac:dyDescent="0.25">
      <c r="A3" t="s">
        <v>1</v>
      </c>
    </row>
    <row r="4" spans="1:13" x14ac:dyDescent="0.25">
      <c r="K4" s="45" t="s">
        <v>2</v>
      </c>
      <c r="L4" s="45"/>
    </row>
    <row r="8" spans="1:13" x14ac:dyDescent="0.25">
      <c r="K8" t="s">
        <v>3</v>
      </c>
    </row>
    <row r="9" spans="1:13" x14ac:dyDescent="0.25">
      <c r="J9" t="s">
        <v>4</v>
      </c>
      <c r="K9">
        <f>0.02/10/60</f>
        <v>3.3333333333333335E-5</v>
      </c>
      <c r="L9" t="s">
        <v>5</v>
      </c>
    </row>
    <row r="10" spans="1:13" x14ac:dyDescent="0.25">
      <c r="J10" t="s">
        <v>6</v>
      </c>
      <c r="K10">
        <v>8.3000000000000004E-2</v>
      </c>
      <c r="L10" t="s">
        <v>7</v>
      </c>
      <c r="M10" t="s">
        <v>8</v>
      </c>
    </row>
    <row r="14" spans="1:13" x14ac:dyDescent="0.25">
      <c r="B14" t="s">
        <v>9</v>
      </c>
      <c r="C14" t="s">
        <v>10</v>
      </c>
    </row>
    <row r="15" spans="1:13" x14ac:dyDescent="0.25">
      <c r="A15" t="s">
        <v>11</v>
      </c>
      <c r="B15">
        <v>0.45</v>
      </c>
      <c r="C15">
        <f>B15*0.0254</f>
        <v>1.1429999999999999E-2</v>
      </c>
      <c r="D15" t="s">
        <v>12</v>
      </c>
      <c r="F15" t="s">
        <v>13</v>
      </c>
    </row>
    <row r="16" spans="1:13" x14ac:dyDescent="0.25">
      <c r="A16" t="s">
        <v>14</v>
      </c>
      <c r="B16">
        <v>0.5</v>
      </c>
      <c r="C16">
        <f>B16*0.0254</f>
        <v>1.2699999999999999E-2</v>
      </c>
      <c r="D16" t="s">
        <v>12</v>
      </c>
    </row>
    <row r="17" spans="1:9" x14ac:dyDescent="0.25">
      <c r="A17" s="4" t="s">
        <v>15</v>
      </c>
      <c r="B17" s="4">
        <v>24</v>
      </c>
      <c r="C17" s="4">
        <f>B17*0.0254</f>
        <v>0.60959999999999992</v>
      </c>
      <c r="D17" s="4" t="s">
        <v>12</v>
      </c>
    </row>
    <row r="18" spans="1:9" x14ac:dyDescent="0.25">
      <c r="A18" t="s">
        <v>16</v>
      </c>
      <c r="C18">
        <v>383</v>
      </c>
      <c r="D18" t="s">
        <v>17</v>
      </c>
      <c r="F18" t="s">
        <v>18</v>
      </c>
      <c r="H18" s="5" t="s">
        <v>19</v>
      </c>
    </row>
    <row r="20" spans="1:9" x14ac:dyDescent="0.25">
      <c r="A20" s="1" t="s">
        <v>20</v>
      </c>
      <c r="B20" s="1"/>
      <c r="C20" s="1">
        <f>LN(C16/C15)/(2*PI()*C17*C18)</f>
        <v>7.182146951497581E-5</v>
      </c>
      <c r="D20" s="1" t="s">
        <v>21</v>
      </c>
    </row>
    <row r="23" spans="1:9" x14ac:dyDescent="0.25">
      <c r="I23" t="s">
        <v>22</v>
      </c>
    </row>
    <row r="30" spans="1:9" x14ac:dyDescent="0.25">
      <c r="C30" t="s">
        <v>23</v>
      </c>
      <c r="E30" t="s">
        <v>24</v>
      </c>
    </row>
    <row r="31" spans="1:9" x14ac:dyDescent="0.25">
      <c r="A31" t="s">
        <v>25</v>
      </c>
      <c r="C31">
        <f>K9/1000</f>
        <v>3.3333333333333334E-8</v>
      </c>
      <c r="D31" t="s">
        <v>26</v>
      </c>
    </row>
    <row r="32" spans="1:9" x14ac:dyDescent="0.25">
      <c r="A32" t="s">
        <v>27</v>
      </c>
      <c r="C32" s="2">
        <v>1.3533103000000001E-5</v>
      </c>
      <c r="D32" t="s">
        <v>28</v>
      </c>
      <c r="E32" s="2">
        <v>2.9935772999999998E-5</v>
      </c>
      <c r="F32" t="s">
        <v>28</v>
      </c>
      <c r="I32" s="5" t="s">
        <v>29</v>
      </c>
    </row>
    <row r="33" spans="1:9" x14ac:dyDescent="0.25">
      <c r="A33" t="s">
        <v>30</v>
      </c>
      <c r="C33">
        <f>C15</f>
        <v>1.1429999999999999E-2</v>
      </c>
      <c r="D33" t="s">
        <v>12</v>
      </c>
    </row>
    <row r="35" spans="1:9" x14ac:dyDescent="0.25">
      <c r="A35" s="1" t="s">
        <v>31</v>
      </c>
      <c r="B35" s="1"/>
      <c r="C35" s="3">
        <f>4*C31/(C32*PI()*C33)</f>
        <v>0.27437544773815192</v>
      </c>
      <c r="D35" s="1"/>
      <c r="E35" s="3">
        <f>4*C31/(E32*PI()*C33)</f>
        <v>0.12403725786240857</v>
      </c>
      <c r="G35" t="s">
        <v>32</v>
      </c>
    </row>
    <row r="37" spans="1:9" x14ac:dyDescent="0.25">
      <c r="G37" t="s">
        <v>33</v>
      </c>
    </row>
    <row r="42" spans="1:9" x14ac:dyDescent="0.25">
      <c r="A42" t="s">
        <v>34</v>
      </c>
      <c r="C42" s="2">
        <f>0.05*C35*C33</f>
        <v>1.5680556838235381E-4</v>
      </c>
      <c r="D42" t="s">
        <v>12</v>
      </c>
      <c r="E42" s="2">
        <f>0.05*E35*C33</f>
        <v>7.0887292868366495E-5</v>
      </c>
    </row>
    <row r="43" spans="1:9" x14ac:dyDescent="0.25">
      <c r="C43" s="2">
        <f>C42*1000</f>
        <v>0.15680556838235382</v>
      </c>
      <c r="D43" t="s">
        <v>35</v>
      </c>
      <c r="E43" s="2">
        <f>E42*1000</f>
        <v>7.0887292868366494E-2</v>
      </c>
    </row>
    <row r="44" spans="1:9" x14ac:dyDescent="0.25">
      <c r="A44" t="s">
        <v>36</v>
      </c>
      <c r="C44">
        <v>0.71489999999999998</v>
      </c>
      <c r="E44">
        <v>0.69350000000000001</v>
      </c>
      <c r="G44" t="s">
        <v>37</v>
      </c>
      <c r="I44" t="s">
        <v>38</v>
      </c>
    </row>
    <row r="45" spans="1:9" x14ac:dyDescent="0.25">
      <c r="A45" t="s">
        <v>39</v>
      </c>
      <c r="C45" s="2">
        <f>C44*C42</f>
        <v>1.1210030083654474E-4</v>
      </c>
      <c r="D45" t="s">
        <v>12</v>
      </c>
      <c r="E45" s="2">
        <f>E44*E42</f>
        <v>4.9160337604212161E-5</v>
      </c>
    </row>
    <row r="46" spans="1:9" x14ac:dyDescent="0.25">
      <c r="C46" s="2">
        <f>C45*1000</f>
        <v>0.11210030083654474</v>
      </c>
      <c r="D46" t="s">
        <v>35</v>
      </c>
      <c r="E46" s="2">
        <f>E45*1000</f>
        <v>4.9160337604212158E-2</v>
      </c>
    </row>
    <row r="47" spans="1:9" x14ac:dyDescent="0.25">
      <c r="A47" s="44" t="s">
        <v>40</v>
      </c>
      <c r="B47" s="44"/>
      <c r="C47" s="44"/>
      <c r="D47" s="44"/>
      <c r="E47" s="44"/>
    </row>
    <row r="50" spans="1:9" x14ac:dyDescent="0.25">
      <c r="A50" t="s">
        <v>41</v>
      </c>
    </row>
    <row r="51" spans="1:9" x14ac:dyDescent="0.25">
      <c r="G51" t="s">
        <v>42</v>
      </c>
    </row>
    <row r="53" spans="1:9" x14ac:dyDescent="0.25">
      <c r="G53" t="s">
        <v>43</v>
      </c>
    </row>
    <row r="57" spans="1:9" x14ac:dyDescent="0.25">
      <c r="H57" t="s">
        <v>44</v>
      </c>
    </row>
    <row r="60" spans="1:9" x14ac:dyDescent="0.25">
      <c r="I60" t="s">
        <v>45</v>
      </c>
    </row>
    <row r="68" spans="1:9" x14ac:dyDescent="0.25">
      <c r="A68" t="s">
        <v>46</v>
      </c>
    </row>
    <row r="70" spans="1:9" x14ac:dyDescent="0.25">
      <c r="I70" t="s">
        <v>47</v>
      </c>
    </row>
    <row r="73" spans="1:9" x14ac:dyDescent="0.25">
      <c r="A73" t="s">
        <v>48</v>
      </c>
    </row>
    <row r="81" spans="1:9" x14ac:dyDescent="0.25">
      <c r="A81" t="s">
        <v>49</v>
      </c>
    </row>
    <row r="82" spans="1:9" x14ac:dyDescent="0.25">
      <c r="A82" t="s">
        <v>50</v>
      </c>
    </row>
    <row r="83" spans="1:9" x14ac:dyDescent="0.25">
      <c r="A83" t="s">
        <v>51</v>
      </c>
    </row>
    <row r="85" spans="1:9" x14ac:dyDescent="0.25">
      <c r="I85" t="s">
        <v>52</v>
      </c>
    </row>
    <row r="101" spans="7:11" x14ac:dyDescent="0.25">
      <c r="G101" t="s">
        <v>53</v>
      </c>
    </row>
    <row r="109" spans="7:11" x14ac:dyDescent="0.25">
      <c r="K109" t="s">
        <v>54</v>
      </c>
    </row>
    <row r="134" spans="1:8" x14ac:dyDescent="0.25">
      <c r="H134" t="s">
        <v>54</v>
      </c>
    </row>
    <row r="140" spans="1:8" x14ac:dyDescent="0.25">
      <c r="A140" t="s">
        <v>55</v>
      </c>
      <c r="D140" s="5" t="s">
        <v>56</v>
      </c>
    </row>
    <row r="165" spans="1:6" x14ac:dyDescent="0.25">
      <c r="A165" t="s">
        <v>57</v>
      </c>
    </row>
    <row r="171" spans="1:6" x14ac:dyDescent="0.25">
      <c r="F171" t="s">
        <v>58</v>
      </c>
    </row>
    <row r="182" spans="1:8" x14ac:dyDescent="0.25">
      <c r="A182" t="s">
        <v>59</v>
      </c>
      <c r="B182" t="s">
        <v>60</v>
      </c>
      <c r="C182" t="s">
        <v>61</v>
      </c>
    </row>
    <row r="184" spans="1:8" x14ac:dyDescent="0.25">
      <c r="A184" t="s">
        <v>62</v>
      </c>
    </row>
    <row r="185" spans="1:8" x14ac:dyDescent="0.25">
      <c r="H185" t="s">
        <v>63</v>
      </c>
    </row>
    <row r="191" spans="1:8" x14ac:dyDescent="0.25">
      <c r="D191" t="s">
        <v>64</v>
      </c>
    </row>
    <row r="194" spans="1:9" x14ac:dyDescent="0.25">
      <c r="E194" t="s">
        <v>65</v>
      </c>
    </row>
    <row r="200" spans="1:9" x14ac:dyDescent="0.25">
      <c r="A200" s="30">
        <v>44938</v>
      </c>
    </row>
    <row r="201" spans="1:9" x14ac:dyDescent="0.25">
      <c r="A201" t="s">
        <v>66</v>
      </c>
    </row>
    <row r="202" spans="1:9" x14ac:dyDescent="0.25">
      <c r="I202" t="s">
        <v>67</v>
      </c>
    </row>
  </sheetData>
  <mergeCells count="3">
    <mergeCell ref="A1:J1"/>
    <mergeCell ref="K4:L4"/>
    <mergeCell ref="A47:E47"/>
  </mergeCells>
  <hyperlinks>
    <hyperlink ref="I32" r:id="rId1" xr:uid="{00000000-0004-0000-0000-000000000000}"/>
    <hyperlink ref="H18" r:id="rId2" xr:uid="{00000000-0004-0000-0000-000001000000}"/>
    <hyperlink ref="D140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27"/>
  <sheetViews>
    <sheetView topLeftCell="R45" zoomScale="98" zoomScaleNormal="98" workbookViewId="0">
      <selection activeCell="AG70" sqref="AG70"/>
    </sheetView>
  </sheetViews>
  <sheetFormatPr defaultRowHeight="15" x14ac:dyDescent="0.25"/>
  <cols>
    <col min="1" max="1" width="42" style="6" customWidth="1"/>
    <col min="2" max="2" width="12" style="6" bestFit="1" customWidth="1"/>
    <col min="3" max="3" width="10" style="6" bestFit="1" customWidth="1"/>
    <col min="4" max="4" width="9.140625" style="6"/>
    <col min="5" max="5" width="10" style="6" bestFit="1" customWidth="1"/>
    <col min="6" max="6" width="9.140625" style="6"/>
    <col min="7" max="7" width="12.7109375" style="6" customWidth="1"/>
    <col min="8" max="10" width="9.140625" style="6"/>
    <col min="11" max="11" width="31.7109375" style="6" bestFit="1" customWidth="1"/>
    <col min="12" max="12" width="12" style="6" bestFit="1" customWidth="1"/>
    <col min="13" max="13" width="10.7109375" style="6" customWidth="1"/>
    <col min="14" max="14" width="12" style="6" bestFit="1" customWidth="1"/>
    <col min="15" max="15" width="11" style="6" customWidth="1"/>
    <col min="16" max="22" width="9.140625" style="6"/>
    <col min="23" max="23" width="36" style="6" customWidth="1"/>
    <col min="24" max="24" width="12.140625" style="6" bestFit="1" customWidth="1"/>
    <col min="25" max="25" width="11" style="6" bestFit="1" customWidth="1"/>
    <col min="26" max="30" width="9.140625" style="6"/>
    <col min="31" max="31" width="32.5703125" style="6" customWidth="1"/>
    <col min="32" max="32" width="12" style="6" bestFit="1" customWidth="1"/>
    <col min="33" max="41" width="9.140625" style="6"/>
    <col min="42" max="42" width="9.7109375" style="6" bestFit="1" customWidth="1"/>
    <col min="43" max="16384" width="9.140625" style="6"/>
  </cols>
  <sheetData>
    <row r="1" spans="1:42" x14ac:dyDescent="0.25">
      <c r="A1" s="7" t="s">
        <v>68</v>
      </c>
    </row>
    <row r="2" spans="1:42" x14ac:dyDescent="0.25">
      <c r="A2" s="6" t="s">
        <v>69</v>
      </c>
      <c r="B2" s="6">
        <f>0.02/10/60/1000</f>
        <v>3.3333333333333334E-8</v>
      </c>
      <c r="C2" s="6" t="s">
        <v>26</v>
      </c>
      <c r="D2" s="6" t="s">
        <v>70</v>
      </c>
      <c r="W2" s="6" t="s">
        <v>71</v>
      </c>
    </row>
    <row r="3" spans="1:42" x14ac:dyDescent="0.25">
      <c r="A3" s="6" t="s">
        <v>30</v>
      </c>
      <c r="B3" s="6">
        <f>D3*0.0254</f>
        <v>1.1429999999999999E-2</v>
      </c>
      <c r="C3" s="6" t="s">
        <v>12</v>
      </c>
      <c r="D3" s="6">
        <v>0.45</v>
      </c>
      <c r="E3" s="6" t="s">
        <v>72</v>
      </c>
      <c r="W3" s="6" t="s">
        <v>73</v>
      </c>
    </row>
    <row r="4" spans="1:42" x14ac:dyDescent="0.25">
      <c r="A4" s="6" t="s">
        <v>74</v>
      </c>
      <c r="B4" s="6">
        <f>D4*0.0254</f>
        <v>1.2699999999999999E-2</v>
      </c>
      <c r="C4" s="6" t="s">
        <v>12</v>
      </c>
      <c r="D4" s="6">
        <v>0.5</v>
      </c>
      <c r="E4" s="6" t="s">
        <v>72</v>
      </c>
      <c r="L4" s="6" t="s">
        <v>75</v>
      </c>
      <c r="W4" s="6" t="s">
        <v>76</v>
      </c>
    </row>
    <row r="5" spans="1:42" x14ac:dyDescent="0.25">
      <c r="K5" s="6">
        <v>1</v>
      </c>
      <c r="L5" s="6" t="s">
        <v>77</v>
      </c>
      <c r="W5" s="6" t="s">
        <v>78</v>
      </c>
    </row>
    <row r="6" spans="1:42" x14ac:dyDescent="0.25">
      <c r="K6" s="6">
        <v>2</v>
      </c>
      <c r="L6" s="6" t="s">
        <v>79</v>
      </c>
      <c r="W6" s="6" t="s">
        <v>80</v>
      </c>
      <c r="AF6" s="6" t="s">
        <v>81</v>
      </c>
    </row>
    <row r="7" spans="1:42" x14ac:dyDescent="0.25">
      <c r="A7" s="6" t="s">
        <v>82</v>
      </c>
      <c r="E7" s="59" t="s">
        <v>83</v>
      </c>
      <c r="F7" s="59"/>
      <c r="G7" s="59"/>
      <c r="K7" s="6">
        <v>3</v>
      </c>
      <c r="L7" s="6" t="s">
        <v>84</v>
      </c>
    </row>
    <row r="8" spans="1:42" x14ac:dyDescent="0.25">
      <c r="E8" s="62" t="s">
        <v>85</v>
      </c>
      <c r="F8" s="62"/>
      <c r="G8" s="62"/>
      <c r="K8" s="6">
        <v>4</v>
      </c>
      <c r="L8" s="6" t="s">
        <v>86</v>
      </c>
    </row>
    <row r="9" spans="1:42" x14ac:dyDescent="0.25">
      <c r="E9" s="60" t="s">
        <v>87</v>
      </c>
      <c r="F9" s="60"/>
      <c r="G9" s="60"/>
    </row>
    <row r="10" spans="1:42" x14ac:dyDescent="0.25">
      <c r="E10"/>
      <c r="F10"/>
      <c r="G10"/>
      <c r="AP10" s="29">
        <v>44938</v>
      </c>
    </row>
    <row r="11" spans="1:42" x14ac:dyDescent="0.25">
      <c r="AE11" s="6" t="s">
        <v>88</v>
      </c>
      <c r="AP11" s="6" t="s">
        <v>89</v>
      </c>
    </row>
    <row r="12" spans="1:42" x14ac:dyDescent="0.25">
      <c r="Q12" s="6">
        <f>(20+350)/2</f>
        <v>185</v>
      </c>
    </row>
    <row r="14" spans="1:42" x14ac:dyDescent="0.25">
      <c r="A14" s="7" t="s">
        <v>90</v>
      </c>
      <c r="K14" s="6" t="s">
        <v>91</v>
      </c>
      <c r="W14" s="6" t="s">
        <v>92</v>
      </c>
      <c r="AE14" s="6" t="s">
        <v>93</v>
      </c>
    </row>
    <row r="15" spans="1:42" x14ac:dyDescent="0.25">
      <c r="J15" s="14"/>
      <c r="K15" s="6">
        <v>1</v>
      </c>
      <c r="W15" s="10" t="s">
        <v>94</v>
      </c>
      <c r="X15" s="10">
        <v>350</v>
      </c>
      <c r="Y15" s="10" t="s">
        <v>95</v>
      </c>
      <c r="AE15" s="6" t="s">
        <v>96</v>
      </c>
      <c r="AF15" s="6">
        <v>2.4860000000000002</v>
      </c>
      <c r="AG15" s="6" t="s">
        <v>97</v>
      </c>
    </row>
    <row r="16" spans="1:42" x14ac:dyDescent="0.25">
      <c r="J16" s="14"/>
      <c r="K16" s="10" t="s">
        <v>94</v>
      </c>
      <c r="L16" s="10">
        <v>40</v>
      </c>
      <c r="M16" s="10" t="s">
        <v>95</v>
      </c>
      <c r="W16" s="6" t="s">
        <v>98</v>
      </c>
      <c r="X16" s="6">
        <v>350</v>
      </c>
      <c r="Y16" s="6" t="s">
        <v>95</v>
      </c>
      <c r="AE16" s="6" t="s">
        <v>99</v>
      </c>
      <c r="AF16" s="6">
        <v>1.157</v>
      </c>
      <c r="AG16" s="6" t="s">
        <v>100</v>
      </c>
    </row>
    <row r="17" spans="1:37" x14ac:dyDescent="0.25">
      <c r="A17" s="7" t="s">
        <v>101</v>
      </c>
      <c r="J17" s="14"/>
      <c r="K17" s="6" t="s">
        <v>98</v>
      </c>
      <c r="L17" s="6">
        <v>350</v>
      </c>
      <c r="M17" s="6" t="s">
        <v>95</v>
      </c>
      <c r="W17" s="10" t="s">
        <v>102</v>
      </c>
      <c r="X17" s="10">
        <v>50</v>
      </c>
      <c r="Y17" s="10" t="s">
        <v>95</v>
      </c>
      <c r="AE17" s="18" t="s">
        <v>103</v>
      </c>
      <c r="AF17" s="18">
        <f>AF16*AF15</f>
        <v>2.8763020000000004</v>
      </c>
      <c r="AG17" s="18" t="s">
        <v>104</v>
      </c>
    </row>
    <row r="18" spans="1:37" x14ac:dyDescent="0.25">
      <c r="A18" s="10" t="s">
        <v>94</v>
      </c>
      <c r="B18" s="10">
        <v>100</v>
      </c>
      <c r="C18" s="10" t="s">
        <v>95</v>
      </c>
      <c r="G18" s="6" t="s">
        <v>105</v>
      </c>
      <c r="J18" s="14"/>
      <c r="K18" s="10" t="s">
        <v>102</v>
      </c>
      <c r="L18" s="10">
        <v>50</v>
      </c>
      <c r="M18" s="10" t="s">
        <v>95</v>
      </c>
      <c r="W18" s="6" t="s">
        <v>106</v>
      </c>
      <c r="X18" s="6">
        <v>20</v>
      </c>
      <c r="Y18" s="6" t="s">
        <v>95</v>
      </c>
    </row>
    <row r="19" spans="1:37" x14ac:dyDescent="0.25">
      <c r="A19" s="6" t="s">
        <v>98</v>
      </c>
      <c r="B19" s="6">
        <v>300</v>
      </c>
      <c r="C19" s="6" t="s">
        <v>95</v>
      </c>
      <c r="J19" s="14"/>
      <c r="W19" s="18" t="s">
        <v>107</v>
      </c>
      <c r="X19" s="18">
        <f>(X15+X18)/2</f>
        <v>185</v>
      </c>
      <c r="Y19" s="18" t="s">
        <v>95</v>
      </c>
      <c r="AE19" s="10" t="s">
        <v>94</v>
      </c>
      <c r="AF19" s="10">
        <v>350</v>
      </c>
      <c r="AG19" s="10" t="s">
        <v>95</v>
      </c>
    </row>
    <row r="20" spans="1:37" x14ac:dyDescent="0.25">
      <c r="A20" s="10" t="s">
        <v>102</v>
      </c>
      <c r="B20" s="10">
        <v>200</v>
      </c>
      <c r="C20" s="10" t="s">
        <v>95</v>
      </c>
      <c r="J20" s="14"/>
      <c r="K20" s="6">
        <v>2</v>
      </c>
      <c r="AE20" s="6" t="s">
        <v>98</v>
      </c>
      <c r="AF20" s="6">
        <v>350</v>
      </c>
      <c r="AG20" s="6" t="s">
        <v>95</v>
      </c>
    </row>
    <row r="21" spans="1:37" x14ac:dyDescent="0.25">
      <c r="A21" s="11" t="s">
        <v>108</v>
      </c>
      <c r="B21" s="11">
        <f>(B20+B19)/2</f>
        <v>250</v>
      </c>
      <c r="C21" s="11" t="s">
        <v>95</v>
      </c>
      <c r="J21" s="14"/>
      <c r="K21" s="6" t="s">
        <v>109</v>
      </c>
      <c r="L21" s="6">
        <v>9.81</v>
      </c>
      <c r="M21" s="6" t="s">
        <v>110</v>
      </c>
      <c r="W21" s="6">
        <v>2</v>
      </c>
      <c r="AE21" s="10" t="s">
        <v>102</v>
      </c>
      <c r="AF21" s="10">
        <v>50</v>
      </c>
      <c r="AG21" s="10" t="s">
        <v>95</v>
      </c>
    </row>
    <row r="22" spans="1:37" x14ac:dyDescent="0.25">
      <c r="A22" s="6" t="s">
        <v>111</v>
      </c>
      <c r="B22" s="6">
        <f>B18-B19</f>
        <v>-200</v>
      </c>
      <c r="C22" s="6" t="s">
        <v>95</v>
      </c>
      <c r="J22" s="14"/>
      <c r="K22" s="11" t="s">
        <v>112</v>
      </c>
      <c r="L22" s="12">
        <v>3.4299999999999999E-3</v>
      </c>
      <c r="M22" s="11" t="s">
        <v>113</v>
      </c>
      <c r="O22" s="16" t="s">
        <v>114</v>
      </c>
      <c r="P22" s="6" t="s">
        <v>81</v>
      </c>
      <c r="W22" s="6" t="s">
        <v>109</v>
      </c>
      <c r="X22" s="6">
        <v>9.81</v>
      </c>
      <c r="Y22" s="6" t="s">
        <v>110</v>
      </c>
      <c r="AE22" s="6" t="s">
        <v>106</v>
      </c>
      <c r="AF22" s="6">
        <v>20</v>
      </c>
      <c r="AG22" s="6" t="s">
        <v>95</v>
      </c>
    </row>
    <row r="23" spans="1:37" x14ac:dyDescent="0.25">
      <c r="A23" s="6" t="s">
        <v>115</v>
      </c>
      <c r="B23" s="6">
        <f>B18-B20</f>
        <v>-100</v>
      </c>
      <c r="C23" s="6" t="s">
        <v>95</v>
      </c>
      <c r="J23" s="14"/>
      <c r="K23" s="10" t="s">
        <v>116</v>
      </c>
      <c r="L23" s="10">
        <v>20</v>
      </c>
      <c r="M23" s="10" t="s">
        <v>95</v>
      </c>
      <c r="W23" s="11" t="s">
        <v>112</v>
      </c>
      <c r="X23" s="12">
        <v>2.2200000000000002E-3</v>
      </c>
      <c r="Y23" s="11" t="s">
        <v>113</v>
      </c>
      <c r="AA23" s="16" t="s">
        <v>117</v>
      </c>
      <c r="AC23" s="6" t="s">
        <v>81</v>
      </c>
      <c r="AE23" s="18" t="s">
        <v>107</v>
      </c>
      <c r="AF23" s="18">
        <f>(AF19+AF22)/2</f>
        <v>185</v>
      </c>
      <c r="AG23" s="18" t="s">
        <v>95</v>
      </c>
    </row>
    <row r="24" spans="1:37" x14ac:dyDescent="0.25">
      <c r="A24" s="6" t="s">
        <v>118</v>
      </c>
      <c r="B24" s="6">
        <f>(B23-B22)/LN(B23/B22)</f>
        <v>-144.26950408889635</v>
      </c>
      <c r="C24" s="6" t="s">
        <v>95</v>
      </c>
      <c r="E24" s="6" t="s">
        <v>119</v>
      </c>
      <c r="J24" s="14"/>
      <c r="K24" s="10" t="s">
        <v>120</v>
      </c>
      <c r="L24" s="10">
        <f>6*2.54/100</f>
        <v>0.15240000000000001</v>
      </c>
      <c r="M24" s="10" t="s">
        <v>12</v>
      </c>
      <c r="W24" s="10" t="s">
        <v>120</v>
      </c>
      <c r="X24" s="10">
        <f>6*2.54/100</f>
        <v>0.15240000000000001</v>
      </c>
      <c r="Y24" s="10" t="s">
        <v>12</v>
      </c>
    </row>
    <row r="25" spans="1:37" x14ac:dyDescent="0.25">
      <c r="J25" s="14"/>
      <c r="K25" s="11" t="s">
        <v>121</v>
      </c>
      <c r="L25" s="12">
        <v>1.5160000000000001E-5</v>
      </c>
      <c r="M25" s="11" t="s">
        <v>122</v>
      </c>
      <c r="O25" s="6" t="s">
        <v>123</v>
      </c>
      <c r="W25" s="11" t="s">
        <v>121</v>
      </c>
      <c r="X25" s="12">
        <v>3.2119999999999997E-5</v>
      </c>
      <c r="Y25" s="11" t="s">
        <v>122</v>
      </c>
      <c r="AA25" s="6" t="s">
        <v>124</v>
      </c>
      <c r="AE25" s="6">
        <v>2</v>
      </c>
    </row>
    <row r="26" spans="1:37" x14ac:dyDescent="0.25">
      <c r="B26" s="44" t="s">
        <v>125</v>
      </c>
      <c r="C26" s="44"/>
      <c r="D26" s="44" t="s">
        <v>126</v>
      </c>
      <c r="E26" s="44"/>
      <c r="G26" s="6" t="s">
        <v>127</v>
      </c>
      <c r="J26" s="14"/>
      <c r="AE26" s="6" t="s">
        <v>109</v>
      </c>
      <c r="AF26" s="6">
        <v>9.81</v>
      </c>
      <c r="AG26" s="6" t="s">
        <v>110</v>
      </c>
    </row>
    <row r="27" spans="1:37" x14ac:dyDescent="0.25">
      <c r="A27" s="11" t="s">
        <v>128</v>
      </c>
      <c r="B27" s="12">
        <v>2.76E-5</v>
      </c>
      <c r="C27" s="13" t="s">
        <v>28</v>
      </c>
      <c r="D27" s="12">
        <v>2.9935772999999998E-5</v>
      </c>
      <c r="E27" s="13" t="s">
        <v>28</v>
      </c>
      <c r="G27" s="6" t="s">
        <v>129</v>
      </c>
      <c r="J27" s="14" t="s">
        <v>130</v>
      </c>
      <c r="K27" s="6" t="s">
        <v>131</v>
      </c>
      <c r="L27" s="8">
        <f>L21*L22*(L16-L23)*L24^3/L25^2</f>
        <v>10364530.204441907</v>
      </c>
      <c r="O27" s="15" t="s">
        <v>132</v>
      </c>
      <c r="W27" s="6" t="s">
        <v>131</v>
      </c>
      <c r="X27" s="8">
        <f>X22*X23*(X15-X18)*X24^3/X25^2</f>
        <v>24656972.42667805</v>
      </c>
      <c r="AA27" s="15" t="s">
        <v>132</v>
      </c>
      <c r="AE27" s="11" t="s">
        <v>112</v>
      </c>
      <c r="AF27" s="12">
        <v>2.2200000000000002E-3</v>
      </c>
      <c r="AG27" s="11" t="s">
        <v>113</v>
      </c>
      <c r="AI27" s="16" t="s">
        <v>117</v>
      </c>
      <c r="AK27" s="6" t="s">
        <v>133</v>
      </c>
    </row>
    <row r="28" spans="1:37" x14ac:dyDescent="0.25">
      <c r="A28" s="11" t="s">
        <v>134</v>
      </c>
      <c r="B28" s="12">
        <v>4.091E-5</v>
      </c>
      <c r="C28" s="11" t="s">
        <v>122</v>
      </c>
      <c r="D28" s="11"/>
      <c r="E28" s="11" t="s">
        <v>122</v>
      </c>
      <c r="G28" s="6" t="s">
        <v>129</v>
      </c>
      <c r="J28" s="14" t="s">
        <v>135</v>
      </c>
      <c r="K28" s="17"/>
      <c r="P28" s="20"/>
      <c r="W28" s="17"/>
      <c r="AE28" s="10" t="s">
        <v>120</v>
      </c>
      <c r="AF28" s="10">
        <v>0.1</v>
      </c>
      <c r="AG28" s="10" t="s">
        <v>12</v>
      </c>
    </row>
    <row r="29" spans="1:37" x14ac:dyDescent="0.25">
      <c r="A29" s="6" t="s">
        <v>31</v>
      </c>
      <c r="B29" s="8">
        <f>4*$B$2/(B27*PI()*$B$3*1000)</f>
        <v>1.3453446358375099E-4</v>
      </c>
      <c r="D29" s="8">
        <f>4*$B$2/(D27*PI()*$B$3*1000)</f>
        <v>1.2403725786240858E-4</v>
      </c>
      <c r="G29" s="6" t="s">
        <v>136</v>
      </c>
      <c r="J29" s="14"/>
      <c r="K29" s="6" t="s">
        <v>137</v>
      </c>
      <c r="W29" s="6" t="s">
        <v>137</v>
      </c>
      <c r="AE29" s="11" t="s">
        <v>121</v>
      </c>
      <c r="AF29" s="12">
        <v>3.2119999999999997E-5</v>
      </c>
      <c r="AG29" s="11" t="s">
        <v>122</v>
      </c>
      <c r="AI29" s="6" t="s">
        <v>124</v>
      </c>
    </row>
    <row r="30" spans="1:37" x14ac:dyDescent="0.25">
      <c r="A30" s="11" t="s">
        <v>36</v>
      </c>
      <c r="B30" s="11">
        <v>0.6946</v>
      </c>
      <c r="C30" s="11"/>
      <c r="D30" s="11"/>
      <c r="E30" s="11"/>
      <c r="G30" s="6" t="s">
        <v>138</v>
      </c>
      <c r="J30" s="14"/>
      <c r="K30" s="18" t="s">
        <v>139</v>
      </c>
      <c r="L30" s="18">
        <f>B4</f>
        <v>1.2699999999999999E-2</v>
      </c>
      <c r="M30" s="18" t="s">
        <v>12</v>
      </c>
      <c r="W30" s="18" t="s">
        <v>139</v>
      </c>
      <c r="X30" s="18">
        <f>$B$4</f>
        <v>1.2699999999999999E-2</v>
      </c>
      <c r="Y30" s="18" t="s">
        <v>12</v>
      </c>
    </row>
    <row r="31" spans="1:37" x14ac:dyDescent="0.25">
      <c r="A31" s="6" t="s">
        <v>140</v>
      </c>
      <c r="B31" s="6">
        <v>3.66</v>
      </c>
      <c r="D31" s="6">
        <v>3.66</v>
      </c>
      <c r="G31" s="6" t="s">
        <v>141</v>
      </c>
      <c r="J31" s="14"/>
      <c r="K31" s="18" t="s">
        <v>142</v>
      </c>
      <c r="L31" s="21">
        <f>35*L24/L27^0.25</f>
        <v>9.40081715930291E-2</v>
      </c>
      <c r="M31" s="18" t="s">
        <v>12</v>
      </c>
      <c r="O31" s="6" t="s">
        <v>143</v>
      </c>
      <c r="W31" s="18" t="s">
        <v>144</v>
      </c>
      <c r="X31" s="21">
        <f>35*X24/X27^0.25</f>
        <v>7.5695153494286793E-2</v>
      </c>
      <c r="Y31" s="18" t="s">
        <v>12</v>
      </c>
      <c r="AA31" s="6" t="s">
        <v>143</v>
      </c>
      <c r="AE31" s="6" t="s">
        <v>131</v>
      </c>
      <c r="AF31" s="8">
        <f>AF26*AF27*(AF19-AF22)*AF28^3/AF29^2</f>
        <v>6966022.1088725533</v>
      </c>
      <c r="AI31" s="15" t="s">
        <v>132</v>
      </c>
    </row>
    <row r="32" spans="1:37" x14ac:dyDescent="0.25">
      <c r="A32" s="11" t="s">
        <v>16</v>
      </c>
      <c r="B32" s="11">
        <v>4.104E-2</v>
      </c>
      <c r="C32" s="11"/>
      <c r="D32" s="11"/>
      <c r="E32" s="11"/>
      <c r="G32" s="6" t="s">
        <v>129</v>
      </c>
      <c r="J32" s="14"/>
      <c r="K32" s="61" t="s">
        <v>145</v>
      </c>
      <c r="L32" s="56"/>
      <c r="M32" s="56"/>
      <c r="W32" s="61" t="s">
        <v>145</v>
      </c>
      <c r="X32" s="56"/>
      <c r="Y32" s="56"/>
      <c r="AE32" s="17"/>
    </row>
    <row r="33" spans="1:35" x14ac:dyDescent="0.25">
      <c r="A33" s="11" t="s">
        <v>146</v>
      </c>
      <c r="B33" s="11">
        <v>1033</v>
      </c>
      <c r="C33" s="11"/>
      <c r="D33" s="11"/>
      <c r="E33" s="11"/>
      <c r="G33" s="6" t="s">
        <v>129</v>
      </c>
      <c r="J33" s="14"/>
      <c r="K33" s="61"/>
      <c r="L33" s="56"/>
      <c r="M33" s="56"/>
      <c r="W33" s="61"/>
      <c r="X33" s="56"/>
      <c r="Y33" s="56"/>
      <c r="AE33" s="6" t="s">
        <v>137</v>
      </c>
    </row>
    <row r="34" spans="1:35" x14ac:dyDescent="0.25">
      <c r="J34" s="14"/>
      <c r="K34" s="8"/>
      <c r="W34" s="8"/>
      <c r="AE34" s="18" t="s">
        <v>139</v>
      </c>
      <c r="AF34" s="18">
        <f>$B$4</f>
        <v>1.2699999999999999E-2</v>
      </c>
      <c r="AG34" s="18" t="s">
        <v>12</v>
      </c>
    </row>
    <row r="35" spans="1:35" x14ac:dyDescent="0.25">
      <c r="J35" s="14"/>
      <c r="K35" s="6" t="s">
        <v>147</v>
      </c>
      <c r="W35" s="6" t="s">
        <v>147</v>
      </c>
      <c r="AE35" s="18" t="s">
        <v>144</v>
      </c>
      <c r="AF35" s="21">
        <f>35*AF28/AF31^0.25</f>
        <v>6.8127402713143326E-2</v>
      </c>
      <c r="AG35" s="18" t="s">
        <v>12</v>
      </c>
      <c r="AI35" s="6" t="s">
        <v>143</v>
      </c>
    </row>
    <row r="36" spans="1:35" x14ac:dyDescent="0.25">
      <c r="A36" s="6" t="s">
        <v>34</v>
      </c>
      <c r="G36" s="6" t="s">
        <v>148</v>
      </c>
      <c r="J36" s="14"/>
      <c r="K36" s="6" t="s">
        <v>149</v>
      </c>
      <c r="L36" s="8">
        <f>L30/35*L27^0.25</f>
        <v>2.0588422976450273E-2</v>
      </c>
      <c r="M36" s="6" t="s">
        <v>12</v>
      </c>
      <c r="W36" s="6" t="s">
        <v>149</v>
      </c>
      <c r="X36" s="8">
        <f>X30/35*X27^0.25</f>
        <v>2.5569404521335482E-2</v>
      </c>
      <c r="Y36" s="6" t="s">
        <v>12</v>
      </c>
      <c r="AE36" s="61" t="s">
        <v>145</v>
      </c>
      <c r="AF36" s="56"/>
      <c r="AG36" s="56"/>
    </row>
    <row r="37" spans="1:35" x14ac:dyDescent="0.25">
      <c r="A37" s="6" t="s">
        <v>39</v>
      </c>
      <c r="G37" s="6" t="s">
        <v>150</v>
      </c>
      <c r="J37" s="14"/>
      <c r="AE37" s="61"/>
      <c r="AF37" s="56"/>
      <c r="AG37" s="56"/>
    </row>
    <row r="38" spans="1:35" x14ac:dyDescent="0.25">
      <c r="A38" s="6" t="s">
        <v>151</v>
      </c>
      <c r="B38" s="6">
        <f>B31*B32/B3</f>
        <v>13.141417322834648</v>
      </c>
      <c r="C38" s="6" t="s">
        <v>152</v>
      </c>
      <c r="E38" s="6" t="s">
        <v>152</v>
      </c>
      <c r="G38" s="6" t="s">
        <v>153</v>
      </c>
      <c r="J38" s="14"/>
      <c r="K38" s="11" t="s">
        <v>36</v>
      </c>
      <c r="L38" s="11">
        <v>0.73089999999999999</v>
      </c>
      <c r="M38" s="11"/>
      <c r="O38" s="6" t="s">
        <v>123</v>
      </c>
      <c r="Q38" s="6" t="s">
        <v>154</v>
      </c>
      <c r="W38" s="11" t="s">
        <v>36</v>
      </c>
      <c r="X38" s="11">
        <v>0.69920000000000004</v>
      </c>
      <c r="Y38" s="11"/>
      <c r="AA38" s="6" t="s">
        <v>124</v>
      </c>
      <c r="AE38" s="8"/>
    </row>
    <row r="39" spans="1:35" x14ac:dyDescent="0.25">
      <c r="J39" s="14"/>
      <c r="K39" s="6" t="s">
        <v>155</v>
      </c>
      <c r="L39" s="8">
        <f>L27*L38</f>
        <v>7575435.1264265897</v>
      </c>
      <c r="O39" s="6" t="s">
        <v>156</v>
      </c>
      <c r="W39" s="6" t="s">
        <v>155</v>
      </c>
      <c r="X39" s="8">
        <f>X27*X38</f>
        <v>17240155.120733295</v>
      </c>
      <c r="AA39" s="6" t="s">
        <v>156</v>
      </c>
      <c r="AE39" s="6" t="s">
        <v>147</v>
      </c>
    </row>
    <row r="40" spans="1:35" x14ac:dyDescent="0.25">
      <c r="J40" s="14"/>
      <c r="L40" s="8"/>
      <c r="X40" s="8"/>
      <c r="AE40" s="6" t="s">
        <v>149</v>
      </c>
      <c r="AF40" s="8">
        <f>AF34/35*AF31^0.25</f>
        <v>1.8641544362808772E-2</v>
      </c>
      <c r="AG40" s="6" t="s">
        <v>12</v>
      </c>
    </row>
    <row r="41" spans="1:35" x14ac:dyDescent="0.25">
      <c r="A41" s="7" t="s">
        <v>157</v>
      </c>
      <c r="C41" s="6" t="s">
        <v>158</v>
      </c>
      <c r="J41" s="14"/>
      <c r="K41" s="6" t="s">
        <v>159</v>
      </c>
      <c r="W41" s="6" t="s">
        <v>159</v>
      </c>
    </row>
    <row r="42" spans="1:35" x14ac:dyDescent="0.25">
      <c r="A42" s="6" t="s">
        <v>109</v>
      </c>
      <c r="B42" s="6">
        <v>9.81</v>
      </c>
      <c r="C42" s="6" t="s">
        <v>110</v>
      </c>
      <c r="J42" s="14"/>
      <c r="K42" s="6" t="s">
        <v>160</v>
      </c>
      <c r="L42" s="8">
        <f>4*L24/L30*(L27/4)^(-1/4)</f>
        <v>1.1963791337751077</v>
      </c>
      <c r="W42" s="6" t="s">
        <v>160</v>
      </c>
      <c r="X42" s="8">
        <f>4*X24/X30*(X27/4)^(-1/4)</f>
        <v>0.96332159889794</v>
      </c>
      <c r="AE42" s="11" t="s">
        <v>36</v>
      </c>
      <c r="AF42" s="11">
        <v>0.69920000000000004</v>
      </c>
      <c r="AG42" s="11"/>
      <c r="AI42" s="6" t="s">
        <v>124</v>
      </c>
    </row>
    <row r="43" spans="1:35" x14ac:dyDescent="0.25">
      <c r="A43" s="11" t="s">
        <v>112</v>
      </c>
      <c r="B43" s="11">
        <v>1</v>
      </c>
      <c r="C43" s="11" t="s">
        <v>113</v>
      </c>
      <c r="D43" s="11"/>
      <c r="E43" s="11"/>
      <c r="J43" s="14"/>
      <c r="K43" s="6" t="s">
        <v>161</v>
      </c>
      <c r="W43" s="44" t="s">
        <v>161</v>
      </c>
      <c r="X43" s="44"/>
      <c r="Y43" s="44"/>
      <c r="AE43" s="6" t="s">
        <v>155</v>
      </c>
      <c r="AF43" s="8">
        <f>AF31*AF42</f>
        <v>4870642.65852369</v>
      </c>
      <c r="AI43" s="6" t="s">
        <v>156</v>
      </c>
    </row>
    <row r="44" spans="1:35" x14ac:dyDescent="0.25">
      <c r="A44" s="10" t="s">
        <v>162</v>
      </c>
      <c r="B44" s="10">
        <v>2</v>
      </c>
      <c r="C44" s="10" t="s">
        <v>95</v>
      </c>
      <c r="J44" s="14"/>
      <c r="AF44" s="8"/>
    </row>
    <row r="45" spans="1:35" x14ac:dyDescent="0.25">
      <c r="A45" s="10" t="s">
        <v>116</v>
      </c>
      <c r="B45" s="10">
        <v>1</v>
      </c>
      <c r="C45" s="10" t="s">
        <v>95</v>
      </c>
      <c r="J45" s="14"/>
      <c r="K45" s="6" t="s">
        <v>163</v>
      </c>
      <c r="L45" s="8">
        <f>0.68+0.67*L39^0.25/(1+(0.492/L38)^(9/16))^(4/9)</f>
        <v>27.746290182504016</v>
      </c>
      <c r="O45" s="6" t="s">
        <v>164</v>
      </c>
      <c r="W45" s="6" t="s">
        <v>163</v>
      </c>
      <c r="X45" s="8">
        <f>0.68+0.67*X39^0.25/(1+(0.492/X38)^(9/16))^(4/9)</f>
        <v>33.759358116610947</v>
      </c>
      <c r="AA45" s="6" t="s">
        <v>164</v>
      </c>
      <c r="AE45" s="6" t="s">
        <v>159</v>
      </c>
    </row>
    <row r="46" spans="1:35" x14ac:dyDescent="0.25">
      <c r="A46" s="10" t="s">
        <v>120</v>
      </c>
      <c r="B46" s="10">
        <f>6*2.54/100</f>
        <v>0.15240000000000001</v>
      </c>
      <c r="C46" s="10" t="s">
        <v>12</v>
      </c>
      <c r="J46" s="14"/>
      <c r="K46" s="6" t="s">
        <v>165</v>
      </c>
      <c r="L46" s="8">
        <f>L45*(1+0.3*(32^0.5*L27^(-0.25)*L24/L30)^0.909)</f>
        <v>37.543647446533384</v>
      </c>
      <c r="O46" s="6" t="s">
        <v>166</v>
      </c>
      <c r="W46" s="6" t="s">
        <v>165</v>
      </c>
      <c r="X46" s="8">
        <f>X45*(1+0.3*(32^0.5*X27^(-0.25)*X24/X30)^0.909)</f>
        <v>43.548926513537147</v>
      </c>
      <c r="AA46" s="6" t="s">
        <v>166</v>
      </c>
      <c r="AE46" s="6" t="s">
        <v>160</v>
      </c>
      <c r="AF46" s="8">
        <f>4*AF28/AF34*(AF31/4)^(-1/4)</f>
        <v>0.86701189548869195</v>
      </c>
    </row>
    <row r="47" spans="1:35" x14ac:dyDescent="0.25">
      <c r="J47" s="14"/>
      <c r="AE47" s="44" t="s">
        <v>161</v>
      </c>
      <c r="AF47" s="44"/>
      <c r="AG47" s="44"/>
    </row>
    <row r="48" spans="1:35" x14ac:dyDescent="0.25">
      <c r="A48" s="6" t="s">
        <v>131</v>
      </c>
      <c r="B48" s="8">
        <f>B42*B43*(B44-B45)*B46^3/B28^2</f>
        <v>20747460.641608499</v>
      </c>
      <c r="G48" s="6" t="s">
        <v>167</v>
      </c>
      <c r="J48" s="14"/>
    </row>
    <row r="49" spans="1:35" x14ac:dyDescent="0.25">
      <c r="J49" s="14"/>
      <c r="K49" s="11" t="s">
        <v>16</v>
      </c>
      <c r="L49" s="11">
        <v>2.5139999999999999E-2</v>
      </c>
      <c r="M49" s="11" t="s">
        <v>17</v>
      </c>
      <c r="O49" s="6" t="s">
        <v>123</v>
      </c>
      <c r="W49" s="11" t="s">
        <v>16</v>
      </c>
      <c r="X49" s="11">
        <v>3.6459999999999999E-2</v>
      </c>
      <c r="Y49" s="11" t="s">
        <v>17</v>
      </c>
      <c r="AA49" s="6" t="s">
        <v>123</v>
      </c>
      <c r="AE49" s="6" t="s">
        <v>163</v>
      </c>
      <c r="AF49" s="8">
        <f>0.68+0.67*AF43^0.25/(1+(0.492/AF42)^(9/16))^(4/9)</f>
        <v>24.796725960884196</v>
      </c>
      <c r="AI49" s="6" t="s">
        <v>164</v>
      </c>
    </row>
    <row r="50" spans="1:35" x14ac:dyDescent="0.25">
      <c r="A50" s="6" t="s">
        <v>168</v>
      </c>
      <c r="J50" s="14"/>
      <c r="K50" s="18" t="s">
        <v>169</v>
      </c>
      <c r="L50" s="19">
        <f>L46*L49/L24</f>
        <v>6.1932237323218446</v>
      </c>
      <c r="M50" s="18" t="s">
        <v>170</v>
      </c>
      <c r="O50" s="6" t="s">
        <v>171</v>
      </c>
      <c r="W50" s="18" t="s">
        <v>169</v>
      </c>
      <c r="X50" s="19">
        <f>X46*X49/X24</f>
        <v>10.418594886375095</v>
      </c>
      <c r="Y50" s="18" t="s">
        <v>170</v>
      </c>
      <c r="AA50" s="6" t="s">
        <v>171</v>
      </c>
      <c r="AE50" s="6" t="s">
        <v>165</v>
      </c>
      <c r="AF50" s="8">
        <f>AF49*(1+0.3*(32^0.5*AF31^(-0.25)*AF28/AF34)^0.909)</f>
        <v>31.330744662517056</v>
      </c>
      <c r="AI50" s="6" t="s">
        <v>166</v>
      </c>
    </row>
    <row r="51" spans="1:35" x14ac:dyDescent="0.25">
      <c r="G51" s="6" t="s">
        <v>54</v>
      </c>
      <c r="K51" s="46" t="s">
        <v>172</v>
      </c>
      <c r="L51" s="47"/>
      <c r="M51" s="47"/>
      <c r="N51" s="47"/>
      <c r="O51" s="48"/>
      <c r="W51" s="17"/>
    </row>
    <row r="52" spans="1:35" x14ac:dyDescent="0.25">
      <c r="K52" s="49"/>
      <c r="L52" s="50"/>
      <c r="M52" s="50"/>
      <c r="N52" s="50"/>
      <c r="O52" s="51"/>
      <c r="W52" s="17" t="s">
        <v>173</v>
      </c>
    </row>
    <row r="53" spans="1:35" x14ac:dyDescent="0.25">
      <c r="J53" s="14"/>
      <c r="W53" s="17" t="s">
        <v>174</v>
      </c>
      <c r="X53" s="6">
        <v>3.66</v>
      </c>
      <c r="AE53" s="11" t="s">
        <v>16</v>
      </c>
      <c r="AF53" s="11">
        <v>3.6459999999999999E-2</v>
      </c>
      <c r="AG53" s="11" t="s">
        <v>17</v>
      </c>
      <c r="AI53" s="6" t="s">
        <v>123</v>
      </c>
    </row>
    <row r="54" spans="1:35" x14ac:dyDescent="0.25">
      <c r="J54" s="14"/>
      <c r="K54" s="6">
        <v>3</v>
      </c>
      <c r="W54" s="17"/>
      <c r="AE54" s="18" t="s">
        <v>169</v>
      </c>
      <c r="AF54" s="19">
        <f>AF50*AF53/AF28</f>
        <v>11.423189503953719</v>
      </c>
      <c r="AG54" s="18" t="s">
        <v>170</v>
      </c>
      <c r="AI54" s="6" t="s">
        <v>171</v>
      </c>
    </row>
    <row r="55" spans="1:35" x14ac:dyDescent="0.25">
      <c r="J55" s="14"/>
      <c r="K55" s="18" t="s">
        <v>108</v>
      </c>
      <c r="L55" s="18">
        <f>(L17+L18)/2</f>
        <v>200</v>
      </c>
      <c r="M55" s="18" t="s">
        <v>95</v>
      </c>
      <c r="W55" s="17" t="s">
        <v>175</v>
      </c>
    </row>
    <row r="56" spans="1:35" x14ac:dyDescent="0.25">
      <c r="J56" s="14"/>
      <c r="W56" s="17" t="s">
        <v>16</v>
      </c>
      <c r="X56" s="6">
        <v>2.7349999999999999E-2</v>
      </c>
      <c r="Y56" s="6" t="s">
        <v>17</v>
      </c>
      <c r="AA56" s="6" t="s">
        <v>176</v>
      </c>
      <c r="AE56" s="6" t="s">
        <v>19</v>
      </c>
    </row>
    <row r="57" spans="1:35" x14ac:dyDescent="0.25">
      <c r="J57" s="14"/>
      <c r="L57" s="44" t="s">
        <v>125</v>
      </c>
      <c r="M57" s="44"/>
      <c r="N57" s="44" t="s">
        <v>177</v>
      </c>
      <c r="O57" s="44"/>
      <c r="W57" s="17" t="s">
        <v>169</v>
      </c>
      <c r="X57" s="6">
        <f>X53*X56/$B$4</f>
        <v>7.8819685039370082</v>
      </c>
      <c r="Y57" s="6" t="s">
        <v>170</v>
      </c>
      <c r="AE57" s="6" t="s">
        <v>178</v>
      </c>
      <c r="AF57" s="6">
        <v>400</v>
      </c>
      <c r="AG57" s="6" t="s">
        <v>17</v>
      </c>
    </row>
    <row r="58" spans="1:35" x14ac:dyDescent="0.25">
      <c r="A58" s="6" t="s">
        <v>74</v>
      </c>
      <c r="B58" s="6">
        <f>B4</f>
        <v>1.2699999999999999E-2</v>
      </c>
      <c r="C58" s="6" t="s">
        <v>12</v>
      </c>
      <c r="J58" s="14"/>
      <c r="K58" s="11" t="s">
        <v>128</v>
      </c>
      <c r="L58" s="12">
        <f>(2.577+2.76)*0.00001/2</f>
        <v>2.6684999999999999E-5</v>
      </c>
      <c r="M58" s="11" t="s">
        <v>28</v>
      </c>
      <c r="N58" s="12">
        <f>(1.228*0.75+1.403*0.25)*0.00001</f>
        <v>1.27175E-5</v>
      </c>
      <c r="O58" s="11" t="s">
        <v>28</v>
      </c>
      <c r="W58" s="17" t="s">
        <v>146</v>
      </c>
      <c r="X58" s="6">
        <v>14653</v>
      </c>
      <c r="Y58" s="6" t="s">
        <v>179</v>
      </c>
      <c r="AA58" s="6" t="s">
        <v>180</v>
      </c>
    </row>
    <row r="59" spans="1:35" x14ac:dyDescent="0.25">
      <c r="A59" s="6" t="s">
        <v>181</v>
      </c>
      <c r="B59" s="6">
        <f>35*B46/B48^(0.25)</f>
        <v>7.903360170965798E-2</v>
      </c>
      <c r="C59" s="6" t="s">
        <v>12</v>
      </c>
      <c r="J59" s="14"/>
      <c r="K59" s="11" t="s">
        <v>134</v>
      </c>
      <c r="L59" s="12">
        <f>(3.455+4.091)*0.00001/2</f>
        <v>3.7730000000000006E-5</v>
      </c>
      <c r="M59" s="11" t="s">
        <v>122</v>
      </c>
      <c r="N59" s="12">
        <f>(2.365*0.75+3.274*0.25)*0.0001</f>
        <v>2.5922500000000003E-4</v>
      </c>
      <c r="O59" s="11" t="s">
        <v>122</v>
      </c>
      <c r="W59" s="17"/>
      <c r="AE59" s="6" t="s">
        <v>182</v>
      </c>
    </row>
    <row r="60" spans="1:35" x14ac:dyDescent="0.25">
      <c r="J60" s="14"/>
      <c r="K60" s="11" t="s">
        <v>36</v>
      </c>
      <c r="L60" s="11">
        <f>(0.6974+0.6946)/2</f>
        <v>0.69599999999999995</v>
      </c>
      <c r="M60" s="11"/>
      <c r="N60" s="11">
        <f>(0.7155*0.75+0.7149*0.25)</f>
        <v>0.71535000000000004</v>
      </c>
      <c r="O60" s="11"/>
      <c r="Q60" s="6" t="s">
        <v>183</v>
      </c>
      <c r="W60" s="17" t="s">
        <v>184</v>
      </c>
      <c r="X60" s="6">
        <f>1/(PI()*$B$3*X57)</f>
        <v>3.5332079731003985</v>
      </c>
      <c r="Y60" s="6" t="s">
        <v>185</v>
      </c>
      <c r="AE60" s="6" t="s">
        <v>186</v>
      </c>
      <c r="AF60" s="6">
        <f>$B$4*PI()</f>
        <v>3.9898226700590372E-2</v>
      </c>
      <c r="AG60" s="6" t="s">
        <v>12</v>
      </c>
    </row>
    <row r="61" spans="1:35" x14ac:dyDescent="0.25">
      <c r="A61" s="6" t="s">
        <v>187</v>
      </c>
      <c r="J61" s="14"/>
      <c r="K61" s="11" t="s">
        <v>16</v>
      </c>
      <c r="L61" s="11">
        <f>(0.03779+0.04104)/2</f>
        <v>3.9414999999999999E-2</v>
      </c>
      <c r="M61" s="11" t="s">
        <v>17</v>
      </c>
      <c r="N61" s="11">
        <f>(0.2486*0.75+0.2843*0.25)</f>
        <v>0.257525</v>
      </c>
      <c r="O61" s="11" t="s">
        <v>17</v>
      </c>
      <c r="W61" s="17" t="s">
        <v>188</v>
      </c>
      <c r="X61" s="27">
        <f>1/(PI()*$B$4*X50)</f>
        <v>2.4056766616801588</v>
      </c>
      <c r="Y61" s="6" t="s">
        <v>185</v>
      </c>
      <c r="AE61" s="6" t="s">
        <v>189</v>
      </c>
      <c r="AF61" s="6">
        <f>0.25*PI()*($B$4^2-$B$3^2)</f>
        <v>2.4068605257131162E-5</v>
      </c>
      <c r="AG61" s="6" t="s">
        <v>190</v>
      </c>
    </row>
    <row r="62" spans="1:35" x14ac:dyDescent="0.25">
      <c r="A62" s="6" t="s">
        <v>155</v>
      </c>
      <c r="B62" s="8">
        <f>B48*B30</f>
        <v>14411186.161661264</v>
      </c>
      <c r="G62" s="6" t="s">
        <v>191</v>
      </c>
      <c r="J62" s="14"/>
      <c r="K62" s="11" t="s">
        <v>146</v>
      </c>
      <c r="L62" s="11">
        <f>(1023+1033)/2</f>
        <v>1028</v>
      </c>
      <c r="M62" s="11" t="s">
        <v>179</v>
      </c>
      <c r="N62" s="11">
        <f>(14482*0.75+14481*0.25)</f>
        <v>14481.75</v>
      </c>
      <c r="O62" s="11" t="s">
        <v>179</v>
      </c>
      <c r="W62" s="17" t="s">
        <v>192</v>
      </c>
      <c r="X62" s="27">
        <f>X61+X60</f>
        <v>5.9388846347805568</v>
      </c>
      <c r="Y62" s="6" t="s">
        <v>185</v>
      </c>
      <c r="AA62" s="6" t="s">
        <v>193</v>
      </c>
      <c r="AE62" s="6" t="s">
        <v>194</v>
      </c>
      <c r="AF62" s="27">
        <f>(AF54*AF$60/$AF57/$AF61)^0.5</f>
        <v>6.8804212710253978</v>
      </c>
      <c r="AG62" s="6" t="s">
        <v>195</v>
      </c>
      <c r="AI62" s="6" t="s">
        <v>196</v>
      </c>
    </row>
    <row r="63" spans="1:35" x14ac:dyDescent="0.25">
      <c r="A63" s="11" t="s">
        <v>197</v>
      </c>
      <c r="B63" s="11">
        <v>0.73089999999999999</v>
      </c>
      <c r="C63" s="11"/>
      <c r="D63" s="11"/>
      <c r="E63" s="11"/>
      <c r="G63" s="6" t="s">
        <v>198</v>
      </c>
      <c r="J63" s="14"/>
      <c r="W63" s="17"/>
      <c r="X63" s="27"/>
    </row>
    <row r="64" spans="1:35" x14ac:dyDescent="0.25">
      <c r="A64" s="6" t="s">
        <v>199</v>
      </c>
      <c r="B64" s="6">
        <f>(0.825+0.387*B62^(1/6)/(1+(0.492/B63)^(9/16))^(8/27))^2</f>
        <v>34.772271880664633</v>
      </c>
      <c r="G64" s="6" t="s">
        <v>54</v>
      </c>
      <c r="J64" s="14"/>
      <c r="K64" s="6" t="s">
        <v>200</v>
      </c>
      <c r="W64" s="17"/>
      <c r="AA64" s="6" t="s">
        <v>201</v>
      </c>
      <c r="AE64" s="6" t="s">
        <v>202</v>
      </c>
      <c r="AF64" s="8">
        <f>(AF54*AF$60*AF$57*AF$61)^0.5*(AF$19-AF$22)*(COSH(AF62*AF$28)-(AF$21-AF$22)/(AF$19-AF$22))/SINH(AF62*AF$28)</f>
        <v>33.960224380859849</v>
      </c>
      <c r="AG64" s="6" t="s">
        <v>104</v>
      </c>
    </row>
    <row r="65" spans="1:35" x14ac:dyDescent="0.25">
      <c r="A65" s="6" t="s">
        <v>203</v>
      </c>
      <c r="B65" s="6">
        <f>B64*B32/B46</f>
        <v>9.3638716403049642</v>
      </c>
      <c r="C65" s="6" t="s">
        <v>152</v>
      </c>
      <c r="G65" s="6" t="s">
        <v>204</v>
      </c>
      <c r="J65" s="14"/>
      <c r="K65" s="18" t="s">
        <v>31</v>
      </c>
      <c r="L65" s="19">
        <f>4*$B2/(L58*PI()*$B3)</f>
        <v>0.13914750589887681</v>
      </c>
      <c r="M65" s="18"/>
      <c r="N65" s="19">
        <f>4*$B2/(N58*PI()*$B3*1000)</f>
        <v>2.9197178650768849E-4</v>
      </c>
      <c r="P65" s="6" t="s">
        <v>205</v>
      </c>
      <c r="W65" s="17" t="s">
        <v>206</v>
      </c>
      <c r="X65" s="6">
        <f>X60/X24</f>
        <v>23.183779351052483</v>
      </c>
      <c r="Y65" s="6" t="s">
        <v>21</v>
      </c>
      <c r="AE65" s="6" t="s">
        <v>207</v>
      </c>
      <c r="AF65" s="8">
        <f>(AF54*AF$60*AF$57*AF$61)*(AF$19-AF$22)</f>
        <v>1.4479908937117041</v>
      </c>
    </row>
    <row r="66" spans="1:35" x14ac:dyDescent="0.25">
      <c r="J66" s="14"/>
      <c r="K66" s="6" t="s">
        <v>208</v>
      </c>
      <c r="M66" s="56" t="s">
        <v>209</v>
      </c>
      <c r="N66" s="56"/>
      <c r="O66" s="56"/>
      <c r="P66" s="56"/>
      <c r="W66" s="17" t="s">
        <v>210</v>
      </c>
      <c r="X66" s="6">
        <f>X61/X24</f>
        <v>15.785279932284507</v>
      </c>
      <c r="Y66" s="6" t="s">
        <v>21</v>
      </c>
    </row>
    <row r="67" spans="1:35" x14ac:dyDescent="0.25">
      <c r="A67" s="6" t="s">
        <v>211</v>
      </c>
      <c r="J67" s="14"/>
      <c r="K67" s="6" t="s">
        <v>212</v>
      </c>
      <c r="M67" s="56"/>
      <c r="N67" s="56"/>
      <c r="O67" s="56"/>
      <c r="P67" s="56"/>
      <c r="W67" s="17"/>
      <c r="AE67" s="6" t="s">
        <v>213</v>
      </c>
      <c r="AF67" s="6">
        <v>10</v>
      </c>
      <c r="AG67" s="6" t="s">
        <v>170</v>
      </c>
    </row>
    <row r="68" spans="1:35" x14ac:dyDescent="0.25">
      <c r="A68" s="6" t="s">
        <v>151</v>
      </c>
      <c r="B68" s="6">
        <f>B38</f>
        <v>13.141417322834648</v>
      </c>
      <c r="C68" s="6" t="s">
        <v>152</v>
      </c>
      <c r="G68" s="6" t="s">
        <v>214</v>
      </c>
      <c r="J68" s="14"/>
      <c r="M68" s="56"/>
      <c r="N68" s="56"/>
      <c r="O68" s="56"/>
      <c r="P68" s="56"/>
      <c r="W68" s="17" t="s">
        <v>25</v>
      </c>
      <c r="X68" s="6">
        <f>0.02/10/60/1000</f>
        <v>3.3333333333333334E-8</v>
      </c>
      <c r="Y68" s="6" t="s">
        <v>26</v>
      </c>
      <c r="Z68" s="6" t="s">
        <v>215</v>
      </c>
      <c r="AE68" s="6" t="s">
        <v>194</v>
      </c>
      <c r="AF68" s="27">
        <f>(AF67*AF$60/AF$57/AF$61)^0.5</f>
        <v>6.4375607296191122</v>
      </c>
    </row>
    <row r="69" spans="1:35" x14ac:dyDescent="0.25">
      <c r="J69" s="14"/>
      <c r="K69" s="6" t="s">
        <v>216</v>
      </c>
      <c r="W69" s="17" t="s">
        <v>202</v>
      </c>
      <c r="X69" s="6">
        <f>X68*X$58*(X$16-X$17)</f>
        <v>0.14652999999999999</v>
      </c>
      <c r="Y69" s="6" t="s">
        <v>104</v>
      </c>
      <c r="AE69" s="6" t="s">
        <v>202</v>
      </c>
      <c r="AF69" s="8">
        <f>(AF67*AF$60*AF$57*AF$61)^0.5*(AF$19-AF$22)*(COSH(AF68*AF$28)-(AF$21-AF$22)/(AF$19-AF$22))/SINH(AF68*AF$28)</f>
        <v>33.344722389486051</v>
      </c>
      <c r="AG69" s="6" t="s">
        <v>104</v>
      </c>
      <c r="AI69" s="6" t="s">
        <v>217</v>
      </c>
    </row>
    <row r="70" spans="1:35" x14ac:dyDescent="0.25">
      <c r="A70" s="6" t="s">
        <v>218</v>
      </c>
      <c r="J70" s="14"/>
      <c r="K70" s="18" t="s">
        <v>34</v>
      </c>
      <c r="L70" s="19">
        <f>0.05*L65*$B3</f>
        <v>7.9522799621208103E-5</v>
      </c>
      <c r="M70" s="18" t="s">
        <v>12</v>
      </c>
      <c r="N70" s="19">
        <f>0.05*N65*$B3</f>
        <v>1.6686187598914395E-7</v>
      </c>
      <c r="O70" s="18" t="s">
        <v>12</v>
      </c>
      <c r="W70" s="17" t="s">
        <v>219</v>
      </c>
      <c r="X70" s="6">
        <f>X69*X$62/(X$16-X$18)</f>
        <v>2.6370447440436213E-3</v>
      </c>
      <c r="Y70" s="6" t="s">
        <v>12</v>
      </c>
      <c r="AE70" s="6" t="s">
        <v>207</v>
      </c>
      <c r="AF70" s="8">
        <f>(AF67*AF$60*AF$57*AF$61)*(AF$19-AF$22)</f>
        <v>1.2675889629691732</v>
      </c>
    </row>
    <row r="71" spans="1:35" x14ac:dyDescent="0.25">
      <c r="J71" s="14"/>
      <c r="K71" s="18" t="s">
        <v>39</v>
      </c>
      <c r="L71" s="19">
        <f>L70*L60</f>
        <v>5.5347868536360837E-5</v>
      </c>
      <c r="M71" s="18" t="s">
        <v>12</v>
      </c>
      <c r="N71" s="19">
        <f>N70*N60</f>
        <v>1.1936464298883413E-7</v>
      </c>
      <c r="O71" s="18" t="s">
        <v>12</v>
      </c>
      <c r="W71" s="17"/>
      <c r="AE71" s="6" t="s">
        <v>220</v>
      </c>
    </row>
    <row r="72" spans="1:35" x14ac:dyDescent="0.25">
      <c r="A72" s="9" t="s">
        <v>221</v>
      </c>
      <c r="B72" s="9">
        <f>$B$2*B33*($B$20-$B$19)</f>
        <v>-3.4433333333333334E-3</v>
      </c>
      <c r="C72" s="9"/>
      <c r="D72" s="9"/>
      <c r="E72" s="9"/>
      <c r="J72" s="14"/>
      <c r="K72" s="6" t="s">
        <v>222</v>
      </c>
      <c r="W72" s="17"/>
    </row>
    <row r="73" spans="1:35" x14ac:dyDescent="0.25">
      <c r="A73" s="9" t="s">
        <v>223</v>
      </c>
      <c r="B73" s="9">
        <f>B72/(B38*B24)</f>
        <v>1.8161943518686238E-6</v>
      </c>
      <c r="C73" s="9"/>
      <c r="D73" s="9"/>
      <c r="E73" s="9"/>
      <c r="J73" s="14"/>
      <c r="W73" s="17" t="s">
        <v>25</v>
      </c>
      <c r="X73" s="6">
        <v>1E-3</v>
      </c>
      <c r="Y73" s="6" t="s">
        <v>26</v>
      </c>
      <c r="Z73" s="6" t="s">
        <v>224</v>
      </c>
    </row>
    <row r="74" spans="1:35" x14ac:dyDescent="0.25">
      <c r="A74" s="9"/>
      <c r="B74" s="9"/>
      <c r="C74" s="9"/>
      <c r="D74" s="9"/>
      <c r="E74" s="9"/>
      <c r="J74" s="14"/>
      <c r="K74" s="6" t="s">
        <v>225</v>
      </c>
      <c r="W74" s="17" t="s">
        <v>202</v>
      </c>
      <c r="X74" s="6">
        <f>X73*X$58*(X$16-X$17)</f>
        <v>4395.9000000000005</v>
      </c>
      <c r="Y74" s="6" t="s">
        <v>104</v>
      </c>
    </row>
    <row r="75" spans="1:35" x14ac:dyDescent="0.25">
      <c r="A75" s="9" t="s">
        <v>219</v>
      </c>
      <c r="B75" s="9">
        <f>B73/(B3*PI())</f>
        <v>5.0578531708744114E-5</v>
      </c>
      <c r="C75" s="9" t="s">
        <v>226</v>
      </c>
      <c r="D75" s="9"/>
      <c r="E75" s="9"/>
      <c r="G75" s="6" t="s">
        <v>227</v>
      </c>
      <c r="J75" s="14"/>
      <c r="K75" s="6" t="s">
        <v>174</v>
      </c>
      <c r="L75" s="6">
        <v>3.66</v>
      </c>
      <c r="N75" s="6" t="s">
        <v>228</v>
      </c>
      <c r="Q75" s="6" t="s">
        <v>228</v>
      </c>
      <c r="W75" s="17" t="s">
        <v>219</v>
      </c>
      <c r="X75" s="6">
        <f>X74*X$62/(X$16-X$18)</f>
        <v>79.111342321308641</v>
      </c>
      <c r="Y75" s="6" t="s">
        <v>12</v>
      </c>
    </row>
    <row r="76" spans="1:35" x14ac:dyDescent="0.25">
      <c r="K76" s="18" t="s">
        <v>169</v>
      </c>
      <c r="L76" s="18">
        <f>$L75*L61/$B3</f>
        <v>12.621076115485565</v>
      </c>
      <c r="M76" s="18" t="s">
        <v>170</v>
      </c>
      <c r="N76" s="18">
        <f>$L75*N61/$B3</f>
        <v>82.462073490813651</v>
      </c>
      <c r="O76" s="18" t="s">
        <v>170</v>
      </c>
      <c r="Q76" s="6" t="s">
        <v>228</v>
      </c>
      <c r="W76" s="17"/>
    </row>
    <row r="77" spans="1:35" ht="15" customHeight="1" x14ac:dyDescent="0.25">
      <c r="K77" s="52" t="s">
        <v>229</v>
      </c>
      <c r="L77" s="53"/>
      <c r="M77" s="53"/>
      <c r="N77" s="53"/>
      <c r="O77" s="53"/>
      <c r="P77" s="53"/>
      <c r="Q77" s="57"/>
      <c r="W77" s="17"/>
    </row>
    <row r="78" spans="1:35" x14ac:dyDescent="0.25">
      <c r="K78" s="54"/>
      <c r="L78" s="55"/>
      <c r="M78" s="55"/>
      <c r="N78" s="55"/>
      <c r="O78" s="55"/>
      <c r="P78" s="55"/>
      <c r="Q78" s="58"/>
      <c r="T78" s="16" t="s">
        <v>230</v>
      </c>
      <c r="W78" s="17"/>
    </row>
    <row r="79" spans="1:35" x14ac:dyDescent="0.25">
      <c r="W79" s="17"/>
    </row>
    <row r="80" spans="1:35" x14ac:dyDescent="0.25">
      <c r="K80" s="6" t="s">
        <v>231</v>
      </c>
      <c r="W80" s="17"/>
    </row>
    <row r="81" spans="1:34" x14ac:dyDescent="0.25">
      <c r="K81" s="6" t="s">
        <v>232</v>
      </c>
      <c r="M81" s="6" t="s">
        <v>58</v>
      </c>
    </row>
    <row r="82" spans="1:34" x14ac:dyDescent="0.25">
      <c r="A82" s="22"/>
      <c r="B82" s="22"/>
      <c r="C82" s="22"/>
      <c r="D82" s="22"/>
      <c r="E82" s="22"/>
      <c r="AE82" s="6" t="s">
        <v>233</v>
      </c>
    </row>
    <row r="83" spans="1:34" x14ac:dyDescent="0.25">
      <c r="A83" s="22"/>
      <c r="B83" s="22"/>
      <c r="C83" s="22"/>
      <c r="D83" s="22"/>
      <c r="E83" s="22"/>
      <c r="K83" s="18" t="s">
        <v>184</v>
      </c>
      <c r="L83" s="24">
        <f>1/(PI()*B3*L24*L76)</f>
        <v>14.478465780189188</v>
      </c>
      <c r="M83" s="18" t="s">
        <v>21</v>
      </c>
    </row>
    <row r="84" spans="1:34" x14ac:dyDescent="0.25">
      <c r="K84" s="6" t="s">
        <v>234</v>
      </c>
      <c r="L84" s="6">
        <v>395</v>
      </c>
      <c r="M84" s="6" t="s">
        <v>17</v>
      </c>
      <c r="AE84" s="6" t="s">
        <v>69</v>
      </c>
      <c r="AF84" s="6">
        <f>0.02/10/60/1000</f>
        <v>3.3333333333333334E-8</v>
      </c>
      <c r="AG84" s="6" t="s">
        <v>26</v>
      </c>
      <c r="AH84" s="6" t="s">
        <v>235</v>
      </c>
    </row>
    <row r="85" spans="1:34" x14ac:dyDescent="0.25">
      <c r="K85" s="18" t="s">
        <v>236</v>
      </c>
      <c r="L85" s="18">
        <f>LN(B4/B3)/(2*PI()*L24*L84)</f>
        <v>2.7855820581504538E-4</v>
      </c>
      <c r="M85" s="18" t="s">
        <v>21</v>
      </c>
      <c r="W85" s="6" t="s">
        <v>237</v>
      </c>
      <c r="AE85" s="6" t="s">
        <v>238</v>
      </c>
      <c r="AF85" s="27">
        <f>L65</f>
        <v>0.13914750589887681</v>
      </c>
    </row>
    <row r="86" spans="1:34" ht="15.75" thickBot="1" x14ac:dyDescent="0.3">
      <c r="K86" s="18" t="s">
        <v>188</v>
      </c>
      <c r="L86" s="24">
        <f>1/(PI()*B4*L24*L50)</f>
        <v>26.554899982733609</v>
      </c>
      <c r="M86" s="18" t="s">
        <v>21</v>
      </c>
      <c r="W86" s="6" t="s">
        <v>239</v>
      </c>
      <c r="AE86" s="6" t="s">
        <v>240</v>
      </c>
    </row>
    <row r="87" spans="1:34" ht="15.75" thickBot="1" x14ac:dyDescent="0.3">
      <c r="W87" s="6" t="s">
        <v>241</v>
      </c>
      <c r="AE87" s="28" t="s">
        <v>242</v>
      </c>
    </row>
    <row r="88" spans="1:34" ht="15" customHeight="1" x14ac:dyDescent="0.25">
      <c r="K88" s="52" t="s">
        <v>243</v>
      </c>
      <c r="L88" s="53"/>
      <c r="M88" s="53"/>
      <c r="N88" s="53"/>
      <c r="O88" s="26"/>
      <c r="P88" s="23"/>
      <c r="Q88" s="23"/>
      <c r="W88" s="6" t="s">
        <v>244</v>
      </c>
    </row>
    <row r="89" spans="1:34" x14ac:dyDescent="0.25">
      <c r="K89" s="54"/>
      <c r="L89" s="55"/>
      <c r="M89" s="55"/>
      <c r="N89" s="55"/>
      <c r="O89" s="26"/>
      <c r="P89" s="23"/>
      <c r="Q89" s="23"/>
    </row>
    <row r="90" spans="1:34" x14ac:dyDescent="0.25">
      <c r="K90" s="23"/>
      <c r="L90" s="23"/>
      <c r="M90" s="23"/>
      <c r="N90" s="23"/>
      <c r="O90" s="23"/>
      <c r="P90" s="23"/>
      <c r="Q90" s="23"/>
      <c r="W90" s="6" t="s">
        <v>245</v>
      </c>
    </row>
    <row r="91" spans="1:34" x14ac:dyDescent="0.25">
      <c r="K91" s="23" t="s">
        <v>246</v>
      </c>
      <c r="L91" s="23"/>
      <c r="M91" s="23"/>
      <c r="N91" s="23"/>
      <c r="O91" s="23"/>
      <c r="P91" s="23"/>
      <c r="Q91" s="23"/>
      <c r="W91" s="6" t="s">
        <v>247</v>
      </c>
    </row>
    <row r="92" spans="1:34" x14ac:dyDescent="0.25">
      <c r="K92" s="6" t="s">
        <v>248</v>
      </c>
      <c r="W92" s="6" t="s">
        <v>249</v>
      </c>
    </row>
    <row r="93" spans="1:34" x14ac:dyDescent="0.25">
      <c r="K93" s="6" t="s">
        <v>250</v>
      </c>
      <c r="W93" s="6" t="s">
        <v>251</v>
      </c>
    </row>
    <row r="94" spans="1:34" x14ac:dyDescent="0.25">
      <c r="K94" s="6" t="s">
        <v>252</v>
      </c>
      <c r="W94" s="6" t="s">
        <v>253</v>
      </c>
    </row>
    <row r="95" spans="1:34" x14ac:dyDescent="0.25">
      <c r="K95" s="6" t="s">
        <v>254</v>
      </c>
      <c r="W95" s="6" t="s">
        <v>255</v>
      </c>
    </row>
    <row r="96" spans="1:34" x14ac:dyDescent="0.25">
      <c r="K96" s="6" t="s">
        <v>256</v>
      </c>
      <c r="W96" s="6" t="s">
        <v>257</v>
      </c>
    </row>
    <row r="98" spans="9:17" x14ac:dyDescent="0.25">
      <c r="K98" s="6" t="s">
        <v>258</v>
      </c>
      <c r="N98" s="6" t="s">
        <v>259</v>
      </c>
    </row>
    <row r="100" spans="9:17" x14ac:dyDescent="0.25">
      <c r="J100" s="6" t="s">
        <v>260</v>
      </c>
      <c r="K100" s="6" t="s">
        <v>261</v>
      </c>
      <c r="L100" s="6" t="s">
        <v>262</v>
      </c>
      <c r="M100" s="6" t="s">
        <v>263</v>
      </c>
    </row>
    <row r="101" spans="9:17" x14ac:dyDescent="0.25">
      <c r="J101" s="6" t="s">
        <v>264</v>
      </c>
      <c r="K101" s="6" t="s">
        <v>131</v>
      </c>
      <c r="L101" s="6" t="s">
        <v>265</v>
      </c>
      <c r="M101" s="15" t="s">
        <v>132</v>
      </c>
      <c r="Q101" s="6" t="s">
        <v>266</v>
      </c>
    </row>
    <row r="102" spans="9:17" x14ac:dyDescent="0.25">
      <c r="J102" s="6" t="s">
        <v>264</v>
      </c>
      <c r="K102" s="6" t="s">
        <v>109</v>
      </c>
      <c r="L102" s="6" t="s">
        <v>267</v>
      </c>
      <c r="M102" s="6" t="s">
        <v>268</v>
      </c>
      <c r="Q102" s="6" t="s">
        <v>269</v>
      </c>
    </row>
    <row r="103" spans="9:17" x14ac:dyDescent="0.25">
      <c r="J103" s="6" t="s">
        <v>264</v>
      </c>
      <c r="K103" s="6" t="s">
        <v>270</v>
      </c>
      <c r="L103" s="6" t="s">
        <v>267</v>
      </c>
      <c r="M103" s="6" t="s">
        <v>271</v>
      </c>
    </row>
    <row r="104" spans="9:17" x14ac:dyDescent="0.25">
      <c r="J104" s="6" t="s">
        <v>264</v>
      </c>
      <c r="K104" s="6" t="s">
        <v>272</v>
      </c>
      <c r="L104" s="6" t="s">
        <v>264</v>
      </c>
      <c r="M104" s="6" t="s">
        <v>273</v>
      </c>
      <c r="Q104" s="6" t="s">
        <v>274</v>
      </c>
    </row>
    <row r="105" spans="9:17" x14ac:dyDescent="0.25">
      <c r="J105" s="6" t="s">
        <v>264</v>
      </c>
      <c r="K105" s="6" t="s">
        <v>275</v>
      </c>
      <c r="L105" s="6" t="s">
        <v>267</v>
      </c>
      <c r="M105" s="6" t="s">
        <v>268</v>
      </c>
      <c r="Q105" s="6" t="s">
        <v>276</v>
      </c>
    </row>
    <row r="106" spans="9:17" x14ac:dyDescent="0.25">
      <c r="J106" s="6" t="s">
        <v>264</v>
      </c>
      <c r="K106" s="6" t="s">
        <v>277</v>
      </c>
      <c r="L106" s="6" t="s">
        <v>267</v>
      </c>
      <c r="M106" s="6" t="s">
        <v>278</v>
      </c>
    </row>
    <row r="107" spans="9:17" x14ac:dyDescent="0.25">
      <c r="J107" s="6" t="s">
        <v>264</v>
      </c>
      <c r="K107" s="6" t="s">
        <v>279</v>
      </c>
      <c r="L107" s="6" t="s">
        <v>267</v>
      </c>
      <c r="M107" s="6" t="s">
        <v>280</v>
      </c>
      <c r="Q107" s="6" t="s">
        <v>281</v>
      </c>
    </row>
    <row r="108" spans="9:17" x14ac:dyDescent="0.25">
      <c r="Q108" s="6" t="s">
        <v>282</v>
      </c>
    </row>
    <row r="109" spans="9:17" x14ac:dyDescent="0.25">
      <c r="I109" s="6" t="s">
        <v>283</v>
      </c>
      <c r="J109" s="6" t="s">
        <v>264</v>
      </c>
      <c r="K109" s="6" t="s">
        <v>284</v>
      </c>
      <c r="L109" s="6" t="s">
        <v>267</v>
      </c>
      <c r="M109" s="6" t="s">
        <v>280</v>
      </c>
    </row>
    <row r="110" spans="9:17" x14ac:dyDescent="0.25">
      <c r="J110" s="6" t="s">
        <v>264</v>
      </c>
      <c r="K110" s="6" t="s">
        <v>155</v>
      </c>
      <c r="L110" s="6" t="s">
        <v>264</v>
      </c>
      <c r="M110" s="6" t="s">
        <v>156</v>
      </c>
    </row>
    <row r="111" spans="9:17" x14ac:dyDescent="0.25">
      <c r="J111" s="6" t="s">
        <v>264</v>
      </c>
      <c r="K111" s="6" t="s">
        <v>285</v>
      </c>
      <c r="L111" s="6" t="s">
        <v>264</v>
      </c>
      <c r="M111" s="6" t="s">
        <v>286</v>
      </c>
    </row>
    <row r="112" spans="9:17" x14ac:dyDescent="0.25">
      <c r="J112" s="6" t="s">
        <v>264</v>
      </c>
      <c r="K112" s="6" t="s">
        <v>287</v>
      </c>
      <c r="L112" s="6" t="s">
        <v>264</v>
      </c>
      <c r="M112" s="6" t="s">
        <v>286</v>
      </c>
    </row>
    <row r="113" spans="10:13" x14ac:dyDescent="0.25">
      <c r="J113" s="6" t="s">
        <v>264</v>
      </c>
      <c r="K113" s="6" t="s">
        <v>288</v>
      </c>
      <c r="L113" s="6" t="s">
        <v>267</v>
      </c>
      <c r="M113" s="6" t="s">
        <v>280</v>
      </c>
    </row>
    <row r="114" spans="10:13" x14ac:dyDescent="0.25">
      <c r="J114" s="6" t="s">
        <v>264</v>
      </c>
      <c r="K114" s="6" t="s">
        <v>169</v>
      </c>
      <c r="L114" s="6" t="s">
        <v>264</v>
      </c>
      <c r="M114" s="6" t="s">
        <v>289</v>
      </c>
    </row>
    <row r="116" spans="10:13" x14ac:dyDescent="0.25">
      <c r="K116" s="6" t="s">
        <v>290</v>
      </c>
      <c r="L116" s="6" t="s">
        <v>264</v>
      </c>
      <c r="M116" s="6" t="s">
        <v>273</v>
      </c>
    </row>
    <row r="117" spans="10:13" x14ac:dyDescent="0.25">
      <c r="J117" s="6" t="s">
        <v>264</v>
      </c>
      <c r="K117" s="6" t="s">
        <v>27</v>
      </c>
      <c r="L117" s="6" t="s">
        <v>264</v>
      </c>
      <c r="M117" s="6" t="s">
        <v>280</v>
      </c>
    </row>
    <row r="118" spans="10:13" x14ac:dyDescent="0.25">
      <c r="J118" s="6" t="s">
        <v>264</v>
      </c>
      <c r="K118" s="6" t="s">
        <v>121</v>
      </c>
      <c r="L118" s="6" t="s">
        <v>264</v>
      </c>
      <c r="M118" s="6" t="s">
        <v>280</v>
      </c>
    </row>
    <row r="119" spans="10:13" x14ac:dyDescent="0.25">
      <c r="J119" s="6" t="s">
        <v>264</v>
      </c>
      <c r="K119" s="6" t="s">
        <v>16</v>
      </c>
      <c r="L119" s="6" t="s">
        <v>264</v>
      </c>
      <c r="M119" s="6" t="s">
        <v>280</v>
      </c>
    </row>
    <row r="120" spans="10:13" x14ac:dyDescent="0.25">
      <c r="J120" s="6" t="s">
        <v>264</v>
      </c>
      <c r="K120" s="6" t="s">
        <v>36</v>
      </c>
      <c r="L120" s="6" t="s">
        <v>264</v>
      </c>
      <c r="M120" s="6" t="s">
        <v>280</v>
      </c>
    </row>
    <row r="121" spans="10:13" x14ac:dyDescent="0.25">
      <c r="J121" s="6" t="s">
        <v>264</v>
      </c>
      <c r="K121" s="6" t="s">
        <v>146</v>
      </c>
      <c r="L121" s="6" t="s">
        <v>264</v>
      </c>
      <c r="M121" s="6" t="s">
        <v>280</v>
      </c>
    </row>
    <row r="122" spans="10:13" x14ac:dyDescent="0.25">
      <c r="J122" s="6" t="s">
        <v>264</v>
      </c>
      <c r="K122" s="6" t="s">
        <v>174</v>
      </c>
      <c r="L122" s="6" t="s">
        <v>267</v>
      </c>
      <c r="M122" s="6">
        <v>3.66</v>
      </c>
    </row>
    <row r="123" spans="10:13" x14ac:dyDescent="0.25">
      <c r="J123" s="6" t="s">
        <v>264</v>
      </c>
      <c r="K123" s="6" t="s">
        <v>169</v>
      </c>
      <c r="L123" s="6" t="s">
        <v>264</v>
      </c>
      <c r="M123" s="25" t="s">
        <v>291</v>
      </c>
    </row>
    <row r="125" spans="10:13" x14ac:dyDescent="0.25">
      <c r="J125" s="6" t="s">
        <v>264</v>
      </c>
      <c r="K125" s="6" t="s">
        <v>292</v>
      </c>
      <c r="L125" s="6" t="s">
        <v>264</v>
      </c>
      <c r="M125" s="6" t="s">
        <v>293</v>
      </c>
    </row>
    <row r="126" spans="10:13" x14ac:dyDescent="0.25">
      <c r="J126" s="6" t="s">
        <v>264</v>
      </c>
      <c r="K126" s="6" t="s">
        <v>294</v>
      </c>
      <c r="L126" s="6" t="s">
        <v>264</v>
      </c>
      <c r="M126" s="6" t="s">
        <v>293</v>
      </c>
    </row>
    <row r="127" spans="10:13" x14ac:dyDescent="0.25">
      <c r="K127" s="6" t="s">
        <v>295</v>
      </c>
      <c r="L127" s="6" t="s">
        <v>264</v>
      </c>
      <c r="M127" s="6" t="s">
        <v>296</v>
      </c>
    </row>
  </sheetData>
  <mergeCells count="16">
    <mergeCell ref="AE36:AG37"/>
    <mergeCell ref="AE47:AG47"/>
    <mergeCell ref="W32:Y33"/>
    <mergeCell ref="W43:Y43"/>
    <mergeCell ref="E8:G8"/>
    <mergeCell ref="E7:G7"/>
    <mergeCell ref="E9:G9"/>
    <mergeCell ref="K32:M33"/>
    <mergeCell ref="B26:C26"/>
    <mergeCell ref="D26:E26"/>
    <mergeCell ref="K51:O52"/>
    <mergeCell ref="K88:N89"/>
    <mergeCell ref="M66:P68"/>
    <mergeCell ref="K77:Q78"/>
    <mergeCell ref="N57:O57"/>
    <mergeCell ref="L57:M57"/>
  </mergeCells>
  <hyperlinks>
    <hyperlink ref="O22" r:id="rId1" xr:uid="{00000000-0004-0000-0100-000000000000}"/>
    <hyperlink ref="T78" r:id="rId2" xr:uid="{00000000-0004-0000-0100-000001000000}"/>
    <hyperlink ref="AA23" r:id="rId3" xr:uid="{00000000-0004-0000-0100-000002000000}"/>
    <hyperlink ref="AI27" r:id="rId4" xr:uid="{6C80F824-A609-493A-A3E6-1E9FBAAF4BCC}"/>
  </hyperlink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E2DB-0C4D-46F7-B85A-E480CDBB2F47}">
  <dimension ref="A1:R256"/>
  <sheetViews>
    <sheetView topLeftCell="A208" zoomScale="101" zoomScaleNormal="100" workbookViewId="0">
      <selection activeCell="A253" sqref="A253"/>
    </sheetView>
  </sheetViews>
  <sheetFormatPr defaultRowHeight="15" x14ac:dyDescent="0.25"/>
  <cols>
    <col min="1" max="1" width="25.7109375" customWidth="1"/>
    <col min="2" max="2" width="16" customWidth="1"/>
    <col min="3" max="3" width="14.7109375" customWidth="1"/>
    <col min="4" max="4" width="12" bestFit="1" customWidth="1"/>
    <col min="7" max="7" width="11" bestFit="1" customWidth="1"/>
  </cols>
  <sheetData>
    <row r="1" spans="1:11" x14ac:dyDescent="0.25">
      <c r="A1" t="s">
        <v>297</v>
      </c>
    </row>
    <row r="2" spans="1:11" x14ac:dyDescent="0.25">
      <c r="A2" t="s">
        <v>25</v>
      </c>
      <c r="B2">
        <f>0.02/10/60/1000</f>
        <v>3.3333333333333334E-8</v>
      </c>
      <c r="C2" t="s">
        <v>26</v>
      </c>
    </row>
    <row r="3" spans="1:11" x14ac:dyDescent="0.25">
      <c r="I3" t="s">
        <v>298</v>
      </c>
      <c r="K3">
        <v>476</v>
      </c>
    </row>
    <row r="16" spans="1:11" x14ac:dyDescent="0.25">
      <c r="A16" t="s">
        <v>299</v>
      </c>
      <c r="B16">
        <f>0.45*0.0254</f>
        <v>1.1429999999999999E-2</v>
      </c>
      <c r="C16" t="s">
        <v>12</v>
      </c>
      <c r="E16" t="s">
        <v>300</v>
      </c>
    </row>
    <row r="17" spans="1:10" x14ac:dyDescent="0.25">
      <c r="A17" t="s">
        <v>27</v>
      </c>
      <c r="B17" s="2">
        <v>1.2279999999999999E-5</v>
      </c>
      <c r="C17" t="s">
        <v>28</v>
      </c>
      <c r="E17" t="s">
        <v>301</v>
      </c>
      <c r="G17" t="s">
        <v>302</v>
      </c>
    </row>
    <row r="18" spans="1:10" x14ac:dyDescent="0.25">
      <c r="A18" t="s">
        <v>31</v>
      </c>
      <c r="B18" s="2">
        <f>4*B2/(B17*PI()*B16)</f>
        <v>0.30237387580712766</v>
      </c>
      <c r="E18" t="s">
        <v>302</v>
      </c>
    </row>
    <row r="20" spans="1:10" x14ac:dyDescent="0.25">
      <c r="A20" t="s">
        <v>303</v>
      </c>
    </row>
    <row r="21" spans="1:10" x14ac:dyDescent="0.25">
      <c r="A21" t="s">
        <v>304</v>
      </c>
      <c r="B21">
        <v>2.6829999999999998</v>
      </c>
      <c r="C21" t="s">
        <v>104</v>
      </c>
    </row>
    <row r="22" spans="1:10" x14ac:dyDescent="0.25">
      <c r="H22" t="s">
        <v>305</v>
      </c>
      <c r="J22">
        <v>175</v>
      </c>
    </row>
    <row r="28" spans="1:10" x14ac:dyDescent="0.25">
      <c r="H28" t="s">
        <v>306</v>
      </c>
      <c r="J28">
        <v>172</v>
      </c>
    </row>
    <row r="30" spans="1:10" x14ac:dyDescent="0.25">
      <c r="H30" t="s">
        <v>307</v>
      </c>
      <c r="J30">
        <v>382</v>
      </c>
    </row>
    <row r="34" spans="9:15" x14ac:dyDescent="0.25">
      <c r="M34" t="s">
        <v>308</v>
      </c>
      <c r="O34">
        <v>542</v>
      </c>
    </row>
    <row r="41" spans="9:15" x14ac:dyDescent="0.25">
      <c r="I41" t="s">
        <v>309</v>
      </c>
      <c r="K41">
        <v>543</v>
      </c>
    </row>
    <row r="54" spans="1:13" x14ac:dyDescent="0.25">
      <c r="I54" t="s">
        <v>310</v>
      </c>
      <c r="K54">
        <v>539</v>
      </c>
    </row>
    <row r="60" spans="1:13" x14ac:dyDescent="0.25">
      <c r="A60" t="s">
        <v>109</v>
      </c>
      <c r="B60">
        <v>9.81</v>
      </c>
      <c r="C60" t="s">
        <v>110</v>
      </c>
      <c r="E60" t="s">
        <v>311</v>
      </c>
    </row>
    <row r="61" spans="1:13" x14ac:dyDescent="0.25">
      <c r="A61" t="s">
        <v>112</v>
      </c>
      <c r="B61">
        <f>(2.22*0.6+2.1*0.4)*0.001</f>
        <v>2.1720000000000003E-3</v>
      </c>
      <c r="C61" t="s">
        <v>113</v>
      </c>
      <c r="E61" s="5" t="s">
        <v>312</v>
      </c>
      <c r="M61" t="s">
        <v>313</v>
      </c>
    </row>
    <row r="62" spans="1:13" x14ac:dyDescent="0.25">
      <c r="A62" t="s">
        <v>121</v>
      </c>
      <c r="B62">
        <f>(3.212*0.75+3.455*0.25)*0.00001</f>
        <v>3.2727500000000008E-5</v>
      </c>
      <c r="C62" t="s">
        <v>122</v>
      </c>
      <c r="E62" t="s">
        <v>314</v>
      </c>
      <c r="G62" t="s">
        <v>315</v>
      </c>
    </row>
    <row r="63" spans="1:13" x14ac:dyDescent="0.25">
      <c r="A63" t="s">
        <v>316</v>
      </c>
      <c r="B63">
        <v>0.52700000000000002</v>
      </c>
      <c r="C63" t="s">
        <v>12</v>
      </c>
      <c r="E63" t="s">
        <v>317</v>
      </c>
    </row>
    <row r="64" spans="1:13" x14ac:dyDescent="0.25">
      <c r="A64" t="s">
        <v>94</v>
      </c>
      <c r="B64">
        <v>350</v>
      </c>
      <c r="C64" t="s">
        <v>95</v>
      </c>
    </row>
    <row r="65" spans="1:7" x14ac:dyDescent="0.25">
      <c r="A65" t="s">
        <v>318</v>
      </c>
      <c r="B65">
        <v>20</v>
      </c>
      <c r="C65" t="s">
        <v>95</v>
      </c>
    </row>
    <row r="66" spans="1:7" x14ac:dyDescent="0.25">
      <c r="A66" t="s">
        <v>131</v>
      </c>
      <c r="B66">
        <f>B60*B61*(B64-B65)*B63^3/B62^2</f>
        <v>960835301.26610267</v>
      </c>
    </row>
    <row r="68" spans="1:7" x14ac:dyDescent="0.25">
      <c r="A68" t="s">
        <v>319</v>
      </c>
    </row>
    <row r="69" spans="1:7" x14ac:dyDescent="0.25">
      <c r="A69" t="s">
        <v>142</v>
      </c>
      <c r="B69">
        <f>35*B63/B66^0.25</f>
        <v>0.10476504934352721</v>
      </c>
      <c r="C69" t="s">
        <v>12</v>
      </c>
    </row>
    <row r="70" spans="1:7" x14ac:dyDescent="0.25">
      <c r="A70" t="s">
        <v>320</v>
      </c>
      <c r="B70">
        <f>0.5*0.0254</f>
        <v>1.2699999999999999E-2</v>
      </c>
      <c r="C70" t="s">
        <v>12</v>
      </c>
    </row>
    <row r="71" spans="1:7" x14ac:dyDescent="0.25">
      <c r="A71" t="s">
        <v>321</v>
      </c>
    </row>
    <row r="73" spans="1:7" x14ac:dyDescent="0.25">
      <c r="A73" t="s">
        <v>322</v>
      </c>
    </row>
    <row r="74" spans="1:7" x14ac:dyDescent="0.25">
      <c r="A74" t="s">
        <v>36</v>
      </c>
      <c r="B74">
        <f>(0.6992*0.75+0.6974*0.25)</f>
        <v>0.69874999999999998</v>
      </c>
      <c r="E74" t="s">
        <v>314</v>
      </c>
      <c r="G74" t="s">
        <v>315</v>
      </c>
    </row>
    <row r="75" spans="1:7" x14ac:dyDescent="0.25">
      <c r="A75" t="s">
        <v>160</v>
      </c>
      <c r="B75">
        <f>4*B63/B70*(B66/4)^(-0.25)</f>
        <v>1.3332747234582918</v>
      </c>
      <c r="E75" s="5" t="s">
        <v>56</v>
      </c>
    </row>
    <row r="82" spans="1:7" x14ac:dyDescent="0.25">
      <c r="A82" t="s">
        <v>323</v>
      </c>
    </row>
    <row r="84" spans="1:7" x14ac:dyDescent="0.25">
      <c r="A84" t="s">
        <v>155</v>
      </c>
      <c r="B84">
        <f>B66*B74</f>
        <v>671383666.75968921</v>
      </c>
    </row>
    <row r="85" spans="1:7" x14ac:dyDescent="0.25">
      <c r="G85" t="s">
        <v>308</v>
      </c>
    </row>
    <row r="110" spans="1:2" x14ac:dyDescent="0.25">
      <c r="A110" t="s">
        <v>324</v>
      </c>
      <c r="B110">
        <f>0.68+0.67*B84^0.25/(1+(0.492/B74)^(9/16))^(4/9)</f>
        <v>83.30908905743992</v>
      </c>
    </row>
    <row r="111" spans="1:2" x14ac:dyDescent="0.25">
      <c r="A111" t="s">
        <v>325</v>
      </c>
      <c r="B111">
        <f>B110*(1+0.3*(32^0.5*B66^-0.25*B63/B70))^0.909</f>
        <v>113.11437808215878</v>
      </c>
    </row>
    <row r="116" spans="1:7" x14ac:dyDescent="0.25">
      <c r="A116" t="s">
        <v>16</v>
      </c>
      <c r="B116">
        <f>0.03646*0.75+0.03779*0.25</f>
        <v>3.6792499999999999E-2</v>
      </c>
      <c r="C116" t="s">
        <v>17</v>
      </c>
      <c r="E116" t="s">
        <v>326</v>
      </c>
      <c r="G116" t="s">
        <v>315</v>
      </c>
    </row>
    <row r="117" spans="1:7" x14ac:dyDescent="0.25">
      <c r="A117" t="s">
        <v>327</v>
      </c>
      <c r="B117">
        <f>B111*B116/B63</f>
        <v>7.8970792326144723</v>
      </c>
      <c r="C117" t="s">
        <v>170</v>
      </c>
      <c r="E117" t="s">
        <v>307</v>
      </c>
    </row>
    <row r="119" spans="1:7" x14ac:dyDescent="0.25">
      <c r="E119" t="s">
        <v>306</v>
      </c>
    </row>
    <row r="122" spans="1:7" x14ac:dyDescent="0.25">
      <c r="A122" t="s">
        <v>328</v>
      </c>
      <c r="B122">
        <f>B70*PI()</f>
        <v>3.9898226700590372E-2</v>
      </c>
      <c r="C122" t="s">
        <v>12</v>
      </c>
      <c r="E122" t="s">
        <v>329</v>
      </c>
    </row>
    <row r="123" spans="1:7" x14ac:dyDescent="0.25">
      <c r="A123" t="s">
        <v>330</v>
      </c>
      <c r="B123">
        <f>PI()/4*(B70^2-B16^2)</f>
        <v>2.4068605257131162E-5</v>
      </c>
      <c r="C123" t="s">
        <v>190</v>
      </c>
      <c r="E123" t="s">
        <v>331</v>
      </c>
    </row>
    <row r="124" spans="1:7" x14ac:dyDescent="0.25">
      <c r="A124" t="s">
        <v>16</v>
      </c>
      <c r="B124">
        <f>383*(200-23)/200+371*23/200</f>
        <v>381.62</v>
      </c>
      <c r="C124" t="s">
        <v>17</v>
      </c>
      <c r="E124" s="5" t="s">
        <v>19</v>
      </c>
      <c r="G124" t="s">
        <v>332</v>
      </c>
    </row>
    <row r="125" spans="1:7" x14ac:dyDescent="0.25">
      <c r="A125" t="s">
        <v>194</v>
      </c>
      <c r="B125">
        <f>(B117*B122/(B124*B123))^0.5</f>
        <v>5.8569163153769059</v>
      </c>
    </row>
    <row r="128" spans="1:7" x14ac:dyDescent="0.25">
      <c r="G128" t="s">
        <v>305</v>
      </c>
    </row>
    <row r="134" spans="1:5" x14ac:dyDescent="0.25">
      <c r="A134" t="s">
        <v>333</v>
      </c>
      <c r="B134">
        <v>350</v>
      </c>
      <c r="C134" t="s">
        <v>95</v>
      </c>
    </row>
    <row r="135" spans="1:5" x14ac:dyDescent="0.25">
      <c r="A135" t="s">
        <v>334</v>
      </c>
      <c r="B135">
        <v>50</v>
      </c>
      <c r="C135" t="s">
        <v>95</v>
      </c>
    </row>
    <row r="136" spans="1:5" x14ac:dyDescent="0.25">
      <c r="A136" t="s">
        <v>335</v>
      </c>
      <c r="B136">
        <f>(B117*B122*B124*B123)^0.5*(B134-B65)*(COSH(B125*B63)-(B135-B65)/(B134-B65))/SINH(B125*B63)</f>
        <v>17.679214219535925</v>
      </c>
      <c r="C136" t="s">
        <v>104</v>
      </c>
    </row>
    <row r="138" spans="1:5" x14ac:dyDescent="0.25">
      <c r="A138" t="s">
        <v>336</v>
      </c>
      <c r="B138">
        <v>2.6829999999999998</v>
      </c>
      <c r="C138" t="s">
        <v>104</v>
      </c>
      <c r="E138" t="s">
        <v>337</v>
      </c>
    </row>
    <row r="139" spans="1:5" x14ac:dyDescent="0.25">
      <c r="A139" t="s">
        <v>338</v>
      </c>
      <c r="B139">
        <f>B136/B138</f>
        <v>6.5893455905836475</v>
      </c>
    </row>
    <row r="145" spans="1:12" x14ac:dyDescent="0.25">
      <c r="A145" t="s">
        <v>339</v>
      </c>
    </row>
    <row r="147" spans="1:12" x14ac:dyDescent="0.25">
      <c r="A147" t="s">
        <v>340</v>
      </c>
    </row>
    <row r="148" spans="1:12" x14ac:dyDescent="0.25">
      <c r="H148" t="s">
        <v>341</v>
      </c>
    </row>
    <row r="152" spans="1:12" x14ac:dyDescent="0.25">
      <c r="A152" t="s">
        <v>335</v>
      </c>
      <c r="B152">
        <f>(B117*B122*B123*B124)^0.5*(B134-B65)</f>
        <v>17.752724364610138</v>
      </c>
      <c r="C152" t="s">
        <v>104</v>
      </c>
    </row>
    <row r="154" spans="1:12" x14ac:dyDescent="0.25">
      <c r="A154" t="s">
        <v>342</v>
      </c>
    </row>
    <row r="156" spans="1:12" x14ac:dyDescent="0.25">
      <c r="H156" t="s">
        <v>341</v>
      </c>
    </row>
    <row r="159" spans="1:12" x14ac:dyDescent="0.25">
      <c r="A159" t="s">
        <v>343</v>
      </c>
      <c r="L159" t="s">
        <v>344</v>
      </c>
    </row>
    <row r="162" spans="1:11" x14ac:dyDescent="0.25">
      <c r="A162" t="s">
        <v>345</v>
      </c>
      <c r="B162">
        <f>(B134-B65)/(B135-B65)</f>
        <v>11</v>
      </c>
    </row>
    <row r="163" spans="1:11" x14ac:dyDescent="0.25">
      <c r="A163" t="s">
        <v>346</v>
      </c>
      <c r="B163">
        <f>LN(B162+(B162^2-1)^0.5)/B125</f>
        <v>0.52740550462275493</v>
      </c>
      <c r="C163" t="s">
        <v>12</v>
      </c>
    </row>
    <row r="167" spans="1:11" x14ac:dyDescent="0.25">
      <c r="A167" t="s">
        <v>347</v>
      </c>
    </row>
    <row r="168" spans="1:11" x14ac:dyDescent="0.25">
      <c r="K168" t="s">
        <v>348</v>
      </c>
    </row>
    <row r="174" spans="1:11" x14ac:dyDescent="0.25">
      <c r="A174" t="s">
        <v>349</v>
      </c>
    </row>
    <row r="176" spans="1:11" x14ac:dyDescent="0.25">
      <c r="B176" t="s">
        <v>350</v>
      </c>
      <c r="C176" t="s">
        <v>351</v>
      </c>
    </row>
    <row r="177" spans="1:7" x14ac:dyDescent="0.25">
      <c r="A177" s="13" t="s">
        <v>352</v>
      </c>
      <c r="B177" s="13">
        <f>3/4</f>
        <v>0.75</v>
      </c>
      <c r="C177">
        <f>B177</f>
        <v>0.75</v>
      </c>
      <c r="D177" t="s">
        <v>72</v>
      </c>
    </row>
    <row r="178" spans="1:7" x14ac:dyDescent="0.25">
      <c r="A178" s="13" t="s">
        <v>353</v>
      </c>
      <c r="B178" s="13">
        <v>0.68</v>
      </c>
      <c r="C178">
        <f>B178</f>
        <v>0.68</v>
      </c>
      <c r="D178" t="s">
        <v>72</v>
      </c>
    </row>
    <row r="179" spans="1:7" x14ac:dyDescent="0.25">
      <c r="A179" s="13" t="s">
        <v>16</v>
      </c>
      <c r="B179" s="13">
        <v>20</v>
      </c>
      <c r="C179">
        <f>B179</f>
        <v>20</v>
      </c>
      <c r="D179" t="s">
        <v>17</v>
      </c>
    </row>
    <row r="180" spans="1:7" x14ac:dyDescent="0.25">
      <c r="A180" s="13" t="s">
        <v>94</v>
      </c>
      <c r="B180" s="13">
        <v>300</v>
      </c>
      <c r="C180" s="13">
        <v>50</v>
      </c>
      <c r="D180" s="13" t="s">
        <v>95</v>
      </c>
    </row>
    <row r="182" spans="1:7" x14ac:dyDescent="0.25">
      <c r="A182" t="s">
        <v>74</v>
      </c>
      <c r="B182">
        <f>B177*0.0254</f>
        <v>1.9049999999999997E-2</v>
      </c>
      <c r="C182">
        <f>B182</f>
        <v>1.9049999999999997E-2</v>
      </c>
      <c r="D182" t="s">
        <v>12</v>
      </c>
    </row>
    <row r="183" spans="1:7" x14ac:dyDescent="0.25">
      <c r="A183" t="s">
        <v>354</v>
      </c>
      <c r="B183">
        <v>9.81</v>
      </c>
      <c r="C183">
        <f>B183</f>
        <v>9.81</v>
      </c>
      <c r="D183" t="s">
        <v>110</v>
      </c>
    </row>
    <row r="184" spans="1:7" x14ac:dyDescent="0.25">
      <c r="A184" t="s">
        <v>355</v>
      </c>
      <c r="B184">
        <v>20</v>
      </c>
      <c r="C184">
        <v>20</v>
      </c>
      <c r="D184" t="s">
        <v>95</v>
      </c>
    </row>
    <row r="185" spans="1:7" x14ac:dyDescent="0.25">
      <c r="A185" t="s">
        <v>356</v>
      </c>
      <c r="B185" s="2">
        <v>2.1800000000000001E-3</v>
      </c>
      <c r="C185" s="2">
        <f>(3.32+3.21)/2*0.001</f>
        <v>3.2649999999999997E-3</v>
      </c>
      <c r="D185" t="s">
        <v>357</v>
      </c>
      <c r="F185" t="s">
        <v>312</v>
      </c>
      <c r="G185" t="s">
        <v>358</v>
      </c>
    </row>
    <row r="186" spans="1:7" x14ac:dyDescent="0.25">
      <c r="A186" t="s">
        <v>121</v>
      </c>
      <c r="B186" s="2">
        <f>(3.212*0.8+3.455*0.2)*0.00001</f>
        <v>3.2606000000000006E-5</v>
      </c>
      <c r="C186" s="2">
        <v>1.6549999999999999E-5</v>
      </c>
      <c r="D186" t="s">
        <v>122</v>
      </c>
      <c r="F186" t="s">
        <v>359</v>
      </c>
    </row>
    <row r="187" spans="1:7" x14ac:dyDescent="0.25">
      <c r="A187" t="s">
        <v>131</v>
      </c>
      <c r="B187" s="2">
        <f>B183*B185*(B180-B184)*B182^3/B186^2</f>
        <v>38937.9805579448</v>
      </c>
      <c r="C187" s="2">
        <f>C183*C185*(C180-C184)*C182^3/C186^2</f>
        <v>24252.828264765511</v>
      </c>
      <c r="F187" t="s">
        <v>132</v>
      </c>
    </row>
    <row r="189" spans="1:7" x14ac:dyDescent="0.25">
      <c r="A189" t="s">
        <v>360</v>
      </c>
      <c r="B189">
        <f>(0.6992*0.8+0.6974*0.2)</f>
        <v>0.69884000000000013</v>
      </c>
      <c r="C189">
        <v>0.7268</v>
      </c>
      <c r="F189" t="s">
        <v>359</v>
      </c>
    </row>
    <row r="190" spans="1:7" x14ac:dyDescent="0.25">
      <c r="A190" t="s">
        <v>361</v>
      </c>
      <c r="B190" s="2">
        <f>B189*B187</f>
        <v>27211.41833311415</v>
      </c>
      <c r="C190" s="2">
        <f>C189*C187</f>
        <v>17626.955582831572</v>
      </c>
      <c r="F190" t="s">
        <v>156</v>
      </c>
    </row>
    <row r="191" spans="1:7" x14ac:dyDescent="0.25">
      <c r="A191" t="s">
        <v>362</v>
      </c>
    </row>
    <row r="193" spans="1:18" x14ac:dyDescent="0.25">
      <c r="A193" t="s">
        <v>174</v>
      </c>
      <c r="B193" s="2">
        <f>(0.6+0.387*B190^(1/6)/(1+(0.559/B189)^(9/16))^(8/27))^2</f>
        <v>5.5687655994631733</v>
      </c>
      <c r="C193" s="2">
        <f>(0.6+0.387*C190^(1/6)/(1+(0.559/C189)^(9/16))^(8/27))^2</f>
        <v>5.0263917495429364</v>
      </c>
      <c r="F193" t="s">
        <v>363</v>
      </c>
    </row>
    <row r="194" spans="1:18" x14ac:dyDescent="0.25">
      <c r="A194" t="s">
        <v>16</v>
      </c>
      <c r="B194">
        <f>(0.03646*0.8+0.03779*0.2)</f>
        <v>3.6726000000000002E-2</v>
      </c>
      <c r="C194">
        <v>2.6249999999999999E-2</v>
      </c>
      <c r="D194" t="s">
        <v>17</v>
      </c>
      <c r="F194" t="s">
        <v>359</v>
      </c>
    </row>
    <row r="195" spans="1:18" x14ac:dyDescent="0.25">
      <c r="A195" t="s">
        <v>364</v>
      </c>
      <c r="B195" s="2">
        <f>B193*B194/B182</f>
        <v>10.735878498996565</v>
      </c>
      <c r="C195" s="2">
        <f>C193*C194/C182</f>
        <v>6.9261303635434173</v>
      </c>
      <c r="D195" t="s">
        <v>170</v>
      </c>
      <c r="F195" t="s">
        <v>365</v>
      </c>
    </row>
    <row r="197" spans="1:18" x14ac:dyDescent="0.25">
      <c r="A197" t="s">
        <v>30</v>
      </c>
      <c r="B197">
        <f>B178*0.0254</f>
        <v>1.7271999999999999E-2</v>
      </c>
      <c r="C197" t="s">
        <v>12</v>
      </c>
    </row>
    <row r="198" spans="1:18" x14ac:dyDescent="0.25">
      <c r="A198" t="s">
        <v>328</v>
      </c>
      <c r="B198">
        <f>B182*PI()</f>
        <v>5.9847340050885552E-2</v>
      </c>
      <c r="C198" t="s">
        <v>12</v>
      </c>
      <c r="F198" t="s">
        <v>329</v>
      </c>
      <c r="R198" t="s">
        <v>306</v>
      </c>
    </row>
    <row r="199" spans="1:18" x14ac:dyDescent="0.25">
      <c r="A199" t="s">
        <v>330</v>
      </c>
      <c r="B199">
        <f>0.25*PI()*(B182^2-B197^2)</f>
        <v>5.0721418657659488E-5</v>
      </c>
      <c r="C199" t="s">
        <v>190</v>
      </c>
      <c r="F199" t="s">
        <v>331</v>
      </c>
    </row>
    <row r="200" spans="1:18" x14ac:dyDescent="0.25">
      <c r="A200" t="s">
        <v>16</v>
      </c>
      <c r="B200">
        <f>383*(200-23)/200+371*23/200</f>
        <v>381.62</v>
      </c>
      <c r="C200">
        <f>401*50/127+392*77/127</f>
        <v>395.54330708661416</v>
      </c>
      <c r="D200" t="s">
        <v>17</v>
      </c>
      <c r="F200" s="5" t="s">
        <v>19</v>
      </c>
    </row>
    <row r="201" spans="1:18" x14ac:dyDescent="0.25">
      <c r="B201" s="2"/>
      <c r="C201" s="2"/>
    </row>
    <row r="202" spans="1:18" x14ac:dyDescent="0.25">
      <c r="A202" t="s">
        <v>345</v>
      </c>
      <c r="B202">
        <f>(B180-B184)/(C180-C184)</f>
        <v>9.3333333333333339</v>
      </c>
    </row>
    <row r="204" spans="1:18" x14ac:dyDescent="0.25">
      <c r="A204" t="s">
        <v>366</v>
      </c>
      <c r="B204" s="2">
        <f>(B195+C195)/2</f>
        <v>8.8310044312699905</v>
      </c>
      <c r="C204" t="s">
        <v>170</v>
      </c>
    </row>
    <row r="205" spans="1:18" x14ac:dyDescent="0.25">
      <c r="A205" t="s">
        <v>367</v>
      </c>
      <c r="B205">
        <f>B179</f>
        <v>20</v>
      </c>
      <c r="C205" t="s">
        <v>17</v>
      </c>
    </row>
    <row r="206" spans="1:18" x14ac:dyDescent="0.25">
      <c r="A206" t="s">
        <v>194</v>
      </c>
      <c r="B206" s="2">
        <f>(B204*B198/(B205*B199))^0.5</f>
        <v>22.825315215916802</v>
      </c>
    </row>
    <row r="207" spans="1:18" x14ac:dyDescent="0.25">
      <c r="A207" t="s">
        <v>368</v>
      </c>
      <c r="B207">
        <f>LN(B202+(B202^2-1)^0.5)</f>
        <v>2.9238570702466178</v>
      </c>
      <c r="E207" s="2"/>
    </row>
    <row r="208" spans="1:18" x14ac:dyDescent="0.25">
      <c r="A208" s="31" t="s">
        <v>346</v>
      </c>
      <c r="B208" s="32">
        <f>B207/B206</f>
        <v>0.12809711684541036</v>
      </c>
      <c r="C208" s="31" t="s">
        <v>12</v>
      </c>
    </row>
    <row r="211" spans="1:5" x14ac:dyDescent="0.25">
      <c r="A211" t="s">
        <v>369</v>
      </c>
      <c r="B211" s="2">
        <f>(B204*B205*B198*B199)^(0.5)*(B180-B184)*TANH(B206*B208)</f>
        <v>6.4459810261446009</v>
      </c>
      <c r="C211" t="s">
        <v>104</v>
      </c>
      <c r="E211" t="s">
        <v>370</v>
      </c>
    </row>
    <row r="231" spans="1:6" x14ac:dyDescent="0.25">
      <c r="A231" t="s">
        <v>384</v>
      </c>
      <c r="B231">
        <v>300</v>
      </c>
      <c r="C231" t="s">
        <v>95</v>
      </c>
    </row>
    <row r="232" spans="1:6" x14ac:dyDescent="0.25">
      <c r="B232" t="s">
        <v>371</v>
      </c>
      <c r="C232" t="s">
        <v>126</v>
      </c>
    </row>
    <row r="233" spans="1:6" x14ac:dyDescent="0.25">
      <c r="A233" t="s">
        <v>189</v>
      </c>
      <c r="B233">
        <f>B199</f>
        <v>5.0721418657659488E-5</v>
      </c>
      <c r="C233">
        <f>PI()*(B197/2)^2</f>
        <v>2.3430153833468292E-4</v>
      </c>
      <c r="D233" t="s">
        <v>190</v>
      </c>
    </row>
    <row r="234" spans="1:6" x14ac:dyDescent="0.25">
      <c r="A234" t="s">
        <v>146</v>
      </c>
      <c r="B234">
        <v>390</v>
      </c>
      <c r="C234">
        <v>14500</v>
      </c>
      <c r="D234" t="s">
        <v>179</v>
      </c>
      <c r="F234" t="s">
        <v>372</v>
      </c>
    </row>
    <row r="235" spans="1:6" x14ac:dyDescent="0.25">
      <c r="A235" t="s">
        <v>373</v>
      </c>
      <c r="B235">
        <v>8940</v>
      </c>
      <c r="C235">
        <v>7.5999999999999998E-2</v>
      </c>
      <c r="D235" t="s">
        <v>374</v>
      </c>
    </row>
    <row r="236" spans="1:6" x14ac:dyDescent="0.25">
      <c r="A236" t="s">
        <v>375</v>
      </c>
      <c r="B236">
        <f>B233*B235*B234*$B231</f>
        <v>53053.589487538673</v>
      </c>
      <c r="C236">
        <f t="shared" ref="C236" si="0">C233*C235*C234*$B231</f>
        <v>77.460088573446171</v>
      </c>
      <c r="D236" t="s">
        <v>383</v>
      </c>
    </row>
    <row r="238" spans="1:6" x14ac:dyDescent="0.25">
      <c r="A238" t="s">
        <v>376</v>
      </c>
      <c r="B238">
        <f>B236/C236</f>
        <v>684.91516682470967</v>
      </c>
    </row>
    <row r="240" spans="1:6" x14ac:dyDescent="0.25">
      <c r="B240" s="2"/>
    </row>
    <row r="252" spans="1:3" x14ac:dyDescent="0.25">
      <c r="A252" s="33" t="s">
        <v>377</v>
      </c>
    </row>
    <row r="253" spans="1:3" x14ac:dyDescent="0.25">
      <c r="A253" t="s">
        <v>25</v>
      </c>
      <c r="B253">
        <f>0.02/10/60/1000</f>
        <v>3.3333333333333334E-8</v>
      </c>
      <c r="C253" t="s">
        <v>26</v>
      </c>
    </row>
    <row r="254" spans="1:3" x14ac:dyDescent="0.25">
      <c r="A254" t="s">
        <v>378</v>
      </c>
      <c r="B254">
        <f>PI()/4*B197^2</f>
        <v>2.3430153833468292E-4</v>
      </c>
      <c r="C254" t="s">
        <v>190</v>
      </c>
    </row>
    <row r="255" spans="1:3" x14ac:dyDescent="0.25">
      <c r="A255" t="s">
        <v>379</v>
      </c>
      <c r="B255">
        <f>B253/C235</f>
        <v>4.3859649122807019E-7</v>
      </c>
      <c r="C255" t="s">
        <v>380</v>
      </c>
    </row>
    <row r="256" spans="1:3" x14ac:dyDescent="0.25">
      <c r="A256" t="s">
        <v>381</v>
      </c>
      <c r="B256">
        <f>B255/B254</f>
        <v>1.8719317608643551E-3</v>
      </c>
      <c r="C256" t="s">
        <v>382</v>
      </c>
    </row>
  </sheetData>
  <hyperlinks>
    <hyperlink ref="E61" r:id="rId1" xr:uid="{231676AF-4995-4077-AAFE-9942009B22F7}"/>
    <hyperlink ref="E75" r:id="rId2" xr:uid="{3746EBA9-4A24-478E-8784-542A6BC90810}"/>
    <hyperlink ref="E124" r:id="rId3" xr:uid="{C456A022-4460-49F9-9977-F7C9FF929089}"/>
    <hyperlink ref="F200" r:id="rId4" xr:uid="{A129710A-FC02-4EF1-AE58-5A46173591FF}"/>
  </hyperlinks>
  <pageMargins left="0.7" right="0.7" top="0.75" bottom="0.75" header="0.3" footer="0.3"/>
  <pageSetup orientation="portrait" horizontalDpi="300" verticalDpi="30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2651-1E3C-49DB-B708-4ADDBA5EBE99}">
  <dimension ref="B3:S71"/>
  <sheetViews>
    <sheetView tabSelected="1" topLeftCell="A19" zoomScale="97" zoomScaleNormal="100" workbookViewId="0">
      <selection activeCell="C14" sqref="C14"/>
    </sheetView>
  </sheetViews>
  <sheetFormatPr defaultRowHeight="15" x14ac:dyDescent="0.25"/>
  <cols>
    <col min="2" max="2" width="27.42578125" customWidth="1"/>
    <col min="3" max="3" width="15.42578125" customWidth="1"/>
    <col min="4" max="4" width="14" customWidth="1"/>
    <col min="5" max="5" width="10.85546875" customWidth="1"/>
  </cols>
  <sheetData>
    <row r="3" spans="2:12" x14ac:dyDescent="0.25">
      <c r="L3" t="s">
        <v>348</v>
      </c>
    </row>
    <row r="9" spans="2:12" x14ac:dyDescent="0.25">
      <c r="B9" t="s">
        <v>349</v>
      </c>
    </row>
    <row r="11" spans="2:12" x14ac:dyDescent="0.25">
      <c r="B11" s="13" t="s">
        <v>352</v>
      </c>
      <c r="C11" s="13">
        <f>3/4</f>
        <v>0.75</v>
      </c>
      <c r="D11" t="s">
        <v>72</v>
      </c>
    </row>
    <row r="12" spans="2:12" x14ac:dyDescent="0.25">
      <c r="B12" s="13" t="s">
        <v>353</v>
      </c>
      <c r="C12" s="13">
        <v>0.68</v>
      </c>
      <c r="D12" t="s">
        <v>72</v>
      </c>
      <c r="G12">
        <f>0.75*PI()*0.0254</f>
        <v>5.9847340050885559E-2</v>
      </c>
      <c r="J12">
        <f>17*0.0254</f>
        <v>0.43179999999999996</v>
      </c>
    </row>
    <row r="13" spans="2:12" x14ac:dyDescent="0.25">
      <c r="B13" s="13" t="s">
        <v>16</v>
      </c>
      <c r="C13" s="13">
        <v>20</v>
      </c>
      <c r="D13" t="s">
        <v>17</v>
      </c>
      <c r="J13">
        <f>(1500-32)*5/9</f>
        <v>815.55555555555554</v>
      </c>
    </row>
    <row r="14" spans="2:12" x14ac:dyDescent="0.25">
      <c r="B14" s="13" t="s">
        <v>388</v>
      </c>
      <c r="C14" s="13">
        <v>350</v>
      </c>
      <c r="D14" t="s">
        <v>95</v>
      </c>
    </row>
    <row r="15" spans="2:12" x14ac:dyDescent="0.25">
      <c r="B15" s="13" t="s">
        <v>389</v>
      </c>
      <c r="C15" s="13">
        <v>50</v>
      </c>
      <c r="D15" t="s">
        <v>95</v>
      </c>
    </row>
    <row r="17" spans="2:12" x14ac:dyDescent="0.25">
      <c r="B17" t="s">
        <v>74</v>
      </c>
      <c r="C17">
        <f>C11*0.0254</f>
        <v>1.9049999999999997E-2</v>
      </c>
      <c r="D17" t="s">
        <v>12</v>
      </c>
    </row>
    <row r="18" spans="2:12" x14ac:dyDescent="0.25">
      <c r="B18" t="s">
        <v>354</v>
      </c>
      <c r="C18">
        <v>9.81</v>
      </c>
      <c r="D18" t="s">
        <v>110</v>
      </c>
    </row>
    <row r="19" spans="2:12" x14ac:dyDescent="0.25">
      <c r="B19" t="s">
        <v>355</v>
      </c>
      <c r="C19">
        <v>20</v>
      </c>
      <c r="D19" t="s">
        <v>95</v>
      </c>
    </row>
    <row r="20" spans="2:12" x14ac:dyDescent="0.25">
      <c r="J20" t="s">
        <v>350</v>
      </c>
      <c r="K20" t="s">
        <v>351</v>
      </c>
    </row>
    <row r="21" spans="2:12" x14ac:dyDescent="0.25">
      <c r="C21" t="s">
        <v>390</v>
      </c>
      <c r="D21" t="s">
        <v>391</v>
      </c>
      <c r="K21">
        <f>C11</f>
        <v>0.75</v>
      </c>
      <c r="L21" t="s">
        <v>72</v>
      </c>
    </row>
    <row r="22" spans="2:12" x14ac:dyDescent="0.25">
      <c r="B22" t="s">
        <v>356</v>
      </c>
      <c r="C22" s="2">
        <v>1.6000000000000001E-3</v>
      </c>
      <c r="D22" s="2">
        <v>3.0959999999999998E-3</v>
      </c>
      <c r="E22" t="s">
        <v>357</v>
      </c>
      <c r="K22">
        <f>C12</f>
        <v>0.68</v>
      </c>
      <c r="L22" t="s">
        <v>72</v>
      </c>
    </row>
    <row r="23" spans="2:12" x14ac:dyDescent="0.25">
      <c r="B23" t="s">
        <v>121</v>
      </c>
      <c r="C23" s="2">
        <f>(3.212*0.8+3.455*0.2)*0.00001</f>
        <v>3.2606000000000006E-5</v>
      </c>
      <c r="D23" s="2">
        <v>1.6549999999999999E-5</v>
      </c>
      <c r="E23" t="s">
        <v>122</v>
      </c>
      <c r="K23">
        <f>C13</f>
        <v>20</v>
      </c>
      <c r="L23" t="s">
        <v>17</v>
      </c>
    </row>
    <row r="24" spans="2:12" x14ac:dyDescent="0.25">
      <c r="B24" t="s">
        <v>131</v>
      </c>
      <c r="C24" s="2">
        <f>C18*C22*(C14-C19)*C17^3/C23^2</f>
        <v>33681.608346321838</v>
      </c>
      <c r="D24" s="2">
        <f>K26*D22*(K24-K27)*K25^3/D23^2</f>
        <v>22997.475132531094</v>
      </c>
      <c r="K24" s="13">
        <v>50</v>
      </c>
      <c r="L24" s="13" t="s">
        <v>95</v>
      </c>
    </row>
    <row r="25" spans="2:12" x14ac:dyDescent="0.25">
      <c r="B25" t="s">
        <v>360</v>
      </c>
      <c r="C25">
        <f>(0.6992*0.8+0.6974*0.2)</f>
        <v>0.69884000000000013</v>
      </c>
      <c r="D25">
        <v>0.7268</v>
      </c>
      <c r="K25">
        <f>C17</f>
        <v>1.9049999999999997E-2</v>
      </c>
      <c r="L25" t="s">
        <v>12</v>
      </c>
    </row>
    <row r="26" spans="2:12" x14ac:dyDescent="0.25">
      <c r="B26" t="s">
        <v>361</v>
      </c>
      <c r="C26" s="2">
        <f>C25*C24</f>
        <v>23538.055176743557</v>
      </c>
      <c r="D26" s="2">
        <f>D25*D24</f>
        <v>16714.564926323597</v>
      </c>
      <c r="K26">
        <f>C18</f>
        <v>9.81</v>
      </c>
      <c r="L26" t="s">
        <v>110</v>
      </c>
    </row>
    <row r="27" spans="2:12" x14ac:dyDescent="0.25">
      <c r="B27" t="s">
        <v>362</v>
      </c>
      <c r="K27">
        <v>20</v>
      </c>
      <c r="L27" t="s">
        <v>95</v>
      </c>
    </row>
    <row r="29" spans="2:12" x14ac:dyDescent="0.25">
      <c r="B29" t="s">
        <v>174</v>
      </c>
      <c r="C29" s="38">
        <f>(0.6+0.387*C26^(1/6)/(1+(0.559/C25)^(9/16))^(8/27))^2</f>
        <v>5.3721909112193025</v>
      </c>
      <c r="D29" s="38">
        <f>(0.6+0.387*D26^(1/6)/(1+(0.559/D25)^(9/16))^(8/27))^2</f>
        <v>4.9616720436265966</v>
      </c>
    </row>
    <row r="30" spans="2:12" x14ac:dyDescent="0.25">
      <c r="B30" t="s">
        <v>392</v>
      </c>
      <c r="C30" s="39">
        <f>(0.03646*0.8+0.03779*0.2)</f>
        <v>3.6726000000000002E-2</v>
      </c>
      <c r="D30" s="39">
        <v>2.6249999999999999E-2</v>
      </c>
      <c r="E30" t="s">
        <v>17</v>
      </c>
      <c r="G30" t="s">
        <v>312</v>
      </c>
      <c r="H30" t="s">
        <v>358</v>
      </c>
    </row>
    <row r="31" spans="2:12" x14ac:dyDescent="0.25">
      <c r="B31" s="40" t="s">
        <v>364</v>
      </c>
      <c r="C31" s="41">
        <f>C29*C30/C17</f>
        <v>10.356907265377435</v>
      </c>
      <c r="D31" s="41">
        <f>D29*D30/K25</f>
        <v>6.8369496664146023</v>
      </c>
      <c r="E31" s="40" t="s">
        <v>170</v>
      </c>
      <c r="G31" t="s">
        <v>359</v>
      </c>
    </row>
    <row r="32" spans="2:12" x14ac:dyDescent="0.25">
      <c r="G32" t="s">
        <v>132</v>
      </c>
    </row>
    <row r="33" spans="2:19" x14ac:dyDescent="0.25">
      <c r="B33" t="s">
        <v>30</v>
      </c>
      <c r="C33" s="39">
        <f>C12*0.0254</f>
        <v>1.7271999999999999E-2</v>
      </c>
      <c r="D33" t="s">
        <v>12</v>
      </c>
    </row>
    <row r="34" spans="2:19" x14ac:dyDescent="0.25">
      <c r="B34" t="s">
        <v>328</v>
      </c>
      <c r="C34" s="39">
        <f>C17*PI()</f>
        <v>5.9847340050885552E-2</v>
      </c>
      <c r="D34" t="s">
        <v>12</v>
      </c>
      <c r="G34" t="s">
        <v>359</v>
      </c>
    </row>
    <row r="35" spans="2:19" x14ac:dyDescent="0.25">
      <c r="B35" t="s">
        <v>330</v>
      </c>
      <c r="C35">
        <f>0.25*PI()*(C17^2-C33^2)</f>
        <v>5.0721418657659488E-5</v>
      </c>
      <c r="D35" t="s">
        <v>190</v>
      </c>
      <c r="G35" t="s">
        <v>156</v>
      </c>
    </row>
    <row r="36" spans="2:19" x14ac:dyDescent="0.25">
      <c r="B36" t="s">
        <v>345</v>
      </c>
      <c r="C36">
        <f>(C14-C19)/(K24-K27)</f>
        <v>11</v>
      </c>
    </row>
    <row r="37" spans="2:19" x14ac:dyDescent="0.25">
      <c r="B37" t="s">
        <v>366</v>
      </c>
      <c r="C37" s="34">
        <f>(C31+D31)/2</f>
        <v>8.5969284658960188</v>
      </c>
      <c r="D37" t="s">
        <v>170</v>
      </c>
    </row>
    <row r="38" spans="2:19" x14ac:dyDescent="0.25">
      <c r="C38" s="34"/>
    </row>
    <row r="39" spans="2:19" x14ac:dyDescent="0.25">
      <c r="B39" t="s">
        <v>393</v>
      </c>
      <c r="C39" s="34">
        <f>(C31*$C34/($C13*$C35))^0.5</f>
        <v>24.718765431331303</v>
      </c>
      <c r="D39" s="34">
        <f>(D31*$C34/($C13*$C35))^0.5</f>
        <v>20.083662926550709</v>
      </c>
    </row>
    <row r="40" spans="2:19" x14ac:dyDescent="0.25">
      <c r="B40" t="s">
        <v>194</v>
      </c>
      <c r="C40" s="2">
        <f>(C37*C34/(C50*C35))^0.5</f>
        <v>22.520777972757589</v>
      </c>
      <c r="D40" s="2"/>
      <c r="G40" t="s">
        <v>363</v>
      </c>
    </row>
    <row r="41" spans="2:19" x14ac:dyDescent="0.25">
      <c r="B41" t="s">
        <v>368</v>
      </c>
      <c r="C41" s="34">
        <f>LN(C36+(C36^2-1)^0.5)</f>
        <v>3.0889699048446033</v>
      </c>
      <c r="G41" t="s">
        <v>359</v>
      </c>
    </row>
    <row r="42" spans="2:19" x14ac:dyDescent="0.25">
      <c r="B42" t="s">
        <v>346</v>
      </c>
      <c r="C42" s="43">
        <f>C41/C40</f>
        <v>0.13716088798447357</v>
      </c>
      <c r="D42" t="s">
        <v>12</v>
      </c>
      <c r="G42" t="s">
        <v>365</v>
      </c>
    </row>
    <row r="43" spans="2:19" x14ac:dyDescent="0.25">
      <c r="C43" s="38">
        <f>C42/0.0254</f>
        <v>5.4000349600186448</v>
      </c>
      <c r="D43" t="s">
        <v>72</v>
      </c>
    </row>
    <row r="45" spans="2:19" x14ac:dyDescent="0.25">
      <c r="B45" s="40" t="s">
        <v>394</v>
      </c>
      <c r="C45" s="42">
        <f>$C41/C39</f>
        <v>0.1249645704768613</v>
      </c>
      <c r="D45" s="42">
        <f>$C41/D39</f>
        <v>0.15380510597800209</v>
      </c>
      <c r="E45" s="40" t="s">
        <v>12</v>
      </c>
      <c r="G45" t="s">
        <v>329</v>
      </c>
      <c r="S45" t="s">
        <v>306</v>
      </c>
    </row>
    <row r="46" spans="2:19" x14ac:dyDescent="0.25">
      <c r="C46" s="42">
        <f>C45/0.0254</f>
        <v>4.9198649794039886</v>
      </c>
      <c r="D46" s="42">
        <f>D45/0.0254</f>
        <v>6.0553191329922083</v>
      </c>
      <c r="E46" s="40" t="s">
        <v>72</v>
      </c>
      <c r="G46" t="s">
        <v>331</v>
      </c>
    </row>
    <row r="47" spans="2:19" x14ac:dyDescent="0.25">
      <c r="G47" s="5" t="s">
        <v>19</v>
      </c>
    </row>
    <row r="50" spans="2:7" x14ac:dyDescent="0.25">
      <c r="B50" t="s">
        <v>367</v>
      </c>
      <c r="C50">
        <f>C13</f>
        <v>20</v>
      </c>
      <c r="D50" t="s">
        <v>17</v>
      </c>
    </row>
    <row r="54" spans="2:7" x14ac:dyDescent="0.25">
      <c r="F54" s="2"/>
    </row>
    <row r="58" spans="2:7" x14ac:dyDescent="0.25">
      <c r="B58" t="s">
        <v>369</v>
      </c>
      <c r="C58" s="2">
        <f>(C37*C50*C34*C35)^(0.5)*(C14-C19)*TANH(C40*C42)</f>
        <v>7.5078684502600082</v>
      </c>
      <c r="D58" t="s">
        <v>104</v>
      </c>
      <c r="G58" t="s">
        <v>370</v>
      </c>
    </row>
    <row r="61" spans="2:7" x14ac:dyDescent="0.25">
      <c r="B61" t="s">
        <v>385</v>
      </c>
      <c r="C61">
        <v>350</v>
      </c>
      <c r="D61" t="s">
        <v>95</v>
      </c>
    </row>
    <row r="62" spans="2:7" x14ac:dyDescent="0.25">
      <c r="B62" t="s">
        <v>386</v>
      </c>
      <c r="C62">
        <v>50</v>
      </c>
      <c r="D62" t="s">
        <v>95</v>
      </c>
    </row>
    <row r="63" spans="2:7" x14ac:dyDescent="0.25">
      <c r="B63" t="s">
        <v>384</v>
      </c>
      <c r="C63">
        <f>C61-C62</f>
        <v>300</v>
      </c>
      <c r="D63" t="s">
        <v>95</v>
      </c>
    </row>
    <row r="65" spans="2:8" x14ac:dyDescent="0.25">
      <c r="C65" t="s">
        <v>371</v>
      </c>
      <c r="D65" t="s">
        <v>126</v>
      </c>
    </row>
    <row r="66" spans="2:8" x14ac:dyDescent="0.25">
      <c r="B66" t="s">
        <v>189</v>
      </c>
      <c r="C66" s="2">
        <f>C35</f>
        <v>5.0721418657659488E-5</v>
      </c>
      <c r="D66" s="2">
        <f>PI()*(C33/2)^2</f>
        <v>2.3430153833468292E-4</v>
      </c>
      <c r="E66" t="s">
        <v>190</v>
      </c>
    </row>
    <row r="67" spans="2:8" x14ac:dyDescent="0.25">
      <c r="B67" t="s">
        <v>146</v>
      </c>
      <c r="C67">
        <v>468</v>
      </c>
      <c r="D67">
        <v>14500</v>
      </c>
      <c r="E67" t="s">
        <v>179</v>
      </c>
      <c r="G67" t="s">
        <v>372</v>
      </c>
      <c r="H67" t="s">
        <v>387</v>
      </c>
    </row>
    <row r="68" spans="2:8" x14ac:dyDescent="0.25">
      <c r="B68" t="s">
        <v>373</v>
      </c>
      <c r="C68">
        <v>7500</v>
      </c>
      <c r="D68">
        <v>7.5999999999999998E-2</v>
      </c>
      <c r="E68" t="s">
        <v>374</v>
      </c>
    </row>
    <row r="69" spans="2:8" x14ac:dyDescent="0.25">
      <c r="B69" t="s">
        <v>375</v>
      </c>
      <c r="C69" s="35">
        <f>C66*C68*C67*$C63</f>
        <v>53409.653846515437</v>
      </c>
      <c r="D69" s="35">
        <f>D66*D68*D67*$C63</f>
        <v>77.460088573446171</v>
      </c>
      <c r="E69" t="s">
        <v>383</v>
      </c>
    </row>
    <row r="71" spans="2:8" x14ac:dyDescent="0.25">
      <c r="B71" s="36" t="s">
        <v>376</v>
      </c>
      <c r="C71" s="37">
        <f>C69/D69</f>
        <v>689.51191291078146</v>
      </c>
    </row>
  </sheetData>
  <hyperlinks>
    <hyperlink ref="G47" r:id="rId1" xr:uid="{53B7D598-2DA2-4BD1-84CB-D6DC47092335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3EF7AE-13AC-44E1-A943-1B24FCB81A2E}">
  <ds:schemaRefs>
    <ds:schemaRef ds:uri="http://purl.org/dc/dcmitype/"/>
    <ds:schemaRef ds:uri="c16edb20-3aa4-4afe-a476-0df01e7c613c"/>
    <ds:schemaRef ds:uri="a177c1b8-29a0-45e9-aae7-bf99dab4fe04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1DCA2E0-5751-43F8-9AB9-D045F9898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80DD18-0F22-40EA-B5FF-614CBA4E9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edb20-3aa4-4afe-a476-0df01e7c613c"/>
    <ds:schemaRef ds:uri="a177c1b8-29a0-45e9-aae7-bf99dab4f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Starting Stuff</vt:lpstr>
      <vt:lpstr>Solutions</vt:lpstr>
      <vt:lpstr>DRVP Math</vt:lpstr>
      <vt:lpstr>Delta PDR 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Wolf, Jacob D.</dc:creator>
  <cp:keywords/>
  <dc:description/>
  <cp:lastModifiedBy>Jacob Wolf</cp:lastModifiedBy>
  <cp:revision/>
  <dcterms:created xsi:type="dcterms:W3CDTF">2022-11-21T17:06:09Z</dcterms:created>
  <dcterms:modified xsi:type="dcterms:W3CDTF">2023-03-20T21:44:59Z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0x010100EA34C7BF29C09A459847F473FC62647D</vt:lpwstr>
  </property>
  <property fmtid="{D5CDD505-2E9C-101B-9397-08002B2CF9AE}" pid="3" name="MediaServiceImageTags">
    <vt:lpwstr/>
  </property>
</Properties>
</file>