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柱機器學習\"/>
    </mc:Choice>
  </mc:AlternateContent>
  <xr:revisionPtr revIDLastSave="0" documentId="13_ncr:1_{31DDAA15-8CF9-482E-B47C-0E5A24913BD0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建築資訊" sheetId="5" r:id="rId1"/>
    <sheet name="建築資訊-雜項" sheetId="8" state="hidden" r:id="rId2"/>
    <sheet name="計算重量" sheetId="9" state="hidden" r:id="rId3"/>
    <sheet name="雙筋梁" sheetId="1" r:id="rId4"/>
    <sheet name="梁-過程雜項" sheetId="2" state="hidden" r:id="rId5"/>
    <sheet name="柱" sheetId="4" r:id="rId6"/>
    <sheet name="柱-過程雜項" sheetId="6" state="hidden" r:id="rId7"/>
    <sheet name="AI塑鉸預測" sheetId="7" r:id="rId8"/>
    <sheet name="RC梁彎矩塑鉸查表" sheetId="10" r:id="rId9"/>
    <sheet name="鋼筋號數" sheetId="3" r:id="rId10"/>
  </sheets>
  <externalReferences>
    <externalReference r:id="rId11"/>
  </externalReferences>
  <definedNames>
    <definedName name="_xlnm._FilterDatabase" localSheetId="0" hidden="1">建築資訊!$E$2:$R$3</definedName>
    <definedName name="_xlnm._FilterDatabase" localSheetId="3" hidden="1">雙筋梁!$E$9:$F$9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" i="7" l="1"/>
  <c r="AH3" i="7"/>
  <c r="AS3" i="7" s="1"/>
  <c r="X3" i="7"/>
  <c r="W3" i="7" s="1"/>
  <c r="O3" i="7"/>
  <c r="M3" i="7"/>
  <c r="L3" i="7"/>
  <c r="I3" i="7"/>
  <c r="B4" i="4"/>
  <c r="B5" i="5" s="1"/>
  <c r="B6" i="4"/>
  <c r="B7" i="4"/>
  <c r="B8" i="4"/>
  <c r="B5" i="4"/>
  <c r="B1" i="6" s="1"/>
  <c r="B5" i="9"/>
  <c r="G2" i="6"/>
  <c r="F11" i="1"/>
  <c r="I5" i="1"/>
  <c r="F9" i="1" s="1"/>
  <c r="E7" i="2"/>
  <c r="B6" i="1"/>
  <c r="I9" i="1"/>
  <c r="B4" i="9" l="1"/>
  <c r="B11" i="9"/>
  <c r="B9" i="9"/>
  <c r="B10" i="9"/>
  <c r="B3" i="9"/>
  <c r="B10" i="4"/>
  <c r="B2" i="6" s="1"/>
  <c r="E8" i="2"/>
  <c r="J3" i="4"/>
  <c r="E3" i="9" l="1"/>
  <c r="F7" i="4" s="1"/>
  <c r="E9" i="9"/>
  <c r="E3" i="2"/>
  <c r="B44" i="6" l="1"/>
  <c r="B11" i="1"/>
  <c r="B12" i="2"/>
  <c r="B11" i="4"/>
  <c r="F6" i="1"/>
  <c r="F9" i="2" s="1"/>
  <c r="F4" i="4"/>
  <c r="J4" i="4" s="1"/>
  <c r="A6" i="6"/>
  <c r="B9" i="4"/>
  <c r="E27" i="2" l="1"/>
  <c r="B43" i="6"/>
  <c r="B45" i="6" s="1"/>
  <c r="B46" i="6" s="1"/>
  <c r="B42" i="6"/>
  <c r="E31" i="2"/>
  <c r="B14" i="6"/>
  <c r="C14" i="6" s="1"/>
  <c r="B17" i="6"/>
  <c r="C17" i="6" s="1"/>
  <c r="B3" i="6"/>
  <c r="C3" i="6" s="1"/>
  <c r="B18" i="6"/>
  <c r="C18" i="6" s="1"/>
  <c r="B4" i="6"/>
  <c r="C4" i="6" s="1"/>
  <c r="B5" i="6"/>
  <c r="C5" i="6" s="1"/>
  <c r="B7" i="6"/>
  <c r="C7" i="6" s="1"/>
  <c r="B10" i="6"/>
  <c r="C10" i="6" s="1"/>
  <c r="B8" i="6"/>
  <c r="C8" i="6" s="1"/>
  <c r="B11" i="6"/>
  <c r="C11" i="6" s="1"/>
  <c r="B6" i="6"/>
  <c r="C6" i="6" s="1"/>
  <c r="B12" i="6"/>
  <c r="C12" i="6" s="1"/>
  <c r="B9" i="6"/>
  <c r="C9" i="6" s="1"/>
  <c r="B13" i="6"/>
  <c r="C13" i="6" s="1"/>
  <c r="B15" i="6"/>
  <c r="C15" i="6" s="1"/>
  <c r="B16" i="6"/>
  <c r="C16" i="6" s="1"/>
  <c r="E15" i="6" l="1" a="1"/>
  <c r="E15" i="6" s="1"/>
  <c r="G15" i="6" s="1" a="1"/>
  <c r="G15" i="6" s="1"/>
  <c r="E21" i="6" a="1"/>
  <c r="E21" i="6" s="1"/>
  <c r="G21" i="6" s="1" a="1"/>
  <c r="G21" i="6" s="1"/>
  <c r="E12" i="6" a="1"/>
  <c r="E12" i="6" s="1"/>
  <c r="G12" i="6" s="1" a="1"/>
  <c r="G12" i="6" s="1"/>
  <c r="E20" i="6" a="1"/>
  <c r="E20" i="6" s="1"/>
  <c r="G20" i="6" s="1" a="1"/>
  <c r="G20" i="6" s="1"/>
  <c r="E26" i="6" a="1"/>
  <c r="E26" i="6" s="1"/>
  <c r="G26" i="6" s="1" a="1"/>
  <c r="G26" i="6" s="1"/>
  <c r="E25" i="6" a="1"/>
  <c r="E25" i="6" s="1"/>
  <c r="G25" i="6" s="1" a="1"/>
  <c r="G25" i="6" s="1"/>
  <c r="E22" i="6" a="1"/>
  <c r="E22" i="6" s="1"/>
  <c r="G22" i="6" s="1" a="1"/>
  <c r="G22" i="6" s="1"/>
  <c r="E18" i="6" a="1"/>
  <c r="E18" i="6" s="1"/>
  <c r="G18" i="6" s="1" a="1"/>
  <c r="G18" i="6" s="1"/>
  <c r="E23" i="6" a="1"/>
  <c r="E23" i="6" s="1"/>
  <c r="G23" i="6" s="1" a="1"/>
  <c r="G23" i="6" s="1"/>
  <c r="E16" i="6" a="1"/>
  <c r="E16" i="6" s="1"/>
  <c r="G16" i="6" s="1" a="1"/>
  <c r="G16" i="6" s="1"/>
  <c r="E24" i="6" a="1"/>
  <c r="E24" i="6" s="1"/>
  <c r="G24" i="6" s="1" a="1"/>
  <c r="G24" i="6" s="1"/>
  <c r="E13" i="6" a="1"/>
  <c r="E13" i="6" s="1"/>
  <c r="G13" i="6" s="1" a="1"/>
  <c r="G13" i="6" s="1"/>
  <c r="E17" i="6" a="1"/>
  <c r="E17" i="6" s="1"/>
  <c r="G17" i="6" s="1" a="1"/>
  <c r="G17" i="6" s="1"/>
  <c r="E14" i="6" a="1"/>
  <c r="E14" i="6" s="1"/>
  <c r="G14" i="6" s="1" a="1"/>
  <c r="G14" i="6" s="1"/>
  <c r="E19" i="6" a="1"/>
  <c r="E19" i="6" s="1"/>
  <c r="G19" i="6" s="1" a="1"/>
  <c r="G19" i="6" s="1"/>
  <c r="C2" i="6"/>
  <c r="E11" i="6" s="1" a="1"/>
  <c r="E11" i="6" s="1"/>
  <c r="B47" i="6"/>
  <c r="G34" i="6" l="1"/>
  <c r="H34" i="6"/>
  <c r="B12" i="4"/>
  <c r="B17" i="1"/>
  <c r="B13" i="1"/>
  <c r="E40" i="2" s="1"/>
  <c r="B9" i="1"/>
  <c r="B10" i="1" s="1"/>
  <c r="I13" i="1" s="1"/>
  <c r="B12" i="1"/>
  <c r="B16" i="1" s="1"/>
  <c r="B14" i="2"/>
  <c r="I4" i="1"/>
  <c r="E2" i="2" s="1"/>
  <c r="F4" i="2" s="1"/>
  <c r="F34" i="6" l="1"/>
  <c r="L34" i="6"/>
  <c r="E41" i="2"/>
  <c r="F7" i="1"/>
  <c r="E30" i="2"/>
  <c r="E35" i="2" s="1"/>
  <c r="F30" i="2"/>
  <c r="F35" i="2" s="1"/>
  <c r="E25" i="2"/>
  <c r="E29" i="2"/>
  <c r="D35" i="2" s="1"/>
  <c r="E26" i="2"/>
  <c r="B15" i="2"/>
  <c r="D15" i="2" s="1"/>
  <c r="B17" i="2"/>
  <c r="D17" i="2" s="1"/>
  <c r="B18" i="2" s="1"/>
  <c r="D18" i="2" s="1"/>
  <c r="B16" i="2"/>
  <c r="D16" i="2" s="1"/>
  <c r="B15" i="1"/>
  <c r="E37" i="2" l="1"/>
  <c r="E38" i="2"/>
  <c r="F10" i="1"/>
  <c r="B19" i="2"/>
  <c r="A21" i="2" s="1" a="1"/>
  <c r="A21" i="2" s="1"/>
  <c r="H8" i="2"/>
  <c r="I10" i="1" s="1"/>
  <c r="H3" i="2"/>
  <c r="I11" i="1" s="1"/>
  <c r="F12" i="1" l="1"/>
  <c r="F13" i="1" s="1"/>
  <c r="A22" i="2" a="1"/>
  <c r="A22" i="2" s="1"/>
  <c r="B22" i="2" a="1"/>
  <c r="B22" i="2" s="1"/>
  <c r="B25" i="2" s="1"/>
  <c r="F16" i="1" l="1" a="1"/>
  <c r="F16" i="1" s="1"/>
  <c r="B24" i="2"/>
  <c r="L24" i="2" a="1"/>
  <c r="L24" i="2" s="1"/>
  <c r="H29" i="2" s="1"/>
  <c r="F17" i="1" a="1"/>
  <c r="F17" i="1" s="1"/>
  <c r="F15" i="1" a="1"/>
  <c r="F15" i="1" s="1"/>
  <c r="K27" i="2" l="1"/>
  <c r="K26" i="2"/>
  <c r="L26" i="2" s="1" a="1"/>
  <c r="L26" i="2" s="1"/>
  <c r="I30" i="2"/>
  <c r="H25" i="2"/>
  <c r="J34" i="2" l="1" a="1"/>
  <c r="J34" i="2" s="1"/>
  <c r="J35" i="2" s="1"/>
  <c r="L27" i="2" a="1"/>
  <c r="L27" i="2" s="1"/>
  <c r="E42" i="2"/>
  <c r="M27" i="2" l="1"/>
  <c r="F19" i="1" s="1"/>
  <c r="O24" i="2" a="1"/>
  <c r="O24" i="2" s="1"/>
  <c r="P24" i="2" s="1"/>
  <c r="F36" i="6"/>
  <c r="F37" i="6" l="1"/>
  <c r="F38" i="6" s="1"/>
  <c r="L2" i="6" s="1"/>
  <c r="L23" i="6" l="1" a="1"/>
  <c r="L23" i="6" s="1"/>
  <c r="L17" i="6" a="1"/>
  <c r="L17" i="6" s="1"/>
  <c r="L27" i="6" a="1"/>
  <c r="L27" i="6" s="1"/>
  <c r="L14" i="6" a="1"/>
  <c r="L14" i="6" s="1"/>
  <c r="L19" i="6" a="1"/>
  <c r="L19" i="6" s="1"/>
  <c r="L26" i="6" a="1"/>
  <c r="L26" i="6" s="1"/>
  <c r="L18" i="6" a="1"/>
  <c r="L18" i="6" s="1"/>
  <c r="L13" i="6" a="1"/>
  <c r="L13" i="6" s="1"/>
  <c r="M13" i="6" s="1"/>
  <c r="L29" i="6" a="1"/>
  <c r="L29" i="6" s="1"/>
  <c r="M29" i="6" s="1"/>
  <c r="N29" i="6" s="1" a="1"/>
  <c r="N29" i="6" s="1"/>
  <c r="L15" i="6" a="1"/>
  <c r="L15" i="6" s="1"/>
  <c r="L20" i="6" a="1"/>
  <c r="L20" i="6" s="1"/>
  <c r="L21" i="6" a="1"/>
  <c r="L21" i="6" s="1"/>
  <c r="L25" i="6" a="1"/>
  <c r="L25" i="6" s="1"/>
  <c r="L28" i="6" a="1"/>
  <c r="L28" i="6" s="1"/>
  <c r="L24" i="6" a="1"/>
  <c r="L24" i="6" s="1"/>
  <c r="L22" i="6" a="1"/>
  <c r="L22" i="6" s="1"/>
  <c r="L16" i="6" a="1"/>
  <c r="L16" i="6" s="1"/>
  <c r="M2" i="6"/>
  <c r="N2" i="6" s="1"/>
  <c r="N34" i="6" l="1" a="1"/>
  <c r="N34" i="6" s="1"/>
  <c r="N13" i="6" a="1"/>
  <c r="N13" i="6" s="1"/>
  <c r="I11" i="6" s="1" a="1"/>
  <c r="I11" i="6" s="1"/>
  <c r="M28" i="6"/>
  <c r="N28" i="6" s="1" a="1"/>
  <c r="N28" i="6" s="1"/>
  <c r="I26" i="6" s="1" a="1"/>
  <c r="I26" i="6" s="1"/>
  <c r="M24" i="6"/>
  <c r="N24" i="6" s="1" a="1"/>
  <c r="N24" i="6" s="1"/>
  <c r="I22" i="6" s="1" a="1"/>
  <c r="I22" i="6" s="1"/>
  <c r="M18" i="6"/>
  <c r="N18" i="6" s="1" a="1"/>
  <c r="N18" i="6" s="1"/>
  <c r="I16" i="6" s="1" a="1"/>
  <c r="I16" i="6" s="1"/>
  <c r="M25" i="6"/>
  <c r="N25" i="6" s="1" a="1"/>
  <c r="N25" i="6" s="1"/>
  <c r="I23" i="6" s="1" a="1"/>
  <c r="I23" i="6" s="1"/>
  <c r="M15" i="6"/>
  <c r="N15" i="6" s="1" a="1"/>
  <c r="N15" i="6" s="1"/>
  <c r="I13" i="6" s="1" a="1"/>
  <c r="I13" i="6" s="1"/>
  <c r="M19" i="6"/>
  <c r="N19" i="6" s="1" a="1"/>
  <c r="N19" i="6" s="1"/>
  <c r="I17" i="6" s="1" a="1"/>
  <c r="I17" i="6" s="1"/>
  <c r="M14" i="6"/>
  <c r="N14" i="6" s="1" a="1"/>
  <c r="N14" i="6" s="1"/>
  <c r="I12" i="6" s="1" a="1"/>
  <c r="I12" i="6" s="1"/>
  <c r="M27" i="6"/>
  <c r="N27" i="6" s="1" a="1"/>
  <c r="N27" i="6" s="1"/>
  <c r="I25" i="6" s="1" a="1"/>
  <c r="I25" i="6" s="1"/>
  <c r="M21" i="6"/>
  <c r="N21" i="6" s="1" a="1"/>
  <c r="N21" i="6" s="1"/>
  <c r="I19" i="6" s="1" a="1"/>
  <c r="I19" i="6" s="1"/>
  <c r="M20" i="6"/>
  <c r="N20" i="6" s="1" a="1"/>
  <c r="N20" i="6" s="1"/>
  <c r="I18" i="6" s="1" a="1"/>
  <c r="I18" i="6" s="1"/>
  <c r="M26" i="6"/>
  <c r="N26" i="6" s="1" a="1"/>
  <c r="N26" i="6" s="1"/>
  <c r="I24" i="6" s="1" a="1"/>
  <c r="I24" i="6" s="1"/>
  <c r="M16" i="6"/>
  <c r="N16" i="6" s="1" a="1"/>
  <c r="N16" i="6" s="1"/>
  <c r="I14" i="6" s="1" a="1"/>
  <c r="I14" i="6" s="1"/>
  <c r="M17" i="6"/>
  <c r="N17" i="6" s="1" a="1"/>
  <c r="N17" i="6" s="1"/>
  <c r="I15" i="6" s="1" a="1"/>
  <c r="I15" i="6" s="1"/>
  <c r="M22" i="6"/>
  <c r="N22" i="6" s="1" a="1"/>
  <c r="N22" i="6" s="1"/>
  <c r="I20" i="6" s="1" a="1"/>
  <c r="I20" i="6" s="1"/>
  <c r="M23" i="6"/>
  <c r="N23" i="6" s="1" a="1"/>
  <c r="N23" i="6" s="1"/>
  <c r="I21" i="6" s="1" a="1"/>
  <c r="I21" i="6" s="1"/>
  <c r="G7" i="6"/>
  <c r="G8" i="6" l="1"/>
  <c r="I8" i="6" s="1"/>
  <c r="G10" i="6"/>
  <c r="I27" i="6"/>
  <c r="M34" i="6" a="1"/>
  <c r="M34" i="6" s="1"/>
  <c r="G11" i="6" l="1"/>
  <c r="G27" i="6" s="1"/>
  <c r="L37" i="6"/>
  <c r="L36" i="6"/>
  <c r="L38" i="6" l="1"/>
  <c r="G29" i="6" s="1"/>
  <c r="B23" i="6" s="1"/>
  <c r="F10" i="4" s="1"/>
  <c r="F12" i="4" s="1"/>
  <c r="B13" i="4" l="1"/>
  <c r="B4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<sst xmlns="http://schemas.openxmlformats.org/spreadsheetml/2006/main" count="579" uniqueCount="362">
  <si>
    <t>cm</t>
    <phoneticPr fontId="1" type="noConversion"/>
  </si>
  <si>
    <t>檢核:</t>
    <phoneticPr fontId="1" type="noConversion"/>
  </si>
  <si>
    <t>斷面性質</t>
    <phoneticPr fontId="1" type="noConversion"/>
  </si>
  <si>
    <t>鋼筋號數</t>
  </si>
  <si>
    <t>標稱直徑</t>
  </si>
  <si>
    <t>標稱斷面積</t>
  </si>
  <si>
    <t>單位重</t>
  </si>
  <si>
    <t>CNS</t>
  </si>
  <si>
    <t>(cm)</t>
  </si>
  <si>
    <r>
      <t>(cm</t>
    </r>
    <r>
      <rPr>
        <vertAlign val="superscript"/>
        <sz val="11"/>
        <color rgb="FF333333"/>
        <rFont val="Source Sans Pro"/>
        <family val="2"/>
      </rPr>
      <t>2</t>
    </r>
    <r>
      <rPr>
        <sz val="11"/>
        <color rgb="FF333333"/>
        <rFont val="Source Sans Pro"/>
        <family val="2"/>
      </rPr>
      <t>)</t>
    </r>
  </si>
  <si>
    <t>kg/m</t>
  </si>
  <si>
    <t>#1 (D3)</t>
    <phoneticPr fontId="1" type="noConversion"/>
  </si>
  <si>
    <t>#2 (D6)</t>
    <phoneticPr fontId="1" type="noConversion"/>
  </si>
  <si>
    <t>#3 (D10)</t>
  </si>
  <si>
    <t>#4 (D13)</t>
  </si>
  <si>
    <t>#5 (D16)</t>
  </si>
  <si>
    <t>#6 (D19)</t>
  </si>
  <si>
    <t>#7 (D22)</t>
  </si>
  <si>
    <t>#8 (D25)</t>
  </si>
  <si>
    <t>#9 (D29)</t>
    <phoneticPr fontId="1" type="noConversion"/>
  </si>
  <si>
    <t>#10 (D32)</t>
  </si>
  <si>
    <t>#11 (D36)</t>
  </si>
  <si>
    <t>保護層 c =</t>
    <phoneticPr fontId="1" type="noConversion"/>
  </si>
  <si>
    <t>梁深 h =</t>
    <phoneticPr fontId="1" type="noConversion"/>
  </si>
  <si>
    <t>梁寬 b =</t>
    <phoneticPr fontId="1" type="noConversion"/>
  </si>
  <si>
    <t xml:space="preserve">主筋降伏強度 fy = </t>
    <phoneticPr fontId="1" type="noConversion"/>
  </si>
  <si>
    <t xml:space="preserve">箍筋降伏強度 fyt = </t>
    <phoneticPr fontId="1" type="noConversion"/>
  </si>
  <si>
    <t>層</t>
    <phoneticPr fontId="1" type="noConversion"/>
  </si>
  <si>
    <t xml:space="preserve">拉力筋層數 = </t>
    <phoneticPr fontId="1" type="noConversion"/>
  </si>
  <si>
    <t>名稱格式必須與號數表一致</t>
    <phoneticPr fontId="1" type="noConversion"/>
  </si>
  <si>
    <t>拉力筋:</t>
    <phoneticPr fontId="1" type="noConversion"/>
  </si>
  <si>
    <t>壓力筋:</t>
    <phoneticPr fontId="1" type="noConversion"/>
  </si>
  <si>
    <t>箍筋:</t>
    <phoneticPr fontId="1" type="noConversion"/>
  </si>
  <si>
    <t>雙</t>
    <phoneticPr fontId="1" type="noConversion"/>
  </si>
  <si>
    <t>根</t>
    <phoneticPr fontId="1" type="noConversion"/>
  </si>
  <si>
    <t xml:space="preserve">有效深度 d = </t>
    <phoneticPr fontId="1" type="noConversion"/>
  </si>
  <si>
    <t xml:space="preserve">雙層垂直淨間距 = </t>
    <phoneticPr fontId="1" type="noConversion"/>
  </si>
  <si>
    <t xml:space="preserve">壓力筋有效深度 d' = </t>
    <phoneticPr fontId="1" type="noConversion"/>
  </si>
  <si>
    <t>水平淨間距 :</t>
    <phoneticPr fontId="1" type="noConversion"/>
  </si>
  <si>
    <t>梁深 &gt;=40 cm</t>
    <phoneticPr fontId="1" type="noConversion"/>
  </si>
  <si>
    <t>最小垂直淨間距 :</t>
    <phoneticPr fontId="1" type="noConversion"/>
  </si>
  <si>
    <t>最小水平淨間距 :</t>
    <phoneticPr fontId="1" type="noConversion"/>
  </si>
  <si>
    <t>單</t>
    <phoneticPr fontId="1" type="noConversion"/>
  </si>
  <si>
    <t>根(單層時，輸入0)</t>
    <phoneticPr fontId="1" type="noConversion"/>
  </si>
  <si>
    <t xml:space="preserve">號數 = </t>
    <phoneticPr fontId="1" type="noConversion"/>
  </si>
  <si>
    <t xml:space="preserve">號數 = </t>
  </si>
  <si>
    <t xml:space="preserve">上層根數 = </t>
    <phoneticPr fontId="1" type="noConversion"/>
  </si>
  <si>
    <t xml:space="preserve">根數 = </t>
    <phoneticPr fontId="1" type="noConversion"/>
  </si>
  <si>
    <t xml:space="preserve">下層根數 = </t>
    <phoneticPr fontId="1" type="noConversion"/>
  </si>
  <si>
    <t xml:space="preserve">拉力筋面積 As = </t>
    <phoneticPr fontId="1" type="noConversion"/>
  </si>
  <si>
    <r>
      <t>cm</t>
    </r>
    <r>
      <rPr>
        <vertAlign val="superscript"/>
        <sz val="11"/>
        <color theme="1"/>
        <rFont val="標楷體"/>
        <family val="4"/>
        <charset val="136"/>
      </rPr>
      <t>2</t>
    </r>
    <phoneticPr fontId="1" type="noConversion"/>
  </si>
  <si>
    <r>
      <t>混凝土強度 f</t>
    </r>
    <r>
      <rPr>
        <vertAlign val="superscript"/>
        <sz val="11"/>
        <color theme="1"/>
        <rFont val="標楷體"/>
        <family val="4"/>
        <charset val="136"/>
      </rPr>
      <t>'</t>
    </r>
    <r>
      <rPr>
        <vertAlign val="subscript"/>
        <sz val="11"/>
        <color theme="1"/>
        <rFont val="標楷體"/>
        <family val="4"/>
        <charset val="136"/>
      </rPr>
      <t>c</t>
    </r>
    <r>
      <rPr>
        <sz val="11"/>
        <color theme="1"/>
        <rFont val="標楷體"/>
        <family val="4"/>
        <charset val="136"/>
      </rPr>
      <t xml:space="preserve"> =</t>
    </r>
    <phoneticPr fontId="1" type="noConversion"/>
  </si>
  <si>
    <r>
      <t>kgf/cm</t>
    </r>
    <r>
      <rPr>
        <vertAlign val="superscript"/>
        <sz val="11"/>
        <color theme="1"/>
        <rFont val="標楷體"/>
        <family val="4"/>
        <charset val="136"/>
      </rPr>
      <t>2</t>
    </r>
    <phoneticPr fontId="1" type="noConversion"/>
  </si>
  <si>
    <r>
      <t xml:space="preserve">拉力筋鋼筋比 </t>
    </r>
    <r>
      <rPr>
        <sz val="11"/>
        <color theme="1"/>
        <rFont val="Calibri"/>
        <family val="1"/>
        <charset val="161"/>
      </rPr>
      <t>ρ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</si>
  <si>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r>
      <t xml:space="preserve">壓力筋鋼筋比 </t>
    </r>
    <r>
      <rPr>
        <sz val="11"/>
        <color theme="1"/>
        <rFont val="Calibri"/>
        <family val="1"/>
        <charset val="161"/>
      </rPr>
      <t>ρ</t>
    </r>
    <r>
      <rPr>
        <sz val="11"/>
        <color theme="1"/>
        <rFont val="標楷體"/>
        <family val="1"/>
        <charset val="136"/>
      </rPr>
      <t>'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</si>
  <si>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r>
      <t xml:space="preserve">平衡鋼筋比 </t>
    </r>
    <r>
      <rPr>
        <sz val="11"/>
        <color theme="1"/>
        <rFont val="Calibri"/>
        <family val="1"/>
        <charset val="161"/>
      </rPr>
      <t>ρ</t>
    </r>
    <r>
      <rPr>
        <vertAlign val="subscript"/>
        <sz val="11"/>
        <color theme="1"/>
        <rFont val="標楷體"/>
        <family val="4"/>
        <charset val="136"/>
      </rPr>
      <t>sb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</si>
  <si>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r>
      <rPr>
        <sz val="11"/>
        <color theme="1"/>
        <rFont val="Calibri"/>
        <family val="1"/>
        <charset val="161"/>
      </rPr>
      <t>β</t>
    </r>
    <r>
      <rPr>
        <vertAlign val="subscript"/>
        <sz val="11"/>
        <color theme="1"/>
        <rFont val="標楷體"/>
        <family val="4"/>
        <charset val="136"/>
      </rPr>
      <t>1</t>
    </r>
    <phoneticPr fontId="1" type="noConversion"/>
  </si>
  <si>
    <t>Ln為梁淨垮度 =</t>
    <phoneticPr fontId="1" type="noConversion"/>
  </si>
  <si>
    <t>梁塑鉸性質</t>
    <phoneticPr fontId="1" type="noConversion"/>
  </si>
  <si>
    <t>m</t>
    <phoneticPr fontId="1" type="noConversion"/>
  </si>
  <si>
    <t>模型構架資訊</t>
    <phoneticPr fontId="1" type="noConversion"/>
  </si>
  <si>
    <t>Wu=DL</t>
    <phoneticPr fontId="1" type="noConversion"/>
  </si>
  <si>
    <t>tf/m</t>
    <phoneticPr fontId="1" type="noConversion"/>
  </si>
  <si>
    <r>
      <t>M</t>
    </r>
    <r>
      <rPr>
        <vertAlign val="superscript"/>
        <sz val="11"/>
        <color theme="1"/>
        <rFont val="標楷體"/>
        <family val="4"/>
        <charset val="136"/>
      </rPr>
      <t>-</t>
    </r>
    <r>
      <rPr>
        <sz val="11"/>
        <color theme="1"/>
        <rFont val="標楷體"/>
        <family val="4"/>
        <charset val="136"/>
      </rPr>
      <t>梁左右端負彎矩強度 =</t>
    </r>
    <phoneticPr fontId="1" type="noConversion"/>
  </si>
  <si>
    <r>
      <t>M</t>
    </r>
    <r>
      <rPr>
        <vertAlign val="superscript"/>
        <sz val="11"/>
        <color theme="1"/>
        <rFont val="標楷體"/>
        <family val="4"/>
        <charset val="136"/>
      </rPr>
      <t>+</t>
    </r>
    <r>
      <rPr>
        <sz val="11"/>
        <color theme="1"/>
        <rFont val="標楷體"/>
        <family val="4"/>
        <charset val="136"/>
      </rPr>
      <t>梁左右端正彎矩強度 =</t>
    </r>
    <phoneticPr fontId="1" type="noConversion"/>
  </si>
  <si>
    <t>tf-m</t>
    <phoneticPr fontId="1" type="noConversion"/>
  </si>
  <si>
    <t>tf</t>
    <phoneticPr fontId="1" type="noConversion"/>
  </si>
  <si>
    <t xml:space="preserve">V/(bd√f'c) = </t>
    <phoneticPr fontId="1" type="noConversion"/>
  </si>
  <si>
    <t>箍筋</t>
    <phoneticPr fontId="1" type="noConversion"/>
  </si>
  <si>
    <t>箍筋 S&lt;(d/3)為圍束 :</t>
    <phoneticPr fontId="1" type="noConversion"/>
  </si>
  <si>
    <t xml:space="preserve">箍筋間距 S = </t>
    <phoneticPr fontId="1" type="noConversion"/>
  </si>
  <si>
    <t xml:space="preserve">T = </t>
    <phoneticPr fontId="1" type="noConversion"/>
  </si>
  <si>
    <t>解M-過程</t>
    <phoneticPr fontId="1" type="noConversion"/>
  </si>
  <si>
    <t>kgf</t>
    <phoneticPr fontId="1" type="noConversion"/>
  </si>
  <si>
    <t xml:space="preserve">Cc = </t>
    <phoneticPr fontId="1" type="noConversion"/>
  </si>
  <si>
    <t>*a</t>
    <phoneticPr fontId="1" type="noConversion"/>
  </si>
  <si>
    <t>Cc = T 解a :</t>
    <phoneticPr fontId="1" type="noConversion"/>
  </si>
  <si>
    <t xml:space="preserve">a = </t>
    <phoneticPr fontId="1" type="noConversion"/>
  </si>
  <si>
    <t>=</t>
    <phoneticPr fontId="1" type="noConversion"/>
  </si>
  <si>
    <t>kgf-cm</t>
    <phoneticPr fontId="1" type="noConversion"/>
  </si>
  <si>
    <t>解M+過程</t>
    <phoneticPr fontId="1" type="noConversion"/>
  </si>
  <si>
    <t>拉力筋</t>
    <phoneticPr fontId="1" type="noConversion"/>
  </si>
  <si>
    <t>單層</t>
    <phoneticPr fontId="1" type="noConversion"/>
  </si>
  <si>
    <t>梁塑鉸參數</t>
    <phoneticPr fontId="1" type="noConversion"/>
  </si>
  <si>
    <t>a =</t>
    <phoneticPr fontId="1" type="noConversion"/>
  </si>
  <si>
    <t xml:space="preserve">b = </t>
    <phoneticPr fontId="1" type="noConversion"/>
  </si>
  <si>
    <t xml:space="preserve">c =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</si>
  <si>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</si>
  <si>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</si>
  <si>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</si>
  <si>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&lt;=0</t>
    <phoneticPr fontId="1" type="noConversion"/>
  </si>
  <si>
    <t>&gt;=0.5</t>
    <phoneticPr fontId="1" type="noConversion"/>
  </si>
  <si>
    <t>有圍束</t>
    <phoneticPr fontId="1" type="noConversion"/>
  </si>
  <si>
    <t>無圍束</t>
    <phoneticPr fontId="1" type="noConversion"/>
  </si>
  <si>
    <t>&lt;=3</t>
    <phoneticPr fontId="1" type="noConversion"/>
  </si>
  <si>
    <t>&gt;=6</t>
    <phoneticPr fontId="1" type="noConversion"/>
  </si>
  <si>
    <t>柱寬 b =</t>
    <phoneticPr fontId="1" type="noConversion"/>
  </si>
  <si>
    <t>柱深 h =</t>
    <phoneticPr fontId="1" type="noConversion"/>
  </si>
  <si>
    <t>主筋:</t>
    <phoneticPr fontId="1" type="noConversion"/>
  </si>
  <si>
    <r>
      <t>β</t>
    </r>
    <r>
      <rPr>
        <vertAlign val="subscript"/>
        <sz val="11"/>
        <color theme="1"/>
        <rFont val="標楷體"/>
        <family val="4"/>
        <charset val="136"/>
      </rPr>
      <t>1</t>
    </r>
    <phoneticPr fontId="1" type="noConversion"/>
  </si>
  <si>
    <r>
      <rPr>
        <sz val="11"/>
        <color theme="1"/>
        <rFont val="Calibri"/>
        <family val="4"/>
        <charset val="161"/>
      </rPr>
      <t>ε</t>
    </r>
    <r>
      <rPr>
        <vertAlign val="subscript"/>
        <sz val="11"/>
        <color theme="1"/>
        <rFont val="標楷體"/>
        <family val="4"/>
        <charset val="136"/>
      </rPr>
      <t>y</t>
    </r>
    <r>
      <rPr>
        <sz val="11"/>
        <color theme="1"/>
        <rFont val="標楷體"/>
        <family val="4"/>
        <charset val="161"/>
      </rPr>
      <t xml:space="preserve"> = </t>
    </r>
    <phoneticPr fontId="1" type="noConversion"/>
  </si>
  <si>
    <t xml:space="preserve">鋼筋深度 d' = </t>
    <phoneticPr fontId="1" type="noConversion"/>
  </si>
  <si>
    <t>梁:</t>
    <phoneticPr fontId="1" type="noConversion"/>
  </si>
  <si>
    <t>鋼筋應力檢核:</t>
    <phoneticPr fontId="1" type="noConversion"/>
  </si>
  <si>
    <t>主筋放置位置:</t>
    <phoneticPr fontId="1" type="noConversion"/>
  </si>
  <si>
    <t>由上而下</t>
    <phoneticPr fontId="1" type="noConversion"/>
  </si>
  <si>
    <t>FALSE表示沒有</t>
    <phoneticPr fontId="1" type="noConversion"/>
  </si>
  <si>
    <t>確認斷面拉壓層數:</t>
    <phoneticPr fontId="1" type="noConversion"/>
  </si>
  <si>
    <t xml:space="preserve">壓力筋層數 = </t>
    <phoneticPr fontId="1" type="noConversion"/>
  </si>
  <si>
    <t>拉力筋層數 =</t>
    <phoneticPr fontId="1" type="noConversion"/>
  </si>
  <si>
    <t>f's</t>
    <phoneticPr fontId="1" type="noConversion"/>
  </si>
  <si>
    <t>fs</t>
    <phoneticPr fontId="1" type="noConversion"/>
  </si>
  <si>
    <t xml:space="preserve">鋼筋總數 = </t>
    <phoneticPr fontId="1" type="noConversion"/>
  </si>
  <si>
    <r>
      <t>ε'</t>
    </r>
    <r>
      <rPr>
        <vertAlign val="subscript"/>
        <sz val="11"/>
        <color theme="1"/>
        <rFont val="標楷體"/>
        <family val="4"/>
        <charset val="136"/>
      </rPr>
      <t>s1</t>
    </r>
    <r>
      <rPr>
        <sz val="11"/>
        <color theme="1"/>
        <rFont val="標楷體"/>
        <family val="4"/>
        <charset val="136"/>
      </rPr>
      <t xml:space="preserve"> =</t>
    </r>
    <phoneticPr fontId="1" type="noConversion"/>
  </si>
  <si>
    <r>
      <t>ε</t>
    </r>
    <r>
      <rPr>
        <vertAlign val="subscript"/>
        <sz val="11"/>
        <color theme="1"/>
        <rFont val="標楷體"/>
        <family val="4"/>
        <charset val="136"/>
      </rPr>
      <t>s1</t>
    </r>
    <r>
      <rPr>
        <sz val="11"/>
        <color theme="1"/>
        <rFont val="標楷體"/>
        <family val="4"/>
        <charset val="136"/>
      </rPr>
      <t xml:space="preserve"> =</t>
    </r>
    <phoneticPr fontId="1" type="noConversion"/>
  </si>
  <si>
    <r>
      <t>ε</t>
    </r>
    <r>
      <rPr>
        <vertAlign val="subscript"/>
        <sz val="11"/>
        <color theme="1"/>
        <rFont val="標楷體"/>
        <family val="4"/>
        <charset val="136"/>
      </rPr>
      <t xml:space="preserve">s2    </t>
    </r>
    <r>
      <rPr>
        <sz val="11"/>
        <color theme="1"/>
        <rFont val="標楷體"/>
        <family val="4"/>
        <charset val="136"/>
      </rPr>
      <t>=</t>
    </r>
    <phoneticPr fontId="1" type="noConversion"/>
  </si>
  <si>
    <r>
      <t>ε</t>
    </r>
    <r>
      <rPr>
        <vertAlign val="subscript"/>
        <sz val="11"/>
        <color theme="1"/>
        <rFont val="標楷體"/>
        <family val="4"/>
        <charset val="136"/>
      </rPr>
      <t>s3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</si>
  <si>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s4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</si>
  <si>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s5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</si>
  <si>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s6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</si>
  <si>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s7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</si>
  <si>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s8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</si>
  <si>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s9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</si>
  <si>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s10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</si>
  <si>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s11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</si>
  <si>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s12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</si>
  <si>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s13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</si>
  <si>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s14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</si>
  <si>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s15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</si>
  <si>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s16    =</t>
    </r>
    <r>
      <rPr>
        <sz val="11"/>
        <color theme="1"/>
        <rFont val="Calibri"/>
        <family val="2"/>
      </rPr>
      <t/>
    </r>
  </si>
  <si>
    <r>
      <t>ε</t>
    </r>
    <r>
      <rPr>
        <vertAlign val="subscript"/>
        <sz val="11"/>
        <color theme="1"/>
        <rFont val="標楷體"/>
        <family val="4"/>
        <charset val="136"/>
      </rPr>
      <t>s17    =</t>
    </r>
    <r>
      <rPr>
        <sz val="11"/>
        <color theme="1"/>
        <rFont val="Calibri"/>
        <family val="2"/>
      </rPr>
      <t/>
    </r>
  </si>
  <si>
    <t xml:space="preserve">Mn = </t>
    <phoneticPr fontId="1" type="noConversion"/>
  </si>
  <si>
    <t xml:space="preserve">解Mn: </t>
    <phoneticPr fontId="1" type="noConversion"/>
  </si>
  <si>
    <t>Xy =</t>
    <phoneticPr fontId="1" type="noConversion"/>
  </si>
  <si>
    <t xml:space="preserve">Cs = </t>
    <phoneticPr fontId="1" type="noConversion"/>
  </si>
  <si>
    <t xml:space="preserve">壓力筋面積 A's = </t>
    <phoneticPr fontId="1" type="noConversion"/>
  </si>
  <si>
    <t xml:space="preserve">上層號數 = </t>
    <phoneticPr fontId="1" type="noConversion"/>
  </si>
  <si>
    <t xml:space="preserve">下層號數 = </t>
    <phoneticPr fontId="1" type="noConversion"/>
  </si>
  <si>
    <t>判斷:</t>
    <phoneticPr fontId="1" type="noConversion"/>
  </si>
  <si>
    <t xml:space="preserve">Cc+Cs = </t>
    <phoneticPr fontId="1" type="noConversion"/>
  </si>
  <si>
    <r>
      <t>(ρ-ρ')/ρ</t>
    </r>
    <r>
      <rPr>
        <vertAlign val="subscript"/>
        <sz val="11"/>
        <color theme="1"/>
        <rFont val="標楷體"/>
        <family val="4"/>
        <charset val="136"/>
      </rPr>
      <t>sb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</si>
  <si>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r>
      <t>ε</t>
    </r>
    <r>
      <rPr>
        <vertAlign val="subscript"/>
        <sz val="11"/>
        <color theme="1"/>
        <rFont val="標楷體"/>
        <family val="4"/>
        <charset val="136"/>
      </rPr>
      <t>y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</si>
  <si>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r>
      <t>ε</t>
    </r>
    <r>
      <rPr>
        <vertAlign val="subscript"/>
        <sz val="11"/>
        <color theme="1"/>
        <rFont val="標楷體"/>
        <family val="4"/>
        <charset val="136"/>
      </rPr>
      <t>s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</si>
  <si>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r>
      <t>&gt;=ε</t>
    </r>
    <r>
      <rPr>
        <vertAlign val="subscript"/>
        <sz val="11"/>
        <color theme="1"/>
        <rFont val="標楷體"/>
        <family val="4"/>
        <charset val="136"/>
      </rPr>
      <t>y</t>
    </r>
    <phoneticPr fontId="1" type="noConversion"/>
  </si>
  <si>
    <t>鋼筋應力:</t>
    <phoneticPr fontId="1" type="noConversion"/>
  </si>
  <si>
    <t>混凝土&amp;鋼筋受力:</t>
    <phoneticPr fontId="1" type="noConversion"/>
  </si>
  <si>
    <t xml:space="preserve">混凝土:Cc = </t>
    <phoneticPr fontId="1" type="noConversion"/>
  </si>
  <si>
    <t xml:space="preserve">壓力筋:Cs = </t>
    <phoneticPr fontId="1" type="noConversion"/>
  </si>
  <si>
    <t xml:space="preserve">拉力筋:T = </t>
    <phoneticPr fontId="1" type="noConversion"/>
  </si>
  <si>
    <t>中性軸位置:</t>
    <phoneticPr fontId="1" type="noConversion"/>
  </si>
  <si>
    <t>Cs+Cc=T :</t>
    <phoneticPr fontId="1" type="noConversion"/>
  </si>
  <si>
    <t xml:space="preserve">x = </t>
    <phoneticPr fontId="1" type="noConversion"/>
  </si>
  <si>
    <t>如果壓力筋降伏</t>
    <phoneticPr fontId="1" type="noConversion"/>
  </si>
  <si>
    <t>如果壓力筋不降伏</t>
    <phoneticPr fontId="1" type="noConversion"/>
  </si>
  <si>
    <t>/x</t>
    <phoneticPr fontId="1" type="noConversion"/>
  </si>
  <si>
    <t>*x</t>
    <phoneticPr fontId="1" type="noConversion"/>
  </si>
  <si>
    <t>轉換成二元一次</t>
    <phoneticPr fontId="1" type="noConversion"/>
  </si>
  <si>
    <r>
      <t>ax</t>
    </r>
    <r>
      <rPr>
        <vertAlign val="superscript"/>
        <sz val="11"/>
        <color theme="1"/>
        <rFont val="標楷體"/>
        <family val="4"/>
        <charset val="136"/>
      </rPr>
      <t>2</t>
    </r>
    <r>
      <rPr>
        <sz val="11"/>
        <color theme="1"/>
        <rFont val="標楷體"/>
        <family val="4"/>
        <charset val="136"/>
      </rPr>
      <t>+bx+c=0</t>
    </r>
    <phoneticPr fontId="1" type="noConversion"/>
  </si>
  <si>
    <t>解:</t>
    <phoneticPr fontId="1" type="noConversion"/>
  </si>
  <si>
    <t xml:space="preserve">x2 = </t>
    <phoneticPr fontId="1" type="noConversion"/>
  </si>
  <si>
    <t xml:space="preserve">x1= </t>
    <phoneticPr fontId="1" type="noConversion"/>
  </si>
  <si>
    <r>
      <rPr>
        <sz val="11"/>
        <color theme="1"/>
        <rFont val="Calibri"/>
        <family val="4"/>
        <charset val="161"/>
      </rPr>
      <t>ε</t>
    </r>
    <r>
      <rPr>
        <sz val="11"/>
        <color theme="1"/>
        <rFont val="Calibri"/>
        <family val="4"/>
      </rPr>
      <t>'</t>
    </r>
    <r>
      <rPr>
        <vertAlign val="subscript"/>
        <sz val="11"/>
        <color theme="1"/>
        <rFont val="標楷體"/>
        <family val="4"/>
        <charset val="136"/>
      </rPr>
      <t>s</t>
    </r>
    <r>
      <rPr>
        <sz val="11"/>
        <color theme="1"/>
        <rFont val="標楷體"/>
        <family val="4"/>
        <charset val="136"/>
      </rPr>
      <t xml:space="preserve"> = </t>
    </r>
    <phoneticPr fontId="1" type="noConversion"/>
  </si>
  <si>
    <t>計算Mn:</t>
    <phoneticPr fontId="1" type="noConversion"/>
  </si>
  <si>
    <t>梁斷面標稱彎矩強度</t>
    <phoneticPr fontId="1" type="noConversion"/>
  </si>
  <si>
    <t>混凝土柱標稱彎矩強度</t>
    <phoneticPr fontId="1" type="noConversion"/>
  </si>
  <si>
    <r>
      <t>ε</t>
    </r>
    <r>
      <rPr>
        <sz val="11"/>
        <color theme="1"/>
        <rFont val="Calibri"/>
        <family val="4"/>
      </rPr>
      <t>s = NG</t>
    </r>
    <r>
      <rPr>
        <sz val="11"/>
        <color theme="1"/>
        <rFont val="Calibri"/>
        <family val="4"/>
        <charset val="161"/>
      </rPr>
      <t xml:space="preserve"> </t>
    </r>
    <r>
      <rPr>
        <sz val="11"/>
        <color theme="1"/>
        <rFont val="新細明體"/>
        <family val="4"/>
        <charset val="136"/>
      </rPr>
      <t>重解</t>
    </r>
    <r>
      <rPr>
        <sz val="11"/>
        <color theme="1"/>
        <rFont val="Calibri"/>
        <family val="4"/>
      </rPr>
      <t>x</t>
    </r>
    <r>
      <rPr>
        <sz val="11"/>
        <color theme="1"/>
        <rFont val="Calibri"/>
        <family val="4"/>
        <charset val="161"/>
      </rPr>
      <t>:</t>
    </r>
    <phoneticPr fontId="1" type="noConversion"/>
  </si>
  <si>
    <t>重計算Mn:</t>
    <phoneticPr fontId="1" type="noConversion"/>
  </si>
  <si>
    <t>壓力筋降伏下，如果拉力筋檢核NG,拉力筋不降伏</t>
    <phoneticPr fontId="1" type="noConversion"/>
  </si>
  <si>
    <r>
      <t>V=(M</t>
    </r>
    <r>
      <rPr>
        <vertAlign val="superscript"/>
        <sz val="11"/>
        <color theme="1"/>
        <rFont val="標楷體"/>
        <family val="4"/>
        <charset val="136"/>
      </rPr>
      <t>+</t>
    </r>
    <r>
      <rPr>
        <vertAlign val="subscript"/>
        <sz val="11"/>
        <color theme="1"/>
        <rFont val="標楷體"/>
        <family val="4"/>
        <charset val="136"/>
      </rPr>
      <t xml:space="preserve">ni </t>
    </r>
    <r>
      <rPr>
        <sz val="11"/>
        <color theme="1"/>
        <rFont val="標楷體"/>
        <family val="4"/>
        <charset val="136"/>
      </rPr>
      <t>+</t>
    </r>
    <r>
      <rPr>
        <vertAlign val="subscript"/>
        <sz val="11"/>
        <color theme="1"/>
        <rFont val="標楷體"/>
        <family val="4"/>
        <charset val="136"/>
      </rPr>
      <t xml:space="preserve"> </t>
    </r>
    <r>
      <rPr>
        <sz val="11"/>
        <color theme="1"/>
        <rFont val="標楷體"/>
        <family val="4"/>
        <charset val="136"/>
      </rPr>
      <t>M</t>
    </r>
    <r>
      <rPr>
        <vertAlign val="superscript"/>
        <sz val="11"/>
        <color theme="1"/>
        <rFont val="標楷體"/>
        <family val="4"/>
        <charset val="136"/>
      </rPr>
      <t>-</t>
    </r>
    <r>
      <rPr>
        <vertAlign val="subscript"/>
        <sz val="11"/>
        <color theme="1"/>
        <rFont val="標楷體"/>
        <family val="4"/>
        <charset val="136"/>
      </rPr>
      <t>ni</t>
    </r>
    <r>
      <rPr>
        <sz val="11"/>
        <color theme="1"/>
        <rFont val="標楷體"/>
        <family val="4"/>
        <charset val="136"/>
      </rPr>
      <t>)/L</t>
    </r>
    <phoneticPr fontId="1" type="noConversion"/>
  </si>
  <si>
    <t>基本資料</t>
    <phoneticPr fontId="1" type="noConversion"/>
  </si>
  <si>
    <t>幾何斷面資料</t>
    <phoneticPr fontId="1" type="noConversion"/>
  </si>
  <si>
    <t>主筋</t>
    <phoneticPr fontId="1" type="noConversion"/>
  </si>
  <si>
    <t>IMK塑鉸</t>
    <phoneticPr fontId="1" type="noConversion"/>
  </si>
  <si>
    <t>修正係數K值</t>
    <phoneticPr fontId="1" type="noConversion"/>
  </si>
  <si>
    <t>試體名稱</t>
    <phoneticPr fontId="1" type="noConversion"/>
  </si>
  <si>
    <t>論文</t>
    <phoneticPr fontId="1" type="noConversion"/>
  </si>
  <si>
    <t>測試配置</t>
    <phoneticPr fontId="1" type="noConversion"/>
  </si>
  <si>
    <t>破壞形式</t>
    <phoneticPr fontId="1" type="noConversion"/>
  </si>
  <si>
    <t>韌性柱</t>
    <phoneticPr fontId="1" type="noConversion"/>
  </si>
  <si>
    <r>
      <t>混凝土強度f'</t>
    </r>
    <r>
      <rPr>
        <vertAlign val="subscript"/>
        <sz val="11"/>
        <color theme="1"/>
        <rFont val="標楷體"/>
        <family val="4"/>
        <charset val="136"/>
      </rPr>
      <t>c</t>
    </r>
    <r>
      <rPr>
        <sz val="11"/>
        <color theme="1"/>
        <rFont val="標楷體"/>
        <family val="4"/>
        <charset val="136"/>
      </rPr>
      <t>(kgf/cm^2)</t>
    </r>
    <phoneticPr fontId="1" type="noConversion"/>
  </si>
  <si>
    <t>保護層(cm)</t>
    <phoneticPr fontId="1" type="noConversion"/>
  </si>
  <si>
    <t>主筋搭接</t>
    <phoneticPr fontId="1" type="noConversion"/>
  </si>
  <si>
    <t>軸力比</t>
    <phoneticPr fontId="1" type="noConversion"/>
  </si>
  <si>
    <t>軸壓力(kgf)</t>
    <phoneticPr fontId="1" type="noConversion"/>
  </si>
  <si>
    <t>深(cm)</t>
    <phoneticPr fontId="1" type="noConversion"/>
  </si>
  <si>
    <t>有效深度(cm)</t>
    <phoneticPr fontId="1" type="noConversion"/>
  </si>
  <si>
    <t>柱子核心混凝土之深度 (cm)</t>
    <phoneticPr fontId="1" type="noConversion"/>
  </si>
  <si>
    <t>寬(cm)</t>
    <phoneticPr fontId="1" type="noConversion"/>
  </si>
  <si>
    <r>
      <t>斷面積(cm</t>
    </r>
    <r>
      <rPr>
        <vertAlign val="superscript"/>
        <sz val="11"/>
        <color theme="1"/>
        <rFont val="標楷體"/>
        <family val="4"/>
        <charset val="136"/>
      </rPr>
      <t>2</t>
    </r>
    <r>
      <rPr>
        <sz val="11"/>
        <color theme="1"/>
        <rFont val="標楷體"/>
        <family val="4"/>
        <charset val="136"/>
      </rPr>
      <t>)</t>
    </r>
    <phoneticPr fontId="1" type="noConversion"/>
  </si>
  <si>
    <t>柱高(cm)</t>
    <phoneticPr fontId="1" type="noConversion"/>
  </si>
  <si>
    <t>柱淨高(cm)</t>
    <phoneticPr fontId="1" type="noConversion"/>
  </si>
  <si>
    <t>號數</t>
    <phoneticPr fontId="1" type="noConversion"/>
  </si>
  <si>
    <t>數量</t>
    <phoneticPr fontId="1" type="noConversion"/>
  </si>
  <si>
    <r>
      <t>降伏強度f</t>
    </r>
    <r>
      <rPr>
        <vertAlign val="subscript"/>
        <sz val="11"/>
        <color theme="1"/>
        <rFont val="標楷體"/>
        <family val="4"/>
        <charset val="136"/>
      </rPr>
      <t>y</t>
    </r>
    <r>
      <rPr>
        <sz val="11"/>
        <color theme="1"/>
        <rFont val="標楷體"/>
        <family val="4"/>
        <charset val="136"/>
      </rPr>
      <t>(kgf/cm)</t>
    </r>
    <phoneticPr fontId="1" type="noConversion"/>
  </si>
  <si>
    <t>極限強度</t>
    <phoneticPr fontId="1" type="noConversion"/>
  </si>
  <si>
    <r>
      <t>主筋面積比</t>
    </r>
    <r>
      <rPr>
        <sz val="11"/>
        <color theme="1"/>
        <rFont val="Calibri"/>
        <family val="4"/>
        <charset val="161"/>
      </rPr>
      <t>ρ</t>
    </r>
    <r>
      <rPr>
        <sz val="11"/>
        <color theme="1"/>
        <rFont val="標楷體"/>
        <family val="4"/>
        <charset val="136"/>
      </rPr>
      <t>L(%)</t>
    </r>
    <phoneticPr fontId="1" type="noConversion"/>
  </si>
  <si>
    <t>鋼筋斷面積As</t>
    <phoneticPr fontId="1" type="noConversion"/>
  </si>
  <si>
    <t>寬度方向(根)</t>
    <phoneticPr fontId="1" type="noConversion"/>
  </si>
  <si>
    <t>深度方向(根)</t>
    <phoneticPr fontId="1" type="noConversion"/>
  </si>
  <si>
    <t>緊密間距(cm)</t>
    <phoneticPr fontId="1" type="noConversion"/>
  </si>
  <si>
    <t>非緊密間距(cm)</t>
    <phoneticPr fontId="1" type="noConversion"/>
  </si>
  <si>
    <r>
      <t>f</t>
    </r>
    <r>
      <rPr>
        <vertAlign val="subscript"/>
        <sz val="11"/>
        <color theme="1"/>
        <rFont val="標楷體"/>
        <family val="4"/>
        <charset val="136"/>
      </rPr>
      <t>yt</t>
    </r>
    <r>
      <rPr>
        <sz val="11"/>
        <color theme="1"/>
        <rFont val="標楷體"/>
        <family val="4"/>
        <charset val="136"/>
      </rPr>
      <t>(MPa)</t>
    </r>
    <phoneticPr fontId="1" type="noConversion"/>
  </si>
  <si>
    <t>抗拉強度(MPa)</t>
    <phoneticPr fontId="1" type="noConversion"/>
  </si>
  <si>
    <t>型式</t>
    <phoneticPr fontId="1" type="noConversion"/>
  </si>
  <si>
    <t>彎鉤角度</t>
    <phoneticPr fontId="1" type="noConversion"/>
  </si>
  <si>
    <r>
      <t>Av(cm</t>
    </r>
    <r>
      <rPr>
        <vertAlign val="superscript"/>
        <sz val="11"/>
        <color theme="1"/>
        <rFont val="標楷體"/>
        <family val="4"/>
        <charset val="136"/>
      </rPr>
      <t>2</t>
    </r>
    <r>
      <rPr>
        <sz val="11"/>
        <color theme="1"/>
        <rFont val="標楷體"/>
        <family val="4"/>
        <charset val="136"/>
      </rPr>
      <t>)</t>
    </r>
    <phoneticPr fontId="1" type="noConversion"/>
  </si>
  <si>
    <r>
      <rPr>
        <sz val="11"/>
        <color theme="1" tint="4.9989318521683403E-2"/>
        <rFont val="標楷體"/>
        <family val="4"/>
        <charset val="136"/>
      </rPr>
      <t>箍筋面積比</t>
    </r>
    <r>
      <rPr>
        <sz val="11"/>
        <color theme="1" tint="4.9989318521683403E-2"/>
        <rFont val="Calibri"/>
        <family val="4"/>
        <charset val="161"/>
      </rPr>
      <t>ρ</t>
    </r>
    <r>
      <rPr>
        <vertAlign val="subscript"/>
        <sz val="11"/>
        <color theme="1" tint="4.9989318521683403E-2"/>
        <rFont val="標楷體"/>
        <family val="4"/>
        <charset val="136"/>
      </rPr>
      <t>t</t>
    </r>
    <r>
      <rPr>
        <sz val="11"/>
        <color theme="1" tint="4.9989318521683403E-2"/>
        <rFont val="標楷體"/>
        <family val="4"/>
        <charset val="136"/>
      </rPr>
      <t>(%)</t>
    </r>
    <phoneticPr fontId="1" type="noConversion"/>
  </si>
  <si>
    <t>交錯配置</t>
    <phoneticPr fontId="1" type="noConversion"/>
  </si>
  <si>
    <t>as</t>
  </si>
  <si>
    <t>c_S</t>
  </si>
  <si>
    <t>c_C</t>
  </si>
  <si>
    <t>c_A</t>
  </si>
  <si>
    <t>c_K</t>
  </si>
  <si>
    <r>
      <t>θ</t>
    </r>
    <r>
      <rPr>
        <sz val="9.35"/>
        <color theme="1"/>
        <rFont val="Times New Roman"/>
        <family val="1"/>
      </rPr>
      <t>p</t>
    </r>
    <phoneticPr fontId="1" type="noConversion"/>
  </si>
  <si>
    <t>θpc</t>
    <phoneticPr fontId="1" type="noConversion"/>
  </si>
  <si>
    <t>Res</t>
  </si>
  <si>
    <t>類別因素</t>
    <phoneticPr fontId="1" type="noConversion"/>
  </si>
  <si>
    <t>軸力比因素</t>
    <phoneticPr fontId="1" type="noConversion"/>
  </si>
  <si>
    <t>柱高 L =</t>
    <phoneticPr fontId="1" type="noConversion"/>
  </si>
  <si>
    <t xml:space="preserve">緊密間距 S = </t>
    <phoneticPr fontId="1" type="noConversion"/>
  </si>
  <si>
    <t xml:space="preserve">非緊密間距 S = </t>
    <phoneticPr fontId="1" type="noConversion"/>
  </si>
  <si>
    <t>繫筋: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</si>
  <si>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</t>
    <phoneticPr fontId="1" type="noConversion"/>
  </si>
  <si>
    <t>計算Vn:</t>
    <phoneticPr fontId="1" type="noConversion"/>
  </si>
  <si>
    <t xml:space="preserve">Vc = </t>
    <phoneticPr fontId="1" type="noConversion"/>
  </si>
  <si>
    <t>Sigma =</t>
    <phoneticPr fontId="1" type="noConversion"/>
  </si>
  <si>
    <t xml:space="preserve">ft = </t>
    <phoneticPr fontId="1" type="noConversion"/>
  </si>
  <si>
    <t xml:space="preserve">Alpha = </t>
    <phoneticPr fontId="1" type="noConversion"/>
  </si>
  <si>
    <t xml:space="preserve">Vs = </t>
    <phoneticPr fontId="1" type="noConversion"/>
  </si>
  <si>
    <t>Vn =</t>
    <phoneticPr fontId="1" type="noConversion"/>
  </si>
  <si>
    <t>Vm =</t>
    <phoneticPr fontId="1" type="noConversion"/>
  </si>
  <si>
    <t>名稱格式須與表一致</t>
    <phoneticPr fontId="1" type="noConversion"/>
  </si>
  <si>
    <t>角隅</t>
  </si>
  <si>
    <t>中間</t>
    <phoneticPr fontId="1" type="noConversion"/>
  </si>
  <si>
    <t xml:space="preserve">b 向鋼筋支數 = </t>
    <phoneticPr fontId="1" type="noConversion"/>
  </si>
  <si>
    <t xml:space="preserve">h 向鋼筋支數 = </t>
    <phoneticPr fontId="1" type="noConversion"/>
  </si>
  <si>
    <t>雙</t>
  </si>
  <si>
    <t>只視第一排為壓力筋</t>
    <phoneticPr fontId="1" type="noConversion"/>
  </si>
  <si>
    <t>1.假設第一排壓力筋與第二排拉力筋尚未降伏</t>
    <phoneticPr fontId="1" type="noConversion"/>
  </si>
  <si>
    <t>第三、四排拉力筋已降伏</t>
    <phoneticPr fontId="1" type="noConversion"/>
  </si>
  <si>
    <t>(a)</t>
    <phoneticPr fontId="1" type="noConversion"/>
  </si>
  <si>
    <t xml:space="preserve">間距 S = </t>
    <phoneticPr fontId="1" type="noConversion"/>
  </si>
  <si>
    <t>軸力</t>
    <phoneticPr fontId="1" type="noConversion"/>
  </si>
  <si>
    <t xml:space="preserve">Nu = </t>
    <phoneticPr fontId="1" type="noConversion"/>
  </si>
  <si>
    <t xml:space="preserve">fs' = </t>
    <phoneticPr fontId="1" type="noConversion"/>
  </si>
  <si>
    <t xml:space="preserve">fs = </t>
    <phoneticPr fontId="1" type="noConversion"/>
  </si>
  <si>
    <t xml:space="preserve">中性軸位置 x = </t>
    <phoneticPr fontId="1" type="noConversion"/>
  </si>
  <si>
    <t xml:space="preserve">T1= </t>
    <phoneticPr fontId="1" type="noConversion"/>
  </si>
  <si>
    <t>T2 =</t>
    <phoneticPr fontId="1" type="noConversion"/>
  </si>
  <si>
    <t xml:space="preserve">T3 = </t>
    <phoneticPr fontId="1" type="noConversion"/>
  </si>
  <si>
    <t>T4 =</t>
    <phoneticPr fontId="1" type="noConversion"/>
  </si>
  <si>
    <t>T5 =</t>
    <phoneticPr fontId="1" type="noConversion"/>
  </si>
  <si>
    <t>T6 =</t>
    <phoneticPr fontId="1" type="noConversion"/>
  </si>
  <si>
    <t>T7 =</t>
    <phoneticPr fontId="1" type="noConversion"/>
  </si>
  <si>
    <t>T8 =</t>
    <phoneticPr fontId="1" type="noConversion"/>
  </si>
  <si>
    <t>T9 =</t>
    <phoneticPr fontId="1" type="noConversion"/>
  </si>
  <si>
    <t>T10 =</t>
    <phoneticPr fontId="1" type="noConversion"/>
  </si>
  <si>
    <t>T11 =</t>
  </si>
  <si>
    <t>T12 =</t>
  </si>
  <si>
    <t>T13 =</t>
  </si>
  <si>
    <t>T14 =</t>
  </si>
  <si>
    <t>T15 =</t>
  </si>
  <si>
    <t>T16 =</t>
  </si>
  <si>
    <t>混凝土:</t>
    <phoneticPr fontId="1" type="noConversion"/>
  </si>
  <si>
    <t>(b)</t>
    <phoneticPr fontId="1" type="noConversion"/>
  </si>
  <si>
    <t>斷面拉壓合力平衡Nu = Cc+Cs-T(all)</t>
    <phoneticPr fontId="1" type="noConversion"/>
  </si>
  <si>
    <t xml:space="preserve">總共 = </t>
    <phoneticPr fontId="1" type="noConversion"/>
  </si>
  <si>
    <r>
      <t>Ax</t>
    </r>
    <r>
      <rPr>
        <vertAlign val="superscript"/>
        <sz val="11"/>
        <color theme="1"/>
        <rFont val="標楷體"/>
        <family val="4"/>
        <charset val="136"/>
      </rPr>
      <t>2</t>
    </r>
    <r>
      <rPr>
        <sz val="11"/>
        <color theme="1"/>
        <rFont val="標楷體"/>
        <family val="4"/>
        <charset val="136"/>
      </rPr>
      <t>+Bx+C=0</t>
    </r>
    <phoneticPr fontId="1" type="noConversion"/>
  </si>
  <si>
    <t>A</t>
  </si>
  <si>
    <t>A</t>
    <phoneticPr fontId="1" type="noConversion"/>
  </si>
  <si>
    <t>B</t>
    <phoneticPr fontId="1" type="noConversion"/>
  </si>
  <si>
    <t>C</t>
  </si>
  <si>
    <t>C</t>
    <phoneticPr fontId="1" type="noConversion"/>
  </si>
  <si>
    <t xml:space="preserve">解中性軸 : </t>
  </si>
  <si>
    <t xml:space="preserve">解中性軸 : </t>
    <phoneticPr fontId="1" type="noConversion"/>
  </si>
  <si>
    <t>X1 =</t>
  </si>
  <si>
    <t>X1 =</t>
    <phoneticPr fontId="1" type="noConversion"/>
  </si>
  <si>
    <t xml:space="preserve">X2 = </t>
  </si>
  <si>
    <t xml:space="preserve">X2 = </t>
    <phoneticPr fontId="1" type="noConversion"/>
  </si>
  <si>
    <t>cm</t>
  </si>
  <si>
    <t>第一排</t>
    <phoneticPr fontId="1" type="noConversion"/>
  </si>
  <si>
    <t>第二排</t>
    <phoneticPr fontId="1" type="noConversion"/>
  </si>
  <si>
    <t>第三排</t>
    <phoneticPr fontId="1" type="noConversion"/>
  </si>
  <si>
    <t>第四排</t>
    <phoneticPr fontId="1" type="noConversion"/>
  </si>
  <si>
    <t>第五排</t>
    <phoneticPr fontId="1" type="noConversion"/>
  </si>
  <si>
    <t>第六排</t>
    <phoneticPr fontId="1" type="noConversion"/>
  </si>
  <si>
    <t>第七排</t>
    <phoneticPr fontId="1" type="noConversion"/>
  </si>
  <si>
    <t>(kgf)檢核後:</t>
    <phoneticPr fontId="1" type="noConversion"/>
  </si>
  <si>
    <t>(此處第一次解出)</t>
    <phoneticPr fontId="1" type="noConversion"/>
  </si>
  <si>
    <t>Ax2+Bx+C=0</t>
  </si>
  <si>
    <t>(d)</t>
    <phoneticPr fontId="1" type="noConversion"/>
  </si>
  <si>
    <t>檢核完，斷面拉壓合力平衡Nu = Cc+Cs-T(all)</t>
    <phoneticPr fontId="1" type="noConversion"/>
  </si>
  <si>
    <t>(此處驗證再解出)</t>
    <phoneticPr fontId="1" type="noConversion"/>
  </si>
  <si>
    <t>(kgf)       (tf)</t>
    <phoneticPr fontId="1" type="noConversion"/>
  </si>
  <si>
    <t xml:space="preserve">Vm = </t>
    <phoneticPr fontId="1" type="noConversion"/>
  </si>
  <si>
    <t>樓層數:</t>
    <phoneticPr fontId="1" type="noConversion"/>
  </si>
  <si>
    <t>跨數:</t>
    <phoneticPr fontId="1" type="noConversion"/>
  </si>
  <si>
    <t>分析方法:</t>
    <phoneticPr fontId="1" type="noConversion"/>
  </si>
  <si>
    <t>建築用途:</t>
    <phoneticPr fontId="1" type="noConversion"/>
  </si>
  <si>
    <t>跨</t>
    <phoneticPr fontId="1" type="noConversion"/>
  </si>
  <si>
    <t>樓 地 版 用 途 類 別</t>
  </si>
  <si>
    <t>一、住宅、旅館客房、病房。</t>
  </si>
  <si>
    <t>二、教室。</t>
  </si>
  <si>
    <t>三、辦公室、商店、餐廳、圖書閱覽室、醫院手術室及固定座位之集會堂、電影院、戲院、歌廳與演藝場等。</t>
  </si>
  <si>
    <t>四、博物館、健身房、保齡球館、太平間、市場及無固定座位之集會堂、電影院、戲院歌廳與演藝場等。</t>
  </si>
  <si>
    <t>五、百貨商場、拍賣商場、舞廳、夜總會、運動場及看臺、操練場、工作場、車庫、臨街看臺、太平樓梯與公共走廊。</t>
  </si>
  <si>
    <t>七、走廊、樓梯之活載重應與室載重相同，但供公眾使用人數眾多者如教室、集會堂等之公共走廊、樓梯每平方公尺不得少於四○○公斤。</t>
  </si>
  <si>
    <t>八、屋頂露臺之活載重得較室載重每平方公尺減少五○公斤，但供公眾使用人數眾多者，每平方公尺不得少於三○○公斤。</t>
  </si>
  <si>
    <t>六、倉庫、書庫</t>
  </si>
  <si>
    <r>
      <rPr>
        <b/>
        <sz val="8"/>
        <color rgb="FF333333"/>
        <rFont val="微軟正黑體"/>
        <family val="2"/>
        <charset val="136"/>
      </rPr>
      <t>載重</t>
    </r>
    <r>
      <rPr>
        <b/>
        <sz val="8"/>
        <color rgb="FF333333"/>
        <rFont val="Arial"/>
        <family val="2"/>
      </rPr>
      <t xml:space="preserve"> </t>
    </r>
    <r>
      <rPr>
        <b/>
        <sz val="8"/>
        <color rgb="FF333333"/>
        <rFont val="微軟正黑體"/>
        <family val="2"/>
        <charset val="136"/>
      </rPr>
      <t>（</t>
    </r>
    <r>
      <rPr>
        <b/>
        <sz val="8"/>
        <color rgb="FF333333"/>
        <rFont val="Arial"/>
        <family val="2"/>
      </rPr>
      <t>kgf</t>
    </r>
    <r>
      <rPr>
        <b/>
        <sz val="8"/>
        <color rgb="FF333333"/>
        <rFont val="微軟正黑體"/>
        <family val="2"/>
        <charset val="136"/>
      </rPr>
      <t>／</t>
    </r>
    <r>
      <rPr>
        <b/>
        <sz val="8"/>
        <color rgb="FF333333"/>
        <rFont val="Arial"/>
        <family val="2"/>
      </rPr>
      <t>m</t>
    </r>
    <r>
      <rPr>
        <b/>
        <vertAlign val="superscript"/>
        <sz val="8"/>
        <color rgb="FF333333"/>
        <rFont val="Arial"/>
        <family val="2"/>
      </rPr>
      <t>2</t>
    </r>
    <r>
      <rPr>
        <b/>
        <sz val="8"/>
        <color rgb="FF333333"/>
        <rFont val="微軟正黑體"/>
        <family val="2"/>
        <charset val="136"/>
      </rPr>
      <t>）</t>
    </r>
    <phoneticPr fontId="1" type="noConversion"/>
  </si>
  <si>
    <r>
      <rPr>
        <b/>
        <sz val="8"/>
        <color rgb="FF333333"/>
        <rFont val="微軟正黑體"/>
        <family val="2"/>
        <charset val="136"/>
      </rPr>
      <t>（</t>
    </r>
    <r>
      <rPr>
        <b/>
        <sz val="8"/>
        <color rgb="FF333333"/>
        <rFont val="Times New Roman"/>
        <family val="1"/>
      </rPr>
      <t>m</t>
    </r>
    <r>
      <rPr>
        <b/>
        <vertAlign val="superscript"/>
        <sz val="8"/>
        <color rgb="FF333333"/>
        <rFont val="Times New Roman"/>
        <family val="1"/>
      </rPr>
      <t>2</t>
    </r>
    <r>
      <rPr>
        <b/>
        <sz val="8"/>
        <color rgb="FF333333"/>
        <rFont val="微軟正黑體"/>
        <family val="2"/>
        <charset val="136"/>
      </rPr>
      <t>）</t>
    </r>
    <phoneticPr fontId="1" type="noConversion"/>
  </si>
  <si>
    <t>PushoverAnalysis</t>
    <phoneticPr fontId="1" type="noConversion"/>
  </si>
  <si>
    <t>CyclerAnalysis</t>
    <phoneticPr fontId="1" type="noConversion"/>
  </si>
  <si>
    <r>
      <rPr>
        <sz val="11"/>
        <color rgb="FF333333"/>
        <rFont val="新細明體"/>
        <family val="2"/>
      </rPr>
      <t>分析方法</t>
    </r>
    <phoneticPr fontId="1" type="noConversion"/>
  </si>
  <si>
    <t>DynamicAnalysis</t>
    <phoneticPr fontId="1" type="noConversion"/>
  </si>
  <si>
    <t>此計算以單層單跨</t>
    <phoneticPr fontId="1" type="noConversion"/>
  </si>
  <si>
    <t>一般:</t>
    <phoneticPr fontId="1" type="noConversion"/>
  </si>
  <si>
    <t>柱:</t>
    <phoneticPr fontId="1" type="noConversion"/>
  </si>
  <si>
    <t>版:</t>
    <phoneticPr fontId="1" type="noConversion"/>
  </si>
  <si>
    <t>混凝土單位重:</t>
    <phoneticPr fontId="1" type="noConversion"/>
  </si>
  <si>
    <r>
      <rPr>
        <sz val="11"/>
        <color rgb="FF333333"/>
        <rFont val="微軟正黑體"/>
        <family val="2"/>
        <charset val="136"/>
      </rPr>
      <t>（</t>
    </r>
    <r>
      <rPr>
        <sz val="11"/>
        <color rgb="FF333333"/>
        <rFont val="Times New Roman"/>
        <family val="2"/>
      </rPr>
      <t>kgf/</t>
    </r>
    <r>
      <rPr>
        <sz val="11"/>
        <color rgb="FF333333"/>
        <rFont val="Times New Roman"/>
        <family val="1"/>
      </rPr>
      <t>m</t>
    </r>
    <r>
      <rPr>
        <vertAlign val="superscript"/>
        <sz val="11"/>
        <color rgb="FF333333"/>
        <rFont val="Times New Roman"/>
        <family val="1"/>
      </rPr>
      <t>3</t>
    </r>
    <r>
      <rPr>
        <sz val="11"/>
        <color rgb="FF333333"/>
        <rFont val="微軟正黑體"/>
        <family val="2"/>
        <charset val="136"/>
      </rPr>
      <t>）</t>
    </r>
    <phoneticPr fontId="1" type="noConversion"/>
  </si>
  <si>
    <r>
      <rPr>
        <sz val="11"/>
        <color rgb="FF333333"/>
        <rFont val="微軟正黑體"/>
        <family val="2"/>
        <charset val="136"/>
      </rPr>
      <t>（</t>
    </r>
    <r>
      <rPr>
        <sz val="11"/>
        <color rgb="FF333333"/>
        <rFont val="Times New Roman"/>
        <family val="2"/>
      </rPr>
      <t>kgf</t>
    </r>
    <r>
      <rPr>
        <sz val="11"/>
        <color rgb="FF333333"/>
        <rFont val="微軟正黑體"/>
        <family val="2"/>
        <charset val="136"/>
      </rPr>
      <t>）</t>
    </r>
    <phoneticPr fontId="1" type="noConversion"/>
  </si>
  <si>
    <r>
      <t>單位重</t>
    </r>
    <r>
      <rPr>
        <sz val="12"/>
        <rFont val="Times New Roman"/>
        <family val="1"/>
      </rPr>
      <t>(kg/m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)</t>
    </r>
    <phoneticPr fontId="43" type="noConversion"/>
  </si>
  <si>
    <r>
      <t>R</t>
    </r>
    <r>
      <rPr>
        <sz val="12"/>
        <rFont val="標楷體"/>
        <family val="4"/>
        <charset val="136"/>
      </rPr>
      <t>.C.牆</t>
    </r>
    <r>
      <rPr>
        <sz val="12"/>
        <rFont val="標楷體"/>
        <family val="4"/>
        <charset val="136"/>
      </rPr>
      <t>鋪面</t>
    </r>
    <r>
      <rPr>
        <sz val="12"/>
        <rFont val="標楷體"/>
        <family val="4"/>
        <charset val="136"/>
      </rPr>
      <t>(雙面)</t>
    </r>
    <phoneticPr fontId="43" type="noConversion"/>
  </si>
  <si>
    <r>
      <t>磚牆</t>
    </r>
    <r>
      <rPr>
        <sz val="12"/>
        <rFont val="標楷體"/>
        <family val="4"/>
        <charset val="136"/>
      </rPr>
      <t>鋪面</t>
    </r>
    <r>
      <rPr>
        <sz val="12"/>
        <rFont val="標楷體"/>
        <family val="4"/>
        <charset val="136"/>
      </rPr>
      <t>(雙面)</t>
    </r>
    <phoneticPr fontId="43" type="noConversion"/>
  </si>
  <si>
    <r>
      <t>3</t>
    </r>
    <r>
      <rPr>
        <sz val="12"/>
        <rFont val="標楷體"/>
        <family val="4"/>
        <charset val="136"/>
      </rPr>
      <t>0cm</t>
    </r>
    <r>
      <rPr>
        <sz val="12"/>
        <rFont val="標楷體"/>
        <family val="4"/>
        <charset val="136"/>
      </rPr>
      <t>帷幕</t>
    </r>
    <phoneticPr fontId="43" type="noConversion"/>
  </si>
  <si>
    <r>
      <t>1</t>
    </r>
    <r>
      <rPr>
        <sz val="12"/>
        <rFont val="標楷體"/>
        <family val="4"/>
        <charset val="136"/>
      </rPr>
      <t>2cm</t>
    </r>
    <r>
      <rPr>
        <sz val="12"/>
        <rFont val="標楷體"/>
        <family val="4"/>
        <charset val="136"/>
      </rPr>
      <t>輕隔間</t>
    </r>
    <phoneticPr fontId="43" type="noConversion"/>
  </si>
  <si>
    <t>層邊</t>
    <phoneticPr fontId="1" type="noConversion"/>
  </si>
  <si>
    <t>節點須施加:</t>
    <phoneticPr fontId="1" type="noConversion"/>
  </si>
  <si>
    <t>如果使用動力分析設定以下參數</t>
    <phoneticPr fontId="1" type="noConversion"/>
  </si>
  <si>
    <t>倒塌準則標準:</t>
    <phoneticPr fontId="1" type="noConversion"/>
  </si>
  <si>
    <t>(小數點)</t>
    <phoneticPr fontId="1" type="noConversion"/>
  </si>
  <si>
    <t>DynamicAnalysis</t>
  </si>
  <si>
    <t>阻尼比:</t>
    <phoneticPr fontId="1" type="noConversion"/>
  </si>
  <si>
    <t>塑鉸設定:</t>
    <phoneticPr fontId="1" type="noConversion"/>
  </si>
  <si>
    <t>機器學習</t>
    <phoneticPr fontId="1" type="noConversion"/>
  </si>
  <si>
    <t>使用者自定義</t>
    <phoneticPr fontId="1" type="noConversion"/>
  </si>
  <si>
    <t>使用者自定義設定:</t>
    <phoneticPr fontId="1" type="noConversion"/>
  </si>
  <si>
    <t>試體名稱:</t>
    <phoneticPr fontId="1" type="noConversion"/>
  </si>
  <si>
    <t>Test1</t>
    <phoneticPr fontId="1" type="noConversion"/>
  </si>
  <si>
    <t>總樓高:</t>
    <phoneticPr fontId="1" type="noConversion"/>
  </si>
  <si>
    <t>歷時分析數量:</t>
    <phoneticPr fontId="1" type="noConversion"/>
  </si>
  <si>
    <t>筆</t>
    <phoneticPr fontId="1" type="noConversion"/>
  </si>
  <si>
    <t>樓板厚度:</t>
    <phoneticPr fontId="1" type="noConversion"/>
  </si>
  <si>
    <r>
      <rPr>
        <b/>
        <sz val="8"/>
        <color rgb="FF333333"/>
        <rFont val="微軟正黑體"/>
        <family val="2"/>
        <charset val="136"/>
      </rPr>
      <t>（</t>
    </r>
    <r>
      <rPr>
        <b/>
        <sz val="8"/>
        <color rgb="FF333333"/>
        <rFont val="Times New Roman"/>
        <family val="2"/>
      </rPr>
      <t>cm</t>
    </r>
    <r>
      <rPr>
        <b/>
        <sz val="8"/>
        <color rgb="FF333333"/>
        <rFont val="微軟正黑體"/>
        <family val="2"/>
        <charset val="136"/>
      </rPr>
      <t>）</t>
    </r>
    <phoneticPr fontId="1" type="noConversion"/>
  </si>
  <si>
    <r>
      <t>(</t>
    </r>
    <r>
      <rPr>
        <sz val="11"/>
        <color theme="1"/>
        <rFont val="Calibri"/>
        <family val="2"/>
        <charset val="161"/>
      </rPr>
      <t>ρ</t>
    </r>
    <r>
      <rPr>
        <sz val="11"/>
        <color theme="1"/>
        <rFont val="新細明體"/>
        <family val="2"/>
        <scheme val="minor"/>
      </rPr>
      <t>-</t>
    </r>
    <r>
      <rPr>
        <sz val="11"/>
        <color theme="1"/>
        <rFont val="Calibri"/>
        <family val="2"/>
        <charset val="161"/>
      </rPr>
      <t>ρ</t>
    </r>
    <r>
      <rPr>
        <sz val="11"/>
        <color theme="1"/>
        <rFont val="新細明體"/>
        <family val="2"/>
        <scheme val="minor"/>
      </rPr>
      <t>)/</t>
    </r>
    <r>
      <rPr>
        <sz val="11"/>
        <color theme="1"/>
        <rFont val="Calibri"/>
        <family val="2"/>
        <charset val="161"/>
      </rPr>
      <t>ρ</t>
    </r>
    <r>
      <rPr>
        <sz val="11"/>
        <color theme="1"/>
        <rFont val="新細明體"/>
        <family val="2"/>
        <scheme val="minor"/>
      </rPr>
      <t>sb</t>
    </r>
    <phoneticPr fontId="1" type="noConversion"/>
  </si>
  <si>
    <t>V/(bd√fc)</t>
    <phoneticPr fontId="1" type="noConversion"/>
  </si>
  <si>
    <t>ε</t>
    <phoneticPr fontId="1" type="noConversion"/>
  </si>
  <si>
    <t>EI折減規範</t>
    <phoneticPr fontId="1" type="noConversion"/>
  </si>
  <si>
    <t>EI值折減規範:</t>
    <phoneticPr fontId="1" type="noConversion"/>
  </si>
  <si>
    <t>ASCE/SEI 41-13</t>
    <phoneticPr fontId="1" type="noConversion"/>
  </si>
  <si>
    <t>FEMA273</t>
  </si>
  <si>
    <t>FEMA273</t>
    <phoneticPr fontId="1" type="noConversion"/>
  </si>
  <si>
    <t>ACI318-05</t>
    <phoneticPr fontId="1" type="noConversion"/>
  </si>
  <si>
    <t>機器學習</t>
  </si>
  <si>
    <t>單曲率</t>
    <phoneticPr fontId="1" type="noConversion"/>
  </si>
  <si>
    <t>N</t>
    <phoneticPr fontId="1" type="noConversion"/>
  </si>
  <si>
    <t>閉合</t>
    <phoneticPr fontId="1" type="noConversion"/>
  </si>
  <si>
    <t>C1</t>
    <phoneticPr fontId="1" type="noConversion"/>
  </si>
  <si>
    <t>Y</t>
    <phoneticPr fontId="1" type="noConversion"/>
  </si>
  <si>
    <t>楊智斌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</si>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</sst>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333333"/>
      <name val="Source Sans Pro"/>
      <family val="2"/>
    </font>
    <font>
      <vertAlign val="superscript"/>
      <sz val="11"/>
      <color rgb="FF333333"/>
      <name val="Source Sans Pro"/>
      <family val="2"/>
    </font>
    <font>
      <sz val="11"/>
      <color theme="1"/>
      <name val="標楷體"/>
      <family val="4"/>
      <charset val="136"/>
    </font>
    <font>
      <sz val="11"/>
      <color rgb="FFFF0000"/>
      <name val="標楷體"/>
      <family val="4"/>
      <charset val="136"/>
    </font>
    <font>
      <sz val="11"/>
      <color rgb="FF333333"/>
      <name val="標楷體"/>
      <family val="4"/>
      <charset val="136"/>
    </font>
    <font>
      <sz val="11"/>
      <name val="標楷體"/>
      <family val="4"/>
      <charset val="136"/>
    </font>
    <font>
      <vertAlign val="superscript"/>
      <sz val="11"/>
      <color theme="1"/>
      <name val="標楷體"/>
      <family val="4"/>
      <charset val="136"/>
    </font>
    <font>
      <vertAlign val="subscript"/>
      <sz val="11"/>
      <color theme="1"/>
      <name val="標楷體"/>
      <family val="4"/>
      <charset val="136"/>
    </font>
    <font>
      <b/>
      <sz val="11"/>
      <color rgb="FFFF0000"/>
      <name val="新細明體"/>
      <family val="1"/>
      <charset val="136"/>
      <scheme val="minor"/>
    </font>
    <font>
      <b/>
      <sz val="11"/>
      <color rgb="FFFF0000"/>
      <name val="標楷體"/>
      <family val="4"/>
      <charset val="136"/>
    </font>
    <font>
      <sz val="11"/>
      <color theme="1"/>
      <name val="Calibri"/>
      <family val="1"/>
      <charset val="161"/>
    </font>
    <font>
      <sz val="11"/>
      <color theme="1"/>
      <name val="標楷體"/>
      <family val="1"/>
      <charset val="136"/>
    </font>
    <font>
      <sz val="11"/>
      <color theme="1"/>
      <name val="標楷體"/>
      <family val="1"/>
      <charset val="161"/>
    </font>
    <font>
      <sz val="11"/>
      <color theme="1"/>
      <name val="Calibri"/>
      <family val="4"/>
      <charset val="161"/>
    </font>
    <font>
      <sz val="11"/>
      <color theme="1"/>
      <name val="標楷體"/>
      <family val="4"/>
      <charset val="161"/>
    </font>
    <font>
      <sz val="11"/>
      <color theme="1"/>
      <name val="Calibri"/>
      <family val="2"/>
    </font>
    <font>
      <sz val="11"/>
      <color theme="1"/>
      <name val="Calibri"/>
      <family val="4"/>
    </font>
    <font>
      <sz val="11"/>
      <color theme="1"/>
      <name val="新細明體"/>
      <family val="4"/>
      <charset val="136"/>
    </font>
    <font>
      <vertAlign val="subscript"/>
      <sz val="11"/>
      <color theme="1" tint="4.9989318521683403E-2"/>
      <name val="標楷體"/>
      <family val="4"/>
      <charset val="136"/>
    </font>
    <font>
      <sz val="11"/>
      <color theme="1" tint="4.9989318521683403E-2"/>
      <name val="標楷體"/>
      <family val="4"/>
      <charset val="136"/>
    </font>
    <font>
      <sz val="11"/>
      <color theme="1" tint="4.9989318521683403E-2"/>
      <name val="Calibri"/>
      <family val="4"/>
      <charset val="161"/>
    </font>
    <font>
      <sz val="11"/>
      <color theme="1"/>
      <name val="Times New Roman"/>
      <family val="1"/>
    </font>
    <font>
      <sz val="9.35"/>
      <color theme="1"/>
      <name val="Times New Roman"/>
      <family val="1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8"/>
      <color rgb="FF333333"/>
      <name val="微軟正黑體"/>
      <family val="2"/>
      <charset val="136"/>
    </font>
    <font>
      <b/>
      <vertAlign val="superscript"/>
      <sz val="8"/>
      <color rgb="FF333333"/>
      <name val="Arial"/>
      <family val="2"/>
    </font>
    <font>
      <b/>
      <sz val="8"/>
      <color rgb="FF333333"/>
      <name val="Arial"/>
      <family val="2"/>
      <charset val="136"/>
    </font>
    <font>
      <b/>
      <sz val="8"/>
      <color rgb="FF333333"/>
      <name val="Times New Roman"/>
      <family val="1"/>
    </font>
    <font>
      <b/>
      <vertAlign val="superscript"/>
      <sz val="8"/>
      <color rgb="FF333333"/>
      <name val="Times New Roman"/>
      <family val="1"/>
    </font>
    <font>
      <b/>
      <sz val="8"/>
      <color rgb="FF333333"/>
      <name val="Times New Roman"/>
      <family val="2"/>
      <charset val="136"/>
    </font>
    <font>
      <sz val="11"/>
      <color rgb="FF333333"/>
      <name val="Times New Roman"/>
      <family val="1"/>
    </font>
    <font>
      <sz val="11"/>
      <color rgb="FF333333"/>
      <name val="Arial"/>
      <family val="2"/>
    </font>
    <font>
      <sz val="11"/>
      <color rgb="FF333333"/>
      <name val="新細明體"/>
      <family val="2"/>
    </font>
    <font>
      <sz val="11"/>
      <color rgb="FF333333"/>
      <name val="Times New Roman"/>
      <family val="2"/>
      <charset val="136"/>
    </font>
    <font>
      <sz val="11"/>
      <color rgb="FF333333"/>
      <name val="微軟正黑體"/>
      <family val="2"/>
      <charset val="136"/>
    </font>
    <font>
      <sz val="11"/>
      <color rgb="FF333333"/>
      <name val="Times New Roman"/>
      <family val="2"/>
    </font>
    <font>
      <vertAlign val="superscript"/>
      <sz val="11"/>
      <color rgb="FF333333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9"/>
      <name val="標楷體"/>
      <family val="4"/>
      <charset val="136"/>
    </font>
    <font>
      <sz val="12"/>
      <color indexed="10"/>
      <name val="Times New Roman"/>
      <family val="1"/>
    </font>
    <font>
      <b/>
      <sz val="8"/>
      <color rgb="FF333333"/>
      <name val="Times New Roman"/>
      <family val="2"/>
    </font>
    <font>
      <sz val="11"/>
      <color theme="1"/>
      <name val="Calibri"/>
      <family val="2"/>
      <charset val="161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BE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0" fillId="0" borderId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0" borderId="0" xfId="0" applyFont="1"/>
    <xf numFmtId="0" fontId="10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7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3" fillId="10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25" fillId="0" borderId="0" xfId="0" applyFont="1"/>
    <xf numFmtId="0" fontId="26" fillId="0" borderId="0" xfId="0" applyFont="1"/>
    <xf numFmtId="0" fontId="29" fillId="0" borderId="0" xfId="0" applyFont="1"/>
    <xf numFmtId="0" fontId="23" fillId="0" borderId="0" xfId="0" applyFont="1"/>
    <xf numFmtId="0" fontId="33" fillId="0" borderId="0" xfId="0" applyFont="1"/>
    <xf numFmtId="0" fontId="34" fillId="0" borderId="0" xfId="0" applyFont="1"/>
    <xf numFmtId="0" fontId="32" fillId="7" borderId="1" xfId="0" applyFont="1" applyFill="1" applyBorder="1" applyAlignment="1">
      <alignment horizontal="center" vertical="center"/>
    </xf>
    <xf numFmtId="0" fontId="36" fillId="7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1" fillId="0" borderId="0" xfId="1" applyFont="1"/>
    <xf numFmtId="0" fontId="40" fillId="0" borderId="0" xfId="1" applyAlignment="1">
      <alignment horizontal="center"/>
    </xf>
    <xf numFmtId="0" fontId="40" fillId="0" borderId="0" xfId="1"/>
    <xf numFmtId="0" fontId="44" fillId="0" borderId="0" xfId="1" applyFont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3" fillId="10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10" borderId="1" xfId="0" applyFill="1" applyBorder="1"/>
    <xf numFmtId="0" fontId="15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一般" xfId="0" builtinId="0"/>
    <cellStyle name="一般_Weight-1050303-OU78-2" xfId="1" xr:uid="{7E1F7199-428D-41A4-B01D-6CED2DDA2EE2}"/>
  </cellStyles>
  <dxfs count="0"/>
  <tableStyles count="0" defaultTableStyle="TableStyleMedium2" defaultPivotStyle="PivotStyleLight16"/>
  <colors>
    <mruColors>
      <color rgb="FFFFCBEE"/>
      <color rgb="FFEEDCEE"/>
      <color rgb="FFF8D2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541020</xdr:colOff>
      <xdr:row>0</xdr:row>
      <xdr:rowOff>0</xdr:rowOff>
    </xdr:from>
    <xdr:to>
      <xdr:col>14</xdr:col>
      <xdr:colOff>491624</xdr:colOff>
      <xdr:row>22</xdr:row>
      <xdr:rowOff>42736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26DF03B-7E64-4192-9138-D6BC9A65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2440" y="0"/>
          <a:ext cx="4339724" cy="4233736"/>
        </a:xfrm>
        <a:prstGeom prst="rect">
          <a:avLst/>
        </a:prstGeom>
      </xdr:spPr>
    </xdr:pic>
    <xdr:clientData/>
  </xdr:twoCellAnchor>
  <xdr:twoCellAnchor editAs="oneCell">
    <xdr:from>
      <xdr:col>0</xdr:col>
      <xdr:colOff>68580</xdr:colOff>
      <xdr:row>9</xdr:row>
      <xdr:rowOff>60960</xdr:rowOff>
    </xdr:from>
    <xdr:to>
      <xdr:col>5</xdr:col>
      <xdr:colOff>73048</xdr:colOff>
      <xdr:row>22</xdr:row>
      <xdr:rowOff>45720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75F25C8-75CD-48B0-BBC4-BDAA78461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/>
      </xdr:blipFill>
      <xdr:spPr>
        <a:xfrm>
          <a:off x="68580" y="1775460"/>
          <a:ext cx="3197248" cy="24612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iwan%20RC%20Column%20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鋼筋號數"/>
    </sheetNames>
    <sheetDataSet>
      <sheetData sheetId="0"/>
      <sheetData sheetId="1">
        <row r="3">
          <cell r="A3" t="str">
            <v>#1 (D3)</v>
          </cell>
          <cell r="B3">
            <v>0.318</v>
          </cell>
          <cell r="C3">
            <v>7.9399999999999998E-2</v>
          </cell>
        </row>
        <row r="4">
          <cell r="A4" t="str">
            <v>#2 (D6)</v>
          </cell>
          <cell r="B4">
            <v>0.63500000000000001</v>
          </cell>
          <cell r="C4">
            <v>0.31669999999999998</v>
          </cell>
        </row>
        <row r="5">
          <cell r="A5" t="str">
            <v>#3 (D10)</v>
          </cell>
          <cell r="B5">
            <v>0.95299999999999996</v>
          </cell>
          <cell r="C5">
            <v>0.71</v>
          </cell>
        </row>
        <row r="6">
          <cell r="A6" t="str">
            <v>#4 (D13)</v>
          </cell>
          <cell r="B6">
            <v>1.27</v>
          </cell>
          <cell r="C6">
            <v>1.27</v>
          </cell>
        </row>
        <row r="7">
          <cell r="A7" t="str">
            <v>#5 (D16)</v>
          </cell>
          <cell r="B7">
            <v>1.5880000000000001</v>
          </cell>
          <cell r="C7">
            <v>1.99</v>
          </cell>
        </row>
        <row r="8">
          <cell r="A8" t="str">
            <v>#6 (D19)</v>
          </cell>
          <cell r="B8">
            <v>1.905</v>
          </cell>
          <cell r="C8">
            <v>2.87</v>
          </cell>
        </row>
        <row r="9">
          <cell r="A9" t="str">
            <v>#7 (D22)</v>
          </cell>
          <cell r="B9">
            <v>2.2229999999999999</v>
          </cell>
          <cell r="C9">
            <v>3.87</v>
          </cell>
        </row>
        <row r="10">
          <cell r="A10" t="str">
            <v>#8 (D25)</v>
          </cell>
          <cell r="B10">
            <v>2.54</v>
          </cell>
          <cell r="C10">
            <v>5.07</v>
          </cell>
        </row>
        <row r="11">
          <cell r="A11" t="str">
            <v>#9 (D29)</v>
          </cell>
          <cell r="B11">
            <v>2.8650000000000002</v>
          </cell>
          <cell r="C11">
            <v>6.47</v>
          </cell>
        </row>
        <row r="12">
          <cell r="A12" t="str">
            <v>#10 (D32)</v>
          </cell>
          <cell r="B12">
            <v>3.226</v>
          </cell>
          <cell r="C12">
            <v>8.14</v>
          </cell>
        </row>
        <row r="13">
          <cell r="A13" t="str">
            <v>#11 (D36)</v>
          </cell>
          <cell r="B13">
            <v>3.581</v>
          </cell>
          <cell r="C13">
            <v>10.07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5558-D2D6-41FB-9BCF-064712E3CCFD}">
  <sheetPr>
    <tabColor theme="8" tint="0.39997558519241921"/>
  </sheetPr>
  <dimension ref="A1:R12"/>
  <sheetViews>
    <sheetView topLeftCell="C1" zoomScale="145" zoomScaleNormal="145" workbookViewId="0">
      <selection activeCell="G14" sqref="G14"/>
    </sheetView>
  </sheetViews>
  <sheetFormatPr defaultRowHeight="15" x14ac:dyDescent="0.3"/>
  <cols>
    <col min="1" max="1" width="19.5" style="8" bestFit="1" customWidth="1"/>
    <col min="2" max="2" width="12" style="8" bestFit="1" customWidth="1"/>
    <col min="3" max="3" width="10.625" style="8" customWidth="1"/>
    <col min="4" max="4" width="9" style="8"/>
    <col min="5" max="5" width="22" style="8" bestFit="1" customWidth="1"/>
    <col min="6" max="6" width="15.75" style="8" bestFit="1" customWidth="1"/>
    <col min="7" max="16384" width="9" style="8"/>
  </cols>
  <sheetData>
    <row r="1" spans="1:18" x14ac:dyDescent="0.3">
      <c r="A1" s="6" t="s">
        <v>60</v>
      </c>
      <c r="B1" s="30" t="s">
        <v>338</v>
      </c>
      <c r="C1" s="86" t="s">
        <v>339</v>
      </c>
      <c r="D1" s="86"/>
    </row>
    <row r="2" spans="1:18" x14ac:dyDescent="0.3">
      <c r="A2" s="9" t="s">
        <v>295</v>
      </c>
      <c r="B2" s="12">
        <v>3</v>
      </c>
      <c r="C2" s="75" t="s">
        <v>27</v>
      </c>
      <c r="E2" s="9" t="s">
        <v>298</v>
      </c>
      <c r="F2" s="87" t="s">
        <v>302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x14ac:dyDescent="0.3">
      <c r="A3" s="9" t="s">
        <v>296</v>
      </c>
      <c r="B3" s="12">
        <v>3</v>
      </c>
      <c r="C3" s="11" t="s">
        <v>299</v>
      </c>
      <c r="E3" s="9" t="s">
        <v>334</v>
      </c>
      <c r="F3" s="73" t="s">
        <v>354</v>
      </c>
    </row>
    <row r="4" spans="1:18" x14ac:dyDescent="0.3">
      <c r="A4" s="9" t="s">
        <v>343</v>
      </c>
      <c r="B4" s="12">
        <v>15</v>
      </c>
      <c r="C4" s="61" t="s">
        <v>344</v>
      </c>
      <c r="E4" s="9" t="s">
        <v>337</v>
      </c>
      <c r="F4" s="74" t="s">
        <v>208</v>
      </c>
      <c r="G4" s="74" t="s">
        <v>209</v>
      </c>
      <c r="H4" s="74" t="s">
        <v>210</v>
      </c>
      <c r="I4" s="74" t="s">
        <v>211</v>
      </c>
      <c r="J4" s="74" t="s">
        <v>212</v>
      </c>
      <c r="K4" s="74" t="s">
        <v>213</v>
      </c>
      <c r="L4" s="74" t="s">
        <v>214</v>
      </c>
      <c r="M4" s="74" t="s">
        <v>215</v>
      </c>
    </row>
    <row r="5" spans="1:18" x14ac:dyDescent="0.3">
      <c r="A5" s="9" t="s">
        <v>340</v>
      </c>
      <c r="B5" s="78">
        <f>B2*柱!B4/100</f>
        <v>12.81</v>
      </c>
      <c r="C5" s="61" t="s">
        <v>310</v>
      </c>
      <c r="F5" s="65">
        <v>2E-3</v>
      </c>
      <c r="G5" s="65">
        <v>1</v>
      </c>
      <c r="H5" s="65">
        <v>1</v>
      </c>
      <c r="I5" s="65">
        <v>1</v>
      </c>
      <c r="J5" s="65">
        <v>1</v>
      </c>
      <c r="K5" s="65">
        <v>0.03</v>
      </c>
      <c r="L5" s="65">
        <v>0.02</v>
      </c>
      <c r="M5" s="73">
        <v>0</v>
      </c>
    </row>
    <row r="6" spans="1:18" x14ac:dyDescent="0.3">
      <c r="A6" s="9" t="s">
        <v>349</v>
      </c>
      <c r="B6" s="86" t="s">
        <v>351</v>
      </c>
      <c r="C6" s="86"/>
    </row>
    <row r="8" spans="1:18" x14ac:dyDescent="0.3">
      <c r="A8" s="9" t="s">
        <v>297</v>
      </c>
      <c r="B8" s="86" t="s">
        <v>332</v>
      </c>
      <c r="C8" s="86"/>
    </row>
    <row r="9" spans="1:18" x14ac:dyDescent="0.3">
      <c r="A9" s="88" t="s">
        <v>329</v>
      </c>
      <c r="B9" s="88"/>
      <c r="C9" s="88"/>
    </row>
    <row r="10" spans="1:18" x14ac:dyDescent="0.3">
      <c r="A10" s="9" t="s">
        <v>330</v>
      </c>
      <c r="B10" s="71">
        <v>0.04</v>
      </c>
      <c r="C10" s="11" t="s">
        <v>331</v>
      </c>
    </row>
    <row r="11" spans="1:18" x14ac:dyDescent="0.3">
      <c r="A11" s="9" t="s">
        <v>333</v>
      </c>
      <c r="B11" s="72">
        <v>0.05</v>
      </c>
      <c r="C11" s="11" t="s">
        <v>331</v>
      </c>
    </row>
    <row r="12" spans="1:18" x14ac:dyDescent="0.3">
      <c r="A12" s="9" t="s">
        <v>341</v>
      </c>
      <c r="B12" s="76">
        <v>22</v>
      </c>
      <c r="C12" s="11" t="s">
        <v>342</v>
      </c>
    </row>
  </sheetData>
  <autoFilter ref="E2:R3" xr:uid="{42AB5558-D2D6-41FB-9BCF-064712E3CCFD}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5">
    <mergeCell ref="C1:D1"/>
    <mergeCell ref="F2:R2"/>
    <mergeCell ref="B8:C8"/>
    <mergeCell ref="A9:C9"/>
    <mergeCell ref="B6:C6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CC26821-9347-46E0-9D74-CD06CA659FA0}">
          <x14:formula1>
            <xm:f>'建築資訊-雜項'!$A$2:$A$7</xm:f>
          </x14:formula1>
          <xm:sqref>F2</xm:sqref>
        </x14:dataValidation>
        <x14:dataValidation type="list" allowBlank="1" showInputMessage="1" showErrorMessage="1" xr:uid="{158EE75A-536A-454A-A3E2-C6C19362B874}">
          <x14:formula1>
            <xm:f>'建築資訊-雜項'!$A$13:$A$15</xm:f>
          </x14:formula1>
          <xm:sqref>B8</xm:sqref>
        </x14:dataValidation>
        <x14:dataValidation type="list" allowBlank="1" showInputMessage="1" showErrorMessage="1" xr:uid="{0B6ACEBA-6C66-4882-A05F-0B2DF5A52B64}">
          <x14:formula1>
            <xm:f>'建築資訊-雜項'!$A$19:$A$20</xm:f>
          </x14:formula1>
          <xm:sqref>F3</xm:sqref>
        </x14:dataValidation>
        <x14:dataValidation type="list" allowBlank="1" showInputMessage="1" showErrorMessage="1" xr:uid="{2A817ECE-47DC-400C-81AC-37DB886FE08F}">
          <x14:formula1>
            <xm:f>'建築資訊-雜項'!$A$23:$A$25</xm:f>
          </x14:formula1>
          <xm:sqref>B6:C6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843A-23FB-4F1A-8789-1B96868F0A78}">
  <dimension ref="A1:E25"/>
  <sheetViews>
    <sheetView topLeftCell="A2" workbookViewId="0">
      <selection activeCell="A24" sqref="A24"/>
    </sheetView>
  </sheetViews>
  <sheetFormatPr defaultRowHeight="15" x14ac:dyDescent="0.3"/>
  <cols>
    <col min="1" max="1" width="125.5" bestFit="1" customWidth="1"/>
    <col min="2" max="2" width="24" bestFit="1" customWidth="1"/>
    <col min="4" max="4" width="23" bestFit="1" customWidth="1"/>
  </cols>
  <sheetData>
    <row r="1" spans="1:5" ht="18.600000000000001" x14ac:dyDescent="0.3">
      <c r="A1" s="55" t="s">
        <v>300</v>
      </c>
      <c r="B1" s="57" t="s">
        <v>309</v>
      </c>
      <c r="D1" s="66"/>
      <c r="E1" s="67" t="s">
        <v>322</v>
      </c>
    </row>
    <row r="2" spans="1:5" ht="16.2" x14ac:dyDescent="0.3">
      <c r="A2" s="56" t="s">
        <v>301</v>
      </c>
      <c r="B2">
        <v>200</v>
      </c>
      <c r="D2" s="68" t="s">
        <v>323</v>
      </c>
      <c r="E2" s="69">
        <v>60</v>
      </c>
    </row>
    <row r="3" spans="1:5" ht="16.2" x14ac:dyDescent="0.3">
      <c r="A3" s="56" t="s">
        <v>302</v>
      </c>
      <c r="B3">
        <v>250</v>
      </c>
      <c r="D3" s="68" t="s">
        <v>324</v>
      </c>
      <c r="E3" s="69">
        <v>30</v>
      </c>
    </row>
    <row r="4" spans="1:5" ht="16.2" x14ac:dyDescent="0.3">
      <c r="A4" s="56" t="s">
        <v>303</v>
      </c>
      <c r="B4">
        <v>300</v>
      </c>
      <c r="D4" s="68" t="s">
        <v>325</v>
      </c>
      <c r="E4" s="69">
        <v>60</v>
      </c>
    </row>
    <row r="5" spans="1:5" ht="16.2" x14ac:dyDescent="0.3">
      <c r="A5" s="56" t="s">
        <v>304</v>
      </c>
      <c r="B5">
        <v>400</v>
      </c>
      <c r="D5" s="68" t="s">
        <v>326</v>
      </c>
      <c r="E5" s="69">
        <v>135</v>
      </c>
    </row>
    <row r="6" spans="1:5" x14ac:dyDescent="0.3">
      <c r="A6" s="56" t="s">
        <v>305</v>
      </c>
      <c r="B6">
        <v>500</v>
      </c>
    </row>
    <row r="7" spans="1:5" x14ac:dyDescent="0.3">
      <c r="A7" s="56" t="s">
        <v>308</v>
      </c>
      <c r="B7">
        <v>600</v>
      </c>
    </row>
    <row r="8" spans="1:5" x14ac:dyDescent="0.3">
      <c r="A8" s="56" t="s">
        <v>306</v>
      </c>
    </row>
    <row r="9" spans="1:5" x14ac:dyDescent="0.3">
      <c r="A9" s="56" t="s">
        <v>307</v>
      </c>
    </row>
    <row r="12" spans="1:5" x14ac:dyDescent="0.3">
      <c r="A12" s="60" t="s">
        <v>313</v>
      </c>
    </row>
    <row r="13" spans="1:5" x14ac:dyDescent="0.3">
      <c r="A13" s="59" t="s">
        <v>311</v>
      </c>
    </row>
    <row r="14" spans="1:5" x14ac:dyDescent="0.3">
      <c r="A14" s="58" t="s">
        <v>312</v>
      </c>
    </row>
    <row r="15" spans="1:5" x14ac:dyDescent="0.3">
      <c r="A15" s="58" t="s">
        <v>314</v>
      </c>
    </row>
    <row r="18" spans="1:1" x14ac:dyDescent="0.3">
      <c r="A18" t="s">
        <v>334</v>
      </c>
    </row>
    <row r="19" spans="1:1" x14ac:dyDescent="0.3">
      <c r="A19" t="s">
        <v>335</v>
      </c>
    </row>
    <row r="20" spans="1:1" x14ac:dyDescent="0.3">
      <c r="A20" t="s">
        <v>336</v>
      </c>
    </row>
    <row r="22" spans="1:1" x14ac:dyDescent="0.3">
      <c r="A22" t="s">
        <v>348</v>
      </c>
    </row>
    <row r="23" spans="1:1" x14ac:dyDescent="0.3">
      <c r="A23" t="s">
        <v>352</v>
      </c>
    </row>
    <row r="24" spans="1:1" x14ac:dyDescent="0.3">
      <c r="A24" t="s">
        <v>350</v>
      </c>
    </row>
    <row r="25" spans="1:1" x14ac:dyDescent="0.3">
      <c r="A25" t="s">
        <v>353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222C-8D3E-4345-B37F-E1464CDED759}">
  <dimension ref="A1:F12"/>
  <sheetViews>
    <sheetView workbookViewId="0">
      <selection activeCell="E3" sqref="E3"/>
    </sheetView>
  </sheetViews>
  <sheetFormatPr defaultRowHeight="15" x14ac:dyDescent="0.3"/>
  <cols>
    <col min="1" max="1" width="9" style="1"/>
    <col min="2" max="2" width="10.25" style="1" customWidth="1"/>
    <col min="3" max="3" width="9" style="1"/>
    <col min="4" max="4" width="23.75" style="1" bestFit="1" customWidth="1"/>
    <col min="5" max="5" width="9" style="1"/>
    <col min="6" max="6" width="12.5" style="1" bestFit="1" customWidth="1"/>
    <col min="7" max="16384" width="9" style="1"/>
  </cols>
  <sheetData>
    <row r="1" spans="1:6" ht="16.8" x14ac:dyDescent="0.3">
      <c r="A1" s="89" t="s">
        <v>315</v>
      </c>
      <c r="B1" s="89"/>
      <c r="D1" s="63" t="s">
        <v>319</v>
      </c>
      <c r="E1" s="65">
        <v>2400</v>
      </c>
      <c r="F1" s="62" t="s">
        <v>320</v>
      </c>
    </row>
    <row r="2" spans="1:6" x14ac:dyDescent="0.3">
      <c r="A2" s="64" t="s">
        <v>316</v>
      </c>
      <c r="B2" s="70" t="s">
        <v>327</v>
      </c>
    </row>
    <row r="3" spans="1:6" x14ac:dyDescent="0.3">
      <c r="A3" s="63" t="s">
        <v>102</v>
      </c>
      <c r="B3" s="63">
        <f>E1*雙筋梁!I9*(雙筋梁!B3/100)*(雙筋梁!B4/100)</f>
        <v>11173.248</v>
      </c>
      <c r="C3" s="62" t="s">
        <v>321</v>
      </c>
      <c r="D3" s="63" t="s">
        <v>328</v>
      </c>
      <c r="E3" s="38">
        <f>SUM((B3+B5)/2+B4)</f>
        <v>18130.176000000003</v>
      </c>
      <c r="F3" s="62" t="s">
        <v>321</v>
      </c>
    </row>
    <row r="4" spans="1:6" x14ac:dyDescent="0.3">
      <c r="A4" s="63" t="s">
        <v>317</v>
      </c>
      <c r="B4" s="63">
        <f>E1*(柱!B2/100)*(柱!B3/100)*(柱!B4/100)</f>
        <v>3689.2799999999997</v>
      </c>
      <c r="C4" s="62" t="s">
        <v>321</v>
      </c>
      <c r="D4" s="63"/>
      <c r="E4" s="38"/>
      <c r="F4" s="62"/>
    </row>
    <row r="5" spans="1:6" x14ac:dyDescent="0.3">
      <c r="A5" s="63" t="s">
        <v>318</v>
      </c>
      <c r="B5" s="63">
        <f>E1*(建築資訊!B4/100)*(2*(雙筋梁!I9/2))*(雙筋梁!I9-柱!B3/100)</f>
        <v>17708.544000000005</v>
      </c>
      <c r="C5" s="62" t="s">
        <v>321</v>
      </c>
    </row>
    <row r="6" spans="1:6" x14ac:dyDescent="0.3">
      <c r="A6" s="63"/>
      <c r="B6" s="63"/>
      <c r="C6" s="62"/>
    </row>
    <row r="7" spans="1:6" ht="14.4" customHeight="1" x14ac:dyDescent="0.3"/>
    <row r="8" spans="1:6" x14ac:dyDescent="0.3">
      <c r="A8" s="63" t="s">
        <v>316</v>
      </c>
      <c r="B8" s="70" t="s">
        <v>233</v>
      </c>
    </row>
    <row r="9" spans="1:6" x14ac:dyDescent="0.3">
      <c r="A9" s="63" t="s">
        <v>102</v>
      </c>
      <c r="B9" s="63">
        <f>E1*雙筋梁!I9*(雙筋梁!B3/100)*(雙筋梁!B4/100)</f>
        <v>11173.248</v>
      </c>
      <c r="C9" s="62" t="s">
        <v>321</v>
      </c>
      <c r="D9" s="63" t="s">
        <v>328</v>
      </c>
      <c r="E9" s="38">
        <f>SUM(B9+B10+B11)</f>
        <v>32571.072000000004</v>
      </c>
      <c r="F9" s="62" t="s">
        <v>321</v>
      </c>
    </row>
    <row r="10" spans="1:6" x14ac:dyDescent="0.3">
      <c r="A10" s="63" t="s">
        <v>317</v>
      </c>
      <c r="B10" s="63">
        <f>E1*(柱!B2/100)*(柱!B3/100)*(柱!B4/100)</f>
        <v>3689.2799999999997</v>
      </c>
      <c r="C10" s="62" t="s">
        <v>321</v>
      </c>
      <c r="D10" s="63"/>
      <c r="E10" s="38"/>
      <c r="F10" s="62"/>
    </row>
    <row r="11" spans="1:6" x14ac:dyDescent="0.3">
      <c r="A11" s="63" t="s">
        <v>318</v>
      </c>
      <c r="B11" s="63">
        <f>E1*(建築資訊!B4/100)*(2*(雙筋梁!I9/2))*(雙筋梁!I9-柱!B3/100)</f>
        <v>17708.544000000005</v>
      </c>
      <c r="C11" s="62" t="s">
        <v>321</v>
      </c>
    </row>
    <row r="12" spans="1:6" x14ac:dyDescent="0.3">
      <c r="A12" s="63"/>
      <c r="B12" s="63"/>
      <c r="C12" s="6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O19"/>
  <sheetViews>
    <sheetView zoomScale="85" zoomScaleNormal="85" workbookViewId="0">
      <selection activeCell="F25" sqref="F25"/>
    </sheetView>
  </sheetViews>
  <sheetFormatPr defaultRowHeight="15" x14ac:dyDescent="0.3"/>
  <cols>
    <col min="1" max="1" width="21.625" bestFit="1" customWidth="1"/>
    <col min="2" max="2" width="11.125" bestFit="1" customWidth="1"/>
    <col min="3" max="3" width="8.25" bestFit="1" customWidth="1"/>
    <col min="5" max="5" width="30.5" bestFit="1" customWidth="1"/>
    <col min="6" max="6" width="14.5" bestFit="1" customWidth="1"/>
    <col min="7" max="7" width="24.125" bestFit="1" customWidth="1"/>
    <col min="8" max="8" width="31.125" bestFit="1" customWidth="1"/>
    <col min="9" max="9" width="20.75" bestFit="1" customWidth="1"/>
    <col min="10" max="10" width="23.25" bestFit="1" customWidth="1"/>
    <col min="11" max="11" width="30.5" bestFit="1" customWidth="1"/>
    <col min="13" max="13" width="23.25" bestFit="1" customWidth="1"/>
    <col min="15" max="15" width="30.5" bestFit="1" customWidth="1"/>
  </cols>
  <sheetData>
    <row r="1" spans="1:15" x14ac:dyDescent="0.3">
      <c r="A1" s="6" t="s">
        <v>2</v>
      </c>
      <c r="B1" s="7"/>
      <c r="C1" s="8"/>
      <c r="D1" s="8"/>
      <c r="E1" s="6" t="s">
        <v>30</v>
      </c>
      <c r="F1" s="8"/>
      <c r="G1" s="8"/>
      <c r="H1" s="6" t="s">
        <v>31</v>
      </c>
      <c r="I1" s="8"/>
      <c r="J1" s="8"/>
      <c r="K1" s="6" t="s">
        <v>32</v>
      </c>
      <c r="L1" s="8"/>
      <c r="M1" s="8"/>
      <c r="N1" s="8"/>
      <c r="O1" s="8"/>
    </row>
    <row r="2" spans="1:15" x14ac:dyDescent="0.3">
      <c r="A2" s="9" t="s">
        <v>28</v>
      </c>
      <c r="B2" s="26" t="s">
        <v>236</v>
      </c>
      <c r="C2" s="11" t="s">
        <v>27</v>
      </c>
      <c r="D2" s="8"/>
      <c r="E2" s="13" t="s">
        <v>136</v>
      </c>
      <c r="F2" s="26" t="s">
        <v>16</v>
      </c>
      <c r="G2" s="15" t="s">
        <v>231</v>
      </c>
      <c r="H2" s="13" t="s">
        <v>45</v>
      </c>
      <c r="I2" s="26" t="s">
        <v>16</v>
      </c>
      <c r="J2" s="15" t="s">
        <v>231</v>
      </c>
      <c r="K2" s="13" t="s">
        <v>45</v>
      </c>
      <c r="L2" s="26" t="s">
        <v>13</v>
      </c>
      <c r="M2" s="15" t="s">
        <v>231</v>
      </c>
    </row>
    <row r="3" spans="1:15" x14ac:dyDescent="0.3">
      <c r="A3" s="9" t="s">
        <v>24</v>
      </c>
      <c r="B3" s="12">
        <v>60</v>
      </c>
      <c r="C3" s="11" t="s">
        <v>0</v>
      </c>
      <c r="D3" s="8"/>
      <c r="E3" s="13" t="s">
        <v>137</v>
      </c>
      <c r="F3" s="26" t="s">
        <v>16</v>
      </c>
      <c r="G3" s="15" t="s">
        <v>231</v>
      </c>
      <c r="H3" s="13" t="s">
        <v>47</v>
      </c>
      <c r="I3" s="14">
        <v>6</v>
      </c>
      <c r="J3" s="11" t="s">
        <v>34</v>
      </c>
      <c r="L3" s="8"/>
    </row>
    <row r="4" spans="1:15" ht="18" x14ac:dyDescent="0.3">
      <c r="A4" s="9" t="s">
        <v>23</v>
      </c>
      <c r="B4" s="12">
        <v>106</v>
      </c>
      <c r="C4" s="11" t="s">
        <v>0</v>
      </c>
      <c r="D4" s="8"/>
      <c r="E4" s="13" t="s">
        <v>46</v>
      </c>
      <c r="F4" s="14">
        <v>6</v>
      </c>
      <c r="G4" s="17" t="s">
        <v>43</v>
      </c>
      <c r="H4" s="13" t="s">
        <v>135</v>
      </c>
      <c r="I4" s="21">
        <f>VLOOKUP(I2,鋼筋號數!$A$3:$C$13,3,FALSE)*I3</f>
        <v>17.22</v>
      </c>
      <c r="J4" s="11" t="s">
        <v>50</v>
      </c>
      <c r="L4" s="8"/>
      <c r="M4" s="8"/>
      <c r="N4" s="8"/>
      <c r="O4" s="8"/>
    </row>
    <row r="5" spans="1:15" x14ac:dyDescent="0.3">
      <c r="A5" s="9" t="s">
        <v>22</v>
      </c>
      <c r="B5" s="12">
        <v>6.35</v>
      </c>
      <c r="C5" s="11" t="s">
        <v>0</v>
      </c>
      <c r="D5" s="8"/>
      <c r="E5" s="13" t="s">
        <v>48</v>
      </c>
      <c r="F5" s="14">
        <v>6</v>
      </c>
      <c r="G5" s="11" t="s">
        <v>34</v>
      </c>
      <c r="H5" s="9" t="s">
        <v>54</v>
      </c>
      <c r="I5" s="21">
        <f>ROUND(I4/B3/B11,4)</f>
        <v>3.4599999999999999E-2</v>
      </c>
      <c r="J5" s="8"/>
      <c r="L5" s="8"/>
      <c r="M5" s="8"/>
      <c r="N5" s="8"/>
      <c r="O5" s="8"/>
    </row>
    <row r="6" spans="1:15" ht="18" x14ac:dyDescent="0.3">
      <c r="A6" s="9" t="s">
        <v>51</v>
      </c>
      <c r="B6" s="12">
        <f>4000*0.07</f>
        <v>280</v>
      </c>
      <c r="C6" s="11" t="s">
        <v>52</v>
      </c>
      <c r="D6" s="8"/>
      <c r="E6" s="13" t="s">
        <v>49</v>
      </c>
      <c r="F6" s="21">
        <f>VLOOKUP(F2,鋼筋號數!$A$3:$C$13,3,FALSE)*F4+VLOOKUP(F3,鋼筋號數!$A$3:$C$13,3,FALSE)*F5</f>
        <v>34.44</v>
      </c>
      <c r="G6" s="11" t="s">
        <v>50</v>
      </c>
      <c r="H6" s="8"/>
      <c r="L6" s="8"/>
      <c r="M6" s="8"/>
      <c r="N6" s="8"/>
      <c r="O6" s="8"/>
    </row>
    <row r="7" spans="1:15" ht="18" x14ac:dyDescent="0.3">
      <c r="A7" s="9" t="s">
        <v>25</v>
      </c>
      <c r="B7" s="12">
        <v>4696</v>
      </c>
      <c r="C7" s="11" t="s">
        <v>52</v>
      </c>
      <c r="D7" s="8"/>
      <c r="E7" s="9" t="s">
        <v>53</v>
      </c>
      <c r="F7" s="21">
        <f>ROUND(F6/B3/B10,4)</f>
        <v>6.0000000000000001E-3</v>
      </c>
      <c r="G7" s="8"/>
      <c r="H7" s="8"/>
      <c r="I7" s="8"/>
      <c r="J7" s="8"/>
      <c r="K7" s="8"/>
      <c r="L7" s="8"/>
      <c r="M7" s="8"/>
      <c r="N7" s="8"/>
      <c r="O7" s="8"/>
    </row>
    <row r="8" spans="1:15" ht="18" x14ac:dyDescent="0.3">
      <c r="A8" s="9" t="s">
        <v>26</v>
      </c>
      <c r="B8" s="77">
        <v>4696</v>
      </c>
      <c r="C8" s="11" t="s">
        <v>52</v>
      </c>
      <c r="D8" s="8"/>
      <c r="E8" s="6" t="s">
        <v>58</v>
      </c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6.2" x14ac:dyDescent="0.3">
      <c r="A9" s="9" t="s">
        <v>36</v>
      </c>
      <c r="B9" s="21" t="str">
        <f>IF(B2="雙","2.5","0")</f>
        <v>2.5</v>
      </c>
      <c r="C9" s="11" t="s">
        <v>0</v>
      </c>
      <c r="D9" s="8"/>
      <c r="E9" s="9" t="s">
        <v>55</v>
      </c>
      <c r="F9" s="21">
        <f>ROUND((0.85*B6*B13/B7)*(6120/(6120+B7))+I5*(1-0.85*B6/B7),4)</f>
        <v>5.7200000000000001E-2</v>
      </c>
      <c r="G9" s="8"/>
      <c r="H9" s="9" t="s">
        <v>57</v>
      </c>
      <c r="I9" s="12">
        <f>24*30.5/100</f>
        <v>7.32</v>
      </c>
      <c r="J9" s="11" t="s">
        <v>59</v>
      </c>
      <c r="K9" s="8"/>
      <c r="L9" s="8"/>
      <c r="M9" s="8"/>
      <c r="N9" s="8"/>
      <c r="O9" s="8"/>
    </row>
    <row r="10" spans="1:15" ht="18" x14ac:dyDescent="0.3">
      <c r="A10" s="9" t="s">
        <v>35</v>
      </c>
      <c r="B10" s="21">
        <f>IF(B2="雙",ROUND(B4-(((VLOOKUP(F3,鋼筋號數!$A$3:$C$13,3,FALSE)*F5)*(B5+VLOOKUP(L2,鋼筋號數!$A$3:$C$13,2,FALSE)+VLOOKUP(F3,鋼筋號數!$A$3:$C$13,2,FALSE)/2)+(VLOOKUP(F2,鋼筋號數!$A$3:$C$13,3,FALSE)*F4)*((B5+VLOOKUP(L2,鋼筋號數!$A$3:$C$13,2,FALSE)+VLOOKUP(F2,鋼筋號數!$A$3:$C$13,2,FALSE)/2)+(VLOOKUP(F3,鋼筋號數!$A$3:$C$13,2,FALSE)/2+B9+VLOOKUP(F3,鋼筋號數!$A$3:$C$13,2,FALSE)/2)))/F6),1),ROUND(B4-B5-VLOOKUP(L2,鋼筋號數!$A$3:$C$13,2,FALSE)-VLOOKUP(F3,鋼筋號數!$A$3:$C$13,2,FALSE)/2,1))</f>
        <v>95.5</v>
      </c>
      <c r="C10" s="11" t="s">
        <v>0</v>
      </c>
      <c r="D10" s="8"/>
      <c r="E10" s="23" t="s">
        <v>140</v>
      </c>
      <c r="F10" s="10">
        <f>ROUND((F7-I5)/F9,1)</f>
        <v>-0.5</v>
      </c>
      <c r="G10" s="8"/>
      <c r="H10" s="24" t="s">
        <v>64</v>
      </c>
      <c r="I10" s="36">
        <f>ROUND('梁-過程雜項'!H8*((B4-B11)-ROUND('梁-過程雜項'!F9,1)/2)/100000,2)</f>
        <v>183.16</v>
      </c>
      <c r="J10" s="11" t="s">
        <v>65</v>
      </c>
      <c r="K10" s="8"/>
      <c r="L10" s="8"/>
      <c r="M10" s="8"/>
      <c r="N10" s="8"/>
      <c r="O10" s="8"/>
    </row>
    <row r="11" spans="1:15" ht="18" x14ac:dyDescent="0.3">
      <c r="A11" s="9" t="s">
        <v>37</v>
      </c>
      <c r="B11" s="21">
        <f>ROUND((B5+VLOOKUP(L2,鋼筋號數!$A$3:$C$13,2,FALSE)+VLOOKUP(I2,鋼筋號數!$A$3:$C$13,2,FALSE)/2),1)</f>
        <v>8.3000000000000007</v>
      </c>
      <c r="C11" s="11" t="s">
        <v>0</v>
      </c>
      <c r="D11" s="8"/>
      <c r="E11" s="9" t="s">
        <v>61</v>
      </c>
      <c r="F11" s="21">
        <f>2.4*B3/100*B4/100</f>
        <v>1.5263999999999998</v>
      </c>
      <c r="G11" s="25" t="s">
        <v>62</v>
      </c>
      <c r="H11" s="24" t="s">
        <v>63</v>
      </c>
      <c r="I11" s="36">
        <f>ROUND('梁-過程雜項'!H3*((B4-B11)-ROUND('梁-過程雜項'!F4,1)/2)/100000,2)</f>
        <v>95.17</v>
      </c>
      <c r="J11" s="11" t="s">
        <v>65</v>
      </c>
      <c r="K11" s="8"/>
      <c r="L11" s="8"/>
      <c r="M11" s="8"/>
      <c r="N11" s="8"/>
      <c r="O11" s="8"/>
    </row>
    <row r="12" spans="1:15" ht="18" x14ac:dyDescent="0.3">
      <c r="A12" s="9" t="s">
        <v>38</v>
      </c>
      <c r="B12" s="21">
        <f>(B3-B5*2-VLOOKUP(L2,鋼筋號數!$A$3:$C$13,2,FALSE)*2-VLOOKUP(F3,鋼筋號數!$A$3:$C$13,2,FALSE)*F5)/(F5-1)</f>
        <v>6.7927999999999997</v>
      </c>
      <c r="C12" s="11" t="s">
        <v>0</v>
      </c>
      <c r="D12" s="8"/>
      <c r="E12" s="9" t="s">
        <v>168</v>
      </c>
      <c r="F12" s="21">
        <f>ROUND((I10+I11)/I9+F11*I9/2,1)</f>
        <v>43.6</v>
      </c>
      <c r="G12" s="25" t="s">
        <v>66</v>
      </c>
      <c r="H12" s="24" t="s">
        <v>70</v>
      </c>
      <c r="I12" s="12">
        <v>25</v>
      </c>
      <c r="J12" s="11" t="s">
        <v>0</v>
      </c>
      <c r="K12" s="8"/>
      <c r="L12" s="8"/>
      <c r="M12" s="8"/>
      <c r="N12" s="8"/>
      <c r="O12" s="8"/>
    </row>
    <row r="13" spans="1:15" ht="16.2" x14ac:dyDescent="0.3">
      <c r="A13" s="22" t="s">
        <v>56</v>
      </c>
      <c r="B13" s="21">
        <f>IF(280&gt;=B6,0.85,IF(560&gt;=B6,ROUND(0.85-((B6-280)/70)*0.05,2),0.65))</f>
        <v>0.85</v>
      </c>
      <c r="C13" s="11"/>
      <c r="D13" s="8"/>
      <c r="E13" s="9" t="s">
        <v>67</v>
      </c>
      <c r="F13" s="10">
        <f>ROUND(F12/((B3/100)*(B10/100)*((10*B6)^(1/2))),2)</f>
        <v>1.44</v>
      </c>
      <c r="H13" s="24" t="s">
        <v>69</v>
      </c>
      <c r="I13" s="10" t="str">
        <f>IF(I12&lt;B10/3,"有圍束","無圍束")</f>
        <v>有圍束</v>
      </c>
      <c r="J13" s="8"/>
      <c r="K13" s="8"/>
      <c r="L13" s="8"/>
      <c r="M13" s="8"/>
      <c r="N13" s="8"/>
      <c r="O13" s="8"/>
    </row>
    <row r="14" spans="1:15" x14ac:dyDescent="0.3">
      <c r="A14" s="6" t="s">
        <v>1</v>
      </c>
      <c r="B14" s="8"/>
      <c r="C14" s="8"/>
      <c r="D14" s="8"/>
      <c r="E14" s="6" t="s">
        <v>83</v>
      </c>
      <c r="H14" s="8"/>
      <c r="I14" s="8"/>
      <c r="J14" s="8"/>
      <c r="K14" s="8"/>
      <c r="L14" s="8"/>
      <c r="M14" s="8"/>
      <c r="N14" s="8"/>
      <c r="O14" s="8"/>
    </row>
    <row r="15" spans="1:15" x14ac:dyDescent="0.3">
      <c r="A15" s="9" t="s">
        <v>40</v>
      </c>
      <c r="B15" s="20" t="str">
        <f>IF(B2="雙",IF(B9&gt;=2.5,"OK","NG"),"不用檢核")</f>
        <v>OK</v>
      </c>
      <c r="C15" s="8"/>
      <c r="D15" s="8"/>
      <c r="E15" s="9" t="s">
        <v>84</v>
      </c>
      <c r="F15" s="36" cm="1">
        <f t="array" ref="F15">_xlfn.IFS(AND(F10&lt;=0,I13="有圍束",F13&lt;=3),'梁-過程雜項'!O2,AND(F10&lt;=0,I13="有圍束",F13&gt;=6),'梁-過程雜項'!O3,AND(I13="有圍束",F13&lt;=3,F10&gt;=0.5),'梁-過程雜項'!O4,AND(I13="有圍束",F13&gt;=6,F10&gt;=0.5),'梁-過程雜項'!O5,AND(F10&lt;=0,I13="無圍束",F13&lt;=3),'梁-過程雜項'!O6,AND(F10&lt;=0,I13="無圍束",F13&gt;=6),'梁-過程雜項'!O7,AND(I13="無圍束",F13&lt;=3,F10&gt;=0.5),'梁-過程雜項'!O8,AND(I13="有圍束",F13&gt;=6,F10&gt;=0.5),'梁-過程雜項'!O9)</f>
        <v>2.5000000000000001E-2</v>
      </c>
      <c r="H15" s="8"/>
      <c r="I15" s="8"/>
      <c r="J15" s="8"/>
      <c r="K15" s="8"/>
      <c r="L15" s="8"/>
      <c r="M15" s="8"/>
      <c r="N15" s="8"/>
      <c r="O15" s="8"/>
    </row>
    <row r="16" spans="1:15" x14ac:dyDescent="0.3">
      <c r="A16" s="9" t="s">
        <v>41</v>
      </c>
      <c r="B16" s="20" t="str">
        <f>IF(B12&gt;=MIN(VLOOKUP(F3,鋼筋號數!$A$3:$C$13,2,FALSE),2.5),"OK","NG")</f>
        <v>OK</v>
      </c>
      <c r="C16" s="18"/>
      <c r="D16" s="8"/>
      <c r="E16" s="9" t="s">
        <v>85</v>
      </c>
      <c r="F16" s="36" cm="1">
        <f t="array" ref="F16">_xlfn.IFS(AND(F10&lt;=0,I13="有圍束",F13&lt;=3),'梁-過程雜項'!P2,AND(F10&lt;=0,I13="有圍束",F13&gt;=6),'梁-過程雜項'!P3,AND(I13="有圍束",F13&lt;=3,F10&gt;=0.5),'梁-過程雜項'!P4,AND(I13="有圍束",F13&gt;=6,F10&gt;=0.5),'梁-過程雜項'!P5,AND(F10&lt;=0,I13="無圍束",F13&lt;=3),'梁-過程雜項'!P6,AND(F10&lt;=0,I13="無圍束",F13&gt;=6),'梁-過程雜項'!P7,AND(I13="無圍束",F13&lt;=3,F10&gt;=0.5),'梁-過程雜項'!P8,AND(I13="有圍束",F13&gt;=6,F10&gt;=0.5),'梁-過程雜項'!P9)</f>
        <v>0.05</v>
      </c>
      <c r="G16" s="18"/>
      <c r="H16" s="18"/>
      <c r="I16" s="18"/>
      <c r="J16" s="18"/>
      <c r="K16" s="18"/>
      <c r="L16" s="18"/>
      <c r="M16" s="18"/>
      <c r="N16" s="18"/>
      <c r="O16" s="18"/>
    </row>
    <row r="17" spans="1:14" x14ac:dyDescent="0.3">
      <c r="A17" s="9" t="s">
        <v>39</v>
      </c>
      <c r="B17" s="19" t="str">
        <f>IF(B4&gt;=40,"適用程式","不適用程式")</f>
        <v>適用程式</v>
      </c>
      <c r="E17" s="9" t="s">
        <v>86</v>
      </c>
      <c r="F17" s="36" cm="1">
        <f t="array" ref="F17">_xlfn.IFS(AND(F10&lt;=0,I13="有圍束",F13&lt;=3),'梁-過程雜項'!Q2,AND(F10&lt;=0,I13="有圍束",F13&gt;=6),'梁-過程雜項'!Q3,AND(I13="有圍束",F13&lt;=3,F10&gt;=0.5),'梁-過程雜項'!Q4,AND(I13="有圍束",F13&gt;=6,F10&gt;=0.5),'梁-過程雜項'!Q5,AND(F10&lt;=0,I13="無圍束",F13&lt;=3),'梁-過程雜項'!Q6,AND(F10&lt;=0,I13="無圍束",F13&gt;=6),'梁-過程雜項'!Q7,AND(I13="無圍束",F13&lt;=3,F10&gt;=0.5),'梁-過程雜項'!Q8,AND(I13="有圍束",F13&gt;=6,F10&gt;=0.5),'梁-過程雜項'!Q9)</f>
        <v>0.2</v>
      </c>
      <c r="J17" s="1"/>
      <c r="N17" s="1"/>
    </row>
    <row r="18" spans="1:14" x14ac:dyDescent="0.3">
      <c r="E18" s="6" t="s">
        <v>163</v>
      </c>
    </row>
    <row r="19" spans="1:14" x14ac:dyDescent="0.3">
      <c r="E19" s="9" t="s">
        <v>131</v>
      </c>
      <c r="F19" s="38">
        <f>IF(AND('梁-過程雜項'!A22="壓力筋降伏",'梁-過程雜項'!M27="拉力筋不降伏"),'梁-過程雜項'!P24,'梁-過程雜項'!J35)</f>
        <v>145.22</v>
      </c>
      <c r="G19" s="11" t="s">
        <v>65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F3D94A8E-E95D-4C9E-AC06-EAC8DE1498FF}">
          <x14:formula1>
            <xm:f>鋼筋號數!$A$3:$A$13</xm:f>
          </x14:formula1>
          <xm:sqref>F2:F3 I2 L2</xm:sqref>
        </x14:dataValidation>
        <x14:dataValidation type="list" allowBlank="1" showInputMessage="1" showErrorMessage="1" xr:uid="{C5F28930-E7D1-4D8C-99EB-EEC7C8F0072C}">
          <x14:formula1>
            <xm:f>'梁-過程雜項'!$A$1:$A$2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CDE3-DBCE-4D67-A40A-FDCCBA0E3CAF}">
  <dimension ref="A1:Q42"/>
  <sheetViews>
    <sheetView workbookViewId="0">
      <selection activeCell="E7" sqref="E7"/>
    </sheetView>
  </sheetViews>
  <sheetFormatPr defaultRowHeight="15" x14ac:dyDescent="0.3"/>
  <cols>
    <col min="1" max="1" width="28.625" style="8" bestFit="1" customWidth="1"/>
    <col min="2" max="2" width="17" style="8" bestFit="1" customWidth="1"/>
    <col min="3" max="3" width="9" style="8"/>
    <col min="4" max="4" width="20.5" style="8" bestFit="1" customWidth="1"/>
    <col min="5" max="5" width="14.5" style="8" bestFit="1" customWidth="1"/>
    <col min="6" max="6" width="13.75" style="8" bestFit="1" customWidth="1"/>
    <col min="7" max="7" width="13.25" style="8" bestFit="1" customWidth="1"/>
    <col min="8" max="8" width="9.625" style="8" bestFit="1" customWidth="1"/>
    <col min="9" max="9" width="8.5" style="8" bestFit="1" customWidth="1"/>
    <col min="10" max="10" width="14.5" style="8" bestFit="1" customWidth="1"/>
    <col min="11" max="11" width="9" style="8"/>
    <col min="12" max="12" width="15" style="8" bestFit="1" customWidth="1"/>
    <col min="13" max="13" width="13.25" style="8" bestFit="1" customWidth="1"/>
    <col min="14" max="14" width="18.25" style="8" bestFit="1" customWidth="1"/>
    <col min="15" max="15" width="9" style="8"/>
    <col min="16" max="16" width="12" style="8" bestFit="1" customWidth="1"/>
    <col min="17" max="16384" width="9" style="8"/>
  </cols>
  <sheetData>
    <row r="1" spans="1:17" ht="16.2" x14ac:dyDescent="0.3">
      <c r="A1" s="21" t="s">
        <v>42</v>
      </c>
      <c r="C1" s="8" t="s">
        <v>102</v>
      </c>
      <c r="D1" s="12" t="s">
        <v>72</v>
      </c>
      <c r="E1" s="12"/>
      <c r="F1" s="12"/>
      <c r="G1" s="12"/>
      <c r="H1" s="12"/>
      <c r="I1" s="12"/>
      <c r="L1" s="9" t="s">
        <v>140</v>
      </c>
      <c r="M1" s="9" t="s">
        <v>68</v>
      </c>
      <c r="N1" s="9" t="s">
        <v>67</v>
      </c>
      <c r="O1" s="9" t="s">
        <v>87</v>
      </c>
      <c r="P1" s="9" t="s">
        <v>88</v>
      </c>
      <c r="Q1" s="9" t="s">
        <v>89</v>
      </c>
    </row>
    <row r="2" spans="1:17" x14ac:dyDescent="0.3">
      <c r="A2" s="21" t="s">
        <v>33</v>
      </c>
      <c r="D2" s="12" t="s">
        <v>71</v>
      </c>
      <c r="E2" s="12">
        <f>雙筋梁!I4*雙筋梁!B7*1.25</f>
        <v>101081.4</v>
      </c>
      <c r="F2" s="12" t="s">
        <v>73</v>
      </c>
      <c r="G2" s="12"/>
      <c r="H2" s="12"/>
      <c r="I2" s="12"/>
      <c r="L2" s="29" t="s">
        <v>90</v>
      </c>
      <c r="M2" s="29" t="s">
        <v>92</v>
      </c>
      <c r="N2" s="29" t="s">
        <v>94</v>
      </c>
      <c r="O2" s="29">
        <v>2.5000000000000001E-2</v>
      </c>
      <c r="P2" s="29">
        <v>0.05</v>
      </c>
      <c r="Q2" s="29">
        <v>0.2</v>
      </c>
    </row>
    <row r="3" spans="1:17" x14ac:dyDescent="0.3">
      <c r="D3" s="12" t="s">
        <v>74</v>
      </c>
      <c r="E3" s="12">
        <f>0.85*雙筋梁!B6*雙筋梁!B3</f>
        <v>14280</v>
      </c>
      <c r="F3" s="12" t="s">
        <v>75</v>
      </c>
      <c r="G3" s="12" t="s">
        <v>78</v>
      </c>
      <c r="H3" s="12">
        <f>E3*F4</f>
        <v>101081.4084</v>
      </c>
      <c r="I3" s="12" t="s">
        <v>79</v>
      </c>
      <c r="L3" s="29" t="s">
        <v>90</v>
      </c>
      <c r="M3" s="29" t="s">
        <v>92</v>
      </c>
      <c r="N3" s="29" t="s">
        <v>95</v>
      </c>
      <c r="O3" s="29">
        <v>0.02</v>
      </c>
      <c r="P3" s="29">
        <v>0.04</v>
      </c>
      <c r="Q3" s="29">
        <v>0.2</v>
      </c>
    </row>
    <row r="4" spans="1:17" x14ac:dyDescent="0.3">
      <c r="D4" s="12" t="s">
        <v>76</v>
      </c>
      <c r="E4" s="12" t="s">
        <v>77</v>
      </c>
      <c r="F4" s="12">
        <f>ROUND(E2/E3,5)</f>
        <v>7.0785299999999998</v>
      </c>
      <c r="G4" s="12" t="s">
        <v>0</v>
      </c>
      <c r="H4" s="12"/>
      <c r="I4" s="12"/>
      <c r="L4" s="29" t="s">
        <v>91</v>
      </c>
      <c r="M4" s="29" t="s">
        <v>92</v>
      </c>
      <c r="N4" s="29" t="s">
        <v>94</v>
      </c>
      <c r="O4" s="29">
        <v>0.02</v>
      </c>
      <c r="P4" s="29">
        <v>0.03</v>
      </c>
      <c r="Q4" s="29">
        <v>0.2</v>
      </c>
    </row>
    <row r="5" spans="1:17" x14ac:dyDescent="0.3">
      <c r="D5" s="7"/>
      <c r="E5" s="7"/>
      <c r="F5" s="7"/>
      <c r="G5" s="7"/>
      <c r="H5" s="7"/>
      <c r="I5" s="7"/>
      <c r="L5" s="29" t="s">
        <v>91</v>
      </c>
      <c r="M5" s="29" t="s">
        <v>92</v>
      </c>
      <c r="N5" s="29" t="s">
        <v>95</v>
      </c>
      <c r="O5" s="29">
        <v>1.4999999999999999E-2</v>
      </c>
      <c r="P5" s="29">
        <v>0.02</v>
      </c>
      <c r="Q5" s="29">
        <v>0.2</v>
      </c>
    </row>
    <row r="6" spans="1:17" x14ac:dyDescent="0.3">
      <c r="D6" s="12" t="s">
        <v>80</v>
      </c>
      <c r="E6" s="12" t="s">
        <v>81</v>
      </c>
      <c r="F6" s="12" t="s">
        <v>82</v>
      </c>
      <c r="G6" s="12"/>
      <c r="H6" s="12"/>
      <c r="I6" s="12"/>
      <c r="L6" s="29" t="s">
        <v>90</v>
      </c>
      <c r="M6" s="29" t="s">
        <v>93</v>
      </c>
      <c r="N6" s="29" t="s">
        <v>94</v>
      </c>
      <c r="O6" s="29">
        <v>0.02</v>
      </c>
      <c r="P6" s="29">
        <v>0.03</v>
      </c>
      <c r="Q6" s="29">
        <v>0.2</v>
      </c>
    </row>
    <row r="7" spans="1:17" x14ac:dyDescent="0.3">
      <c r="D7" s="12" t="s">
        <v>71</v>
      </c>
      <c r="E7" s="12">
        <f>雙筋梁!F6*雙筋梁!B7*1.25</f>
        <v>202162.8</v>
      </c>
      <c r="F7" s="12" t="s">
        <v>73</v>
      </c>
      <c r="G7" s="12"/>
      <c r="H7" s="12"/>
      <c r="I7" s="12"/>
      <c r="L7" s="29" t="s">
        <v>90</v>
      </c>
      <c r="M7" s="29" t="s">
        <v>93</v>
      </c>
      <c r="N7" s="29" t="s">
        <v>95</v>
      </c>
      <c r="O7" s="29">
        <v>0.01</v>
      </c>
      <c r="P7" s="29">
        <v>1.4999999999999999E-2</v>
      </c>
      <c r="Q7" s="29">
        <v>0.2</v>
      </c>
    </row>
    <row r="8" spans="1:17" x14ac:dyDescent="0.3">
      <c r="D8" s="12" t="s">
        <v>74</v>
      </c>
      <c r="E8" s="12">
        <f>0.85*雙筋梁!B6*雙筋梁!B3</f>
        <v>14280</v>
      </c>
      <c r="F8" s="12" t="s">
        <v>75</v>
      </c>
      <c r="G8" s="12" t="s">
        <v>78</v>
      </c>
      <c r="H8" s="12">
        <f>E8*F9</f>
        <v>202162.8168</v>
      </c>
      <c r="I8" s="12" t="s">
        <v>79</v>
      </c>
      <c r="L8" s="29" t="s">
        <v>91</v>
      </c>
      <c r="M8" s="29" t="s">
        <v>93</v>
      </c>
      <c r="N8" s="29" t="s">
        <v>94</v>
      </c>
      <c r="O8" s="29">
        <v>0.01</v>
      </c>
      <c r="P8" s="29">
        <v>1.4999999999999999E-2</v>
      </c>
      <c r="Q8" s="29">
        <v>0.2</v>
      </c>
    </row>
    <row r="9" spans="1:17" x14ac:dyDescent="0.3">
      <c r="D9" s="12" t="s">
        <v>76</v>
      </c>
      <c r="E9" s="12" t="s">
        <v>77</v>
      </c>
      <c r="F9" s="12">
        <f>ROUND(E7/E8,5)</f>
        <v>14.15706</v>
      </c>
      <c r="G9" s="12" t="s">
        <v>0</v>
      </c>
      <c r="H9" s="12"/>
      <c r="I9" s="12"/>
      <c r="L9" s="29" t="s">
        <v>91</v>
      </c>
      <c r="M9" s="29" t="s">
        <v>93</v>
      </c>
      <c r="N9" s="29" t="s">
        <v>95</v>
      </c>
      <c r="O9" s="29">
        <v>5.0000000000000001E-3</v>
      </c>
      <c r="P9" s="29">
        <v>0.01</v>
      </c>
      <c r="Q9" s="29">
        <v>0.2</v>
      </c>
    </row>
    <row r="12" spans="1:17" ht="16.2" x14ac:dyDescent="0.3">
      <c r="A12" s="37" t="s">
        <v>141</v>
      </c>
      <c r="B12" s="37">
        <f>雙筋梁!B7/(2.04*10^6)</f>
        <v>2.3019607843137255E-3</v>
      </c>
    </row>
    <row r="13" spans="1:17" x14ac:dyDescent="0.3">
      <c r="A13" s="6" t="s">
        <v>132</v>
      </c>
    </row>
    <row r="14" spans="1:17" x14ac:dyDescent="0.3">
      <c r="A14" s="37" t="s">
        <v>133</v>
      </c>
      <c r="B14" s="37">
        <f>3*雙筋梁!B11</f>
        <v>24.900000000000002</v>
      </c>
      <c r="C14" s="37"/>
      <c r="D14" s="37"/>
      <c r="E14" s="37"/>
    </row>
    <row r="15" spans="1:17" x14ac:dyDescent="0.3">
      <c r="A15" s="37" t="s">
        <v>74</v>
      </c>
      <c r="B15" s="37">
        <f>0.85*雙筋梁!B6*雙筋梁!B3*雙筋梁!B13*'梁-過程雜項'!B14</f>
        <v>302236.2</v>
      </c>
      <c r="C15" s="37" t="s">
        <v>78</v>
      </c>
      <c r="D15" s="37">
        <f>B15/1000</f>
        <v>302.2362</v>
      </c>
      <c r="E15" s="37" t="s">
        <v>66</v>
      </c>
    </row>
    <row r="16" spans="1:17" x14ac:dyDescent="0.3">
      <c r="A16" s="37" t="s">
        <v>134</v>
      </c>
      <c r="B16" s="37">
        <f>雙筋梁!I4*(雙筋梁!B7-0.85*雙筋梁!B6)</f>
        <v>76766.759999999995</v>
      </c>
      <c r="C16" s="37" t="s">
        <v>78</v>
      </c>
      <c r="D16" s="37">
        <f>B16/1000</f>
        <v>76.766759999999991</v>
      </c>
      <c r="E16" s="37" t="s">
        <v>66</v>
      </c>
    </row>
    <row r="17" spans="1:16" ht="16.2" x14ac:dyDescent="0.3">
      <c r="A17" s="37" t="s">
        <v>142</v>
      </c>
      <c r="B17" s="37">
        <f>((雙筋梁!B10-'梁-過程雜項'!B14)/'梁-過程雜項'!B14)*0.003</f>
        <v>8.5060240963855411E-3</v>
      </c>
      <c r="C17" s="37" t="s">
        <v>143</v>
      </c>
      <c r="D17" s="37">
        <f>IF(B17&gt;='梁-過程雜項'!B12,雙筋梁!B7,'梁-過程雜項'!B17*2.04*10^6)</f>
        <v>4696</v>
      </c>
      <c r="E17" s="37"/>
    </row>
    <row r="18" spans="1:16" x14ac:dyDescent="0.3">
      <c r="A18" s="37" t="s">
        <v>71</v>
      </c>
      <c r="B18" s="37">
        <f>雙筋梁!F6*'梁-過程雜項'!D17</f>
        <v>161730.23999999999</v>
      </c>
      <c r="C18" s="37" t="s">
        <v>78</v>
      </c>
      <c r="D18" s="37">
        <f>B18/1000</f>
        <v>161.73023999999998</v>
      </c>
      <c r="E18" s="37" t="s">
        <v>66</v>
      </c>
    </row>
    <row r="19" spans="1:16" x14ac:dyDescent="0.3">
      <c r="A19" s="37" t="s">
        <v>139</v>
      </c>
      <c r="B19" s="37">
        <f>D15+D16</f>
        <v>379.00295999999997</v>
      </c>
      <c r="C19" s="37"/>
      <c r="D19" s="37"/>
      <c r="E19" s="37"/>
    </row>
    <row r="20" spans="1:16" x14ac:dyDescent="0.3">
      <c r="A20" s="6" t="s">
        <v>138</v>
      </c>
    </row>
    <row r="21" spans="1:16" x14ac:dyDescent="0.3">
      <c r="A21" s="37" t="str" cm="1">
        <f t="array" ref="A21">_xlfn.IFS(B19&gt;D18,"中性軸會向上移",B19&lt;D18,"中性軸會向下移")</f>
        <v>中性軸會向上移</v>
      </c>
    </row>
    <row r="22" spans="1:16" x14ac:dyDescent="0.3">
      <c r="A22" s="37" t="str" cm="1">
        <f t="array" ref="A22">_xlfn.IFS(A21="中性軸會向下移","壓力筋降伏",A21="中性軸會向上移","壓力筋不降伏")</f>
        <v>壓力筋不降伏</v>
      </c>
      <c r="B22" s="37" t="str" cm="1">
        <f t="array" ref="B22">_xlfn.IFS(A21="中性軸會向下移","拉力筋降伏",A21="中性軸會向上移","拉力筋降伏")</f>
        <v>拉力筋降伏</v>
      </c>
    </row>
    <row r="23" spans="1:16" x14ac:dyDescent="0.3">
      <c r="A23" s="39" t="s">
        <v>144</v>
      </c>
      <c r="D23" s="39" t="s">
        <v>145</v>
      </c>
      <c r="J23" s="6" t="s">
        <v>149</v>
      </c>
      <c r="N23" s="41" t="s">
        <v>165</v>
      </c>
      <c r="P23" s="39" t="s">
        <v>166</v>
      </c>
    </row>
    <row r="24" spans="1:16" x14ac:dyDescent="0.3">
      <c r="A24" s="33" t="s">
        <v>31</v>
      </c>
      <c r="B24" s="29" t="str">
        <f>IF(A22="壓力筋降伏",雙筋梁!B7,"Fs' = Es*ε's")</f>
        <v>Fs' = Es*ε's</v>
      </c>
      <c r="D24" s="33" t="s">
        <v>152</v>
      </c>
      <c r="E24" s="29"/>
      <c r="F24" s="29"/>
      <c r="J24" s="33" t="s">
        <v>150</v>
      </c>
      <c r="K24" s="29" t="s">
        <v>151</v>
      </c>
      <c r="L24" s="29" cm="1">
        <f t="array" ref="L24">_xlfn.IFS(A22="壓力筋降伏",ROUND((E27-E26)/E25,1),A22="壓力筋不降伏",MAX(E37,E38))</f>
        <v>11.3</v>
      </c>
      <c r="M24" s="29" t="s">
        <v>0</v>
      </c>
      <c r="N24" s="8" t="s">
        <v>151</v>
      </c>
      <c r="O24" s="8" t="e" cm="1">
        <f t="array" ref="O24">_xlfn.IFS(AND(A22="壓力筋降伏",L27="NG"),ROUND((E42-E41)/E40,1))</f>
        <v>#N/A</v>
      </c>
      <c r="P24" s="36" t="e">
        <f>ROUND((H40*(雙筋梁!B10-雙筋梁!B13*'梁-過程雜項'!O24/2)+'梁-過程雜項'!E41*(雙筋梁!B10-雙筋梁!B11))/100000,2)</f>
        <v>#N/A</v>
      </c>
    </row>
    <row r="25" spans="1:16" x14ac:dyDescent="0.3">
      <c r="A25" s="33" t="s">
        <v>30</v>
      </c>
      <c r="B25" s="29" t="str">
        <f>IF(B22="拉力筋降伏","Fs=Fy","Fs = Es*εs")</f>
        <v>Fs=Fy</v>
      </c>
      <c r="D25" s="29" t="s">
        <v>146</v>
      </c>
      <c r="E25" s="29">
        <f>0.85*雙筋梁!B6*雙筋梁!B3*雙筋梁!B13</f>
        <v>12138</v>
      </c>
      <c r="F25" s="29" t="s">
        <v>155</v>
      </c>
      <c r="G25" s="29" t="s">
        <v>78</v>
      </c>
      <c r="H25" s="29">
        <f>E25*L24</f>
        <v>137159.4</v>
      </c>
      <c r="J25" s="39" t="s">
        <v>1</v>
      </c>
    </row>
    <row r="26" spans="1:16" ht="16.2" x14ac:dyDescent="0.3">
      <c r="D26" s="29" t="s">
        <v>147</v>
      </c>
      <c r="E26" s="29">
        <f>雙筋梁!I4*(雙筋梁!B7-0.85*雙筋梁!B6)</f>
        <v>76766.759999999995</v>
      </c>
      <c r="F26" s="29"/>
      <c r="G26" s="29"/>
      <c r="H26" s="29"/>
      <c r="J26" s="40" t="s">
        <v>161</v>
      </c>
      <c r="K26" s="29">
        <f>((L24-雙筋梁!B11)/'梁-過程雜項'!L24)*0.003</f>
        <v>7.9646017699115039E-4</v>
      </c>
      <c r="L26" s="29" t="str" cm="1">
        <f t="array" ref="L26">_xlfn.IFS(AND(A22="壓力筋不降伏",K26&lt;B12),"OK",AND(A22="壓力筋降伏",K26&gt;=B12),"OK",AND(A22="壓力筋不降伏",K26&gt;=B12),"NG",AND(A22="壓力筋降伏",K26&lt;B12),"NG")</f>
        <v>OK</v>
      </c>
    </row>
    <row r="27" spans="1:16" ht="16.2" x14ac:dyDescent="0.3">
      <c r="D27" s="29" t="s">
        <v>148</v>
      </c>
      <c r="E27" s="29">
        <f>雙筋梁!F6*雙筋梁!B7</f>
        <v>161730.23999999999</v>
      </c>
      <c r="F27" s="29"/>
      <c r="G27" s="29"/>
      <c r="H27" s="29"/>
      <c r="J27" s="33" t="s">
        <v>142</v>
      </c>
      <c r="K27" s="29">
        <f>((雙筋梁!B10-L24)/'梁-過程雜項'!L24)*0.003</f>
        <v>2.2353982300884954E-2</v>
      </c>
      <c r="L27" s="29" t="str" cm="1">
        <f t="array" ref="L27">_xlfn.IFS(AND(B22="拉力筋不降伏",K27&lt;B12),"OK",AND(B22="拉力筋降伏",K27&gt;=B12),"OK",AND(B22="拉力筋不降伏",K27&gt;=B12),"NG",AND(B22="拉力筋降伏",K27&lt;B12),"NG")</f>
        <v>OK</v>
      </c>
      <c r="M27" s="8" t="str">
        <f>IF(L27="OK","拉力筋降伏","拉力筋不降伏")</f>
        <v>拉力筋降伏</v>
      </c>
    </row>
    <row r="28" spans="1:16" x14ac:dyDescent="0.3">
      <c r="D28" s="33" t="s">
        <v>153</v>
      </c>
      <c r="E28" s="29"/>
      <c r="F28" s="29"/>
      <c r="G28" s="29"/>
      <c r="H28" s="29"/>
    </row>
    <row r="29" spans="1:16" x14ac:dyDescent="0.3">
      <c r="D29" s="29" t="s">
        <v>146</v>
      </c>
      <c r="E29" s="29">
        <f>0.85*雙筋梁!B6*雙筋梁!B3*雙筋梁!B13</f>
        <v>12138</v>
      </c>
      <c r="F29" s="29" t="s">
        <v>155</v>
      </c>
      <c r="G29" s="29" t="s">
        <v>78</v>
      </c>
      <c r="H29" s="29">
        <f>E29*L24</f>
        <v>137159.4</v>
      </c>
    </row>
    <row r="30" spans="1:16" x14ac:dyDescent="0.3">
      <c r="D30" s="29" t="s">
        <v>147</v>
      </c>
      <c r="E30" s="29">
        <f>(6120-0.85*雙筋梁!B6)*雙筋梁!I4</f>
        <v>101288.04</v>
      </c>
      <c r="F30" s="29">
        <f>-6120*雙筋梁!I4*雙筋梁!B11</f>
        <v>-874707.12</v>
      </c>
      <c r="G30" s="29" t="s">
        <v>154</v>
      </c>
      <c r="H30" s="29" t="s">
        <v>78</v>
      </c>
      <c r="I30" s="29">
        <f>E30+F30/L24</f>
        <v>23880.330265486729</v>
      </c>
    </row>
    <row r="31" spans="1:16" x14ac:dyDescent="0.3">
      <c r="D31" s="29" t="s">
        <v>148</v>
      </c>
      <c r="E31" s="29">
        <f>雙筋梁!F6*雙筋梁!B7</f>
        <v>161730.23999999999</v>
      </c>
      <c r="F31" s="29"/>
    </row>
    <row r="32" spans="1:16" x14ac:dyDescent="0.3">
      <c r="D32" s="33" t="s">
        <v>156</v>
      </c>
      <c r="E32" s="29"/>
      <c r="F32" s="29"/>
    </row>
    <row r="33" spans="4:11" ht="18" x14ac:dyDescent="0.3">
      <c r="D33" s="29" t="s">
        <v>157</v>
      </c>
      <c r="E33" s="29"/>
      <c r="F33" s="29"/>
      <c r="J33" s="39" t="s">
        <v>162</v>
      </c>
    </row>
    <row r="34" spans="4:11" x14ac:dyDescent="0.3">
      <c r="D34" s="29" t="s">
        <v>87</v>
      </c>
      <c r="E34" s="29" t="s">
        <v>88</v>
      </c>
      <c r="F34" s="29" t="s">
        <v>89</v>
      </c>
      <c r="J34" s="29" cm="1">
        <f t="array" ref="J34">_xlfn.IFS(AND(A22="壓力筋不降伏",B22="拉力筋降伏"),H29*(雙筋梁!B10-雙筋梁!B13*'梁-過程雜項'!L24/2)+'梁-過程雜項'!I30*(雙筋梁!B10-雙筋梁!B11),AND(A22="壓力筋降伏",B22="拉力筋降伏"),H25*(雙筋梁!B10-雙筋梁!B13*'梁-過程雜項'!L24/2)+'梁-過程雜項'!E26*(雙筋梁!B10-雙筋梁!B11))</f>
        <v>14522379.480650444</v>
      </c>
      <c r="K34" s="29" t="s">
        <v>79</v>
      </c>
    </row>
    <row r="35" spans="4:11" x14ac:dyDescent="0.3">
      <c r="D35" s="29">
        <f>E29</f>
        <v>12138</v>
      </c>
      <c r="E35" s="29">
        <f>E30-E31</f>
        <v>-60442.2</v>
      </c>
      <c r="F35" s="29">
        <f>F30</f>
        <v>-874707.12</v>
      </c>
      <c r="J35" s="36">
        <f>ROUND(J34/100000,2)</f>
        <v>145.22</v>
      </c>
      <c r="K35" s="29" t="s">
        <v>65</v>
      </c>
    </row>
    <row r="36" spans="4:11" x14ac:dyDescent="0.3">
      <c r="D36" s="29" t="s">
        <v>158</v>
      </c>
      <c r="E36" s="29"/>
      <c r="F36" s="29"/>
    </row>
    <row r="37" spans="4:11" x14ac:dyDescent="0.3">
      <c r="D37" s="29" t="s">
        <v>160</v>
      </c>
      <c r="E37" s="29">
        <f>ROUND(((-E35+(E35^2-4*D35*F35)^(1/2))/(2*D35)),1)</f>
        <v>11.3</v>
      </c>
      <c r="F37" s="29" t="s">
        <v>0</v>
      </c>
    </row>
    <row r="38" spans="4:11" x14ac:dyDescent="0.3">
      <c r="D38" s="29" t="s">
        <v>159</v>
      </c>
      <c r="E38" s="29">
        <f>ROUND(((-E35-(E35^2-4*D35*F35)^(1/2))/(2*D35)),1)</f>
        <v>-6.4</v>
      </c>
      <c r="F38" s="29" t="s">
        <v>0</v>
      </c>
    </row>
    <row r="39" spans="4:11" x14ac:dyDescent="0.3">
      <c r="D39" s="90" t="s">
        <v>167</v>
      </c>
      <c r="E39" s="91"/>
      <c r="F39" s="91"/>
    </row>
    <row r="40" spans="4:11" x14ac:dyDescent="0.3">
      <c r="D40" s="29" t="s">
        <v>146</v>
      </c>
      <c r="E40" s="29">
        <f>0.85*雙筋梁!B6*雙筋梁!B3*雙筋梁!B13</f>
        <v>12138</v>
      </c>
      <c r="F40" s="29" t="s">
        <v>155</v>
      </c>
      <c r="G40" s="29" t="s">
        <v>78</v>
      </c>
    </row>
    <row r="41" spans="4:11" x14ac:dyDescent="0.3">
      <c r="D41" s="29" t="s">
        <v>147</v>
      </c>
      <c r="E41" s="29">
        <f>雙筋梁!I4*(雙筋梁!B7-0.85*雙筋梁!B6)</f>
        <v>76766.759999999995</v>
      </c>
    </row>
    <row r="42" spans="4:11" x14ac:dyDescent="0.3">
      <c r="D42" s="29" t="s">
        <v>148</v>
      </c>
      <c r="E42" s="29">
        <f>雙筋梁!F6*K27*2.04*10^6</f>
        <v>1570537.1469026548</v>
      </c>
      <c r="F42" s="29"/>
    </row>
  </sheetData>
  <mergeCells count="1">
    <mergeCell ref="D39:F3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EEBE-FC67-4A1C-9952-3D3C0E6701F7}">
  <sheetPr>
    <tabColor theme="9" tint="0.39997558519241921"/>
  </sheetPr>
  <dimension ref="A1:N13"/>
  <sheetViews>
    <sheetView workbookViewId="0">
      <selection activeCell="E16" sqref="E16"/>
    </sheetView>
  </sheetViews>
  <sheetFormatPr defaultRowHeight="15" x14ac:dyDescent="0.3"/>
  <cols>
    <col min="1" max="1" width="29.125" style="8" bestFit="1" customWidth="1"/>
    <col min="2" max="4" width="9" style="8"/>
    <col min="5" max="5" width="25.75" style="8" bestFit="1" customWidth="1"/>
    <col min="6" max="6" width="12" style="8" bestFit="1" customWidth="1"/>
    <col min="7" max="7" width="9.25" style="8" customWidth="1"/>
    <col min="8" max="8" width="9" style="8"/>
    <col min="9" max="9" width="19.5" style="8" bestFit="1" customWidth="1"/>
    <col min="10" max="10" width="10.75" style="8" bestFit="1" customWidth="1"/>
    <col min="11" max="11" width="30.75" style="8" bestFit="1" customWidth="1"/>
    <col min="12" max="12" width="9" style="8"/>
    <col min="13" max="13" width="10.75" style="8" bestFit="1" customWidth="1"/>
    <col min="14" max="14" width="30.75" style="8" bestFit="1" customWidth="1"/>
    <col min="15" max="16384" width="9" style="8"/>
  </cols>
  <sheetData>
    <row r="1" spans="1:14" x14ac:dyDescent="0.3">
      <c r="A1" s="6" t="s">
        <v>2</v>
      </c>
    </row>
    <row r="2" spans="1:14" x14ac:dyDescent="0.3">
      <c r="A2" s="9" t="s">
        <v>96</v>
      </c>
      <c r="B2" s="12">
        <v>60</v>
      </c>
      <c r="C2" s="11" t="s">
        <v>0</v>
      </c>
      <c r="E2" s="9" t="s">
        <v>234</v>
      </c>
      <c r="F2" s="12">
        <v>8</v>
      </c>
      <c r="G2" s="11" t="s">
        <v>34</v>
      </c>
      <c r="I2" s="51" t="s">
        <v>98</v>
      </c>
    </row>
    <row r="3" spans="1:14" x14ac:dyDescent="0.3">
      <c r="A3" s="9" t="s">
        <v>97</v>
      </c>
      <c r="B3" s="12">
        <v>60</v>
      </c>
      <c r="C3" s="11" t="s">
        <v>0</v>
      </c>
      <c r="E3" s="9" t="s">
        <v>235</v>
      </c>
      <c r="F3" s="12">
        <v>8</v>
      </c>
      <c r="G3" s="11" t="s">
        <v>34</v>
      </c>
      <c r="I3" s="9" t="s">
        <v>232</v>
      </c>
      <c r="J3" s="9">
        <f>4</f>
        <v>4</v>
      </c>
      <c r="K3" s="11" t="s">
        <v>34</v>
      </c>
      <c r="L3" s="13" t="s">
        <v>44</v>
      </c>
      <c r="M3" s="26" t="s">
        <v>17</v>
      </c>
      <c r="N3" s="16" t="s">
        <v>29</v>
      </c>
    </row>
    <row r="4" spans="1:14" x14ac:dyDescent="0.3">
      <c r="A4" s="9" t="s">
        <v>218</v>
      </c>
      <c r="B4" s="12">
        <f>14*30.5</f>
        <v>427</v>
      </c>
      <c r="C4" s="11" t="s">
        <v>0</v>
      </c>
      <c r="E4" s="9" t="s">
        <v>112</v>
      </c>
      <c r="F4" s="21">
        <f>F2*2+(F3-2)*2</f>
        <v>28</v>
      </c>
      <c r="G4" s="11" t="s">
        <v>34</v>
      </c>
      <c r="I4" s="9" t="s">
        <v>233</v>
      </c>
      <c r="J4" s="9">
        <f>F4-J3</f>
        <v>24</v>
      </c>
      <c r="K4" s="11" t="s">
        <v>34</v>
      </c>
      <c r="L4" s="13" t="s">
        <v>44</v>
      </c>
      <c r="M4" s="26" t="s">
        <v>16</v>
      </c>
      <c r="N4" s="16" t="s">
        <v>29</v>
      </c>
    </row>
    <row r="5" spans="1:14" x14ac:dyDescent="0.3">
      <c r="A5" s="9" t="s">
        <v>22</v>
      </c>
      <c r="B5" s="77">
        <f>雙筋梁!B5</f>
        <v>6.35</v>
      </c>
      <c r="C5" s="11" t="s">
        <v>0</v>
      </c>
    </row>
    <row r="6" spans="1:14" ht="18" x14ac:dyDescent="0.3">
      <c r="A6" s="9" t="s">
        <v>51</v>
      </c>
      <c r="B6" s="12">
        <f>雙筋梁!B6</f>
        <v>280</v>
      </c>
      <c r="C6" s="11" t="s">
        <v>52</v>
      </c>
      <c r="E6" s="6" t="s">
        <v>242</v>
      </c>
      <c r="I6" s="9" t="s">
        <v>32</v>
      </c>
    </row>
    <row r="7" spans="1:14" ht="18" x14ac:dyDescent="0.3">
      <c r="A7" s="9" t="s">
        <v>25</v>
      </c>
      <c r="B7" s="77">
        <f>雙筋梁!B7</f>
        <v>4696</v>
      </c>
      <c r="C7" s="11" t="s">
        <v>52</v>
      </c>
      <c r="E7" s="9" t="s">
        <v>243</v>
      </c>
      <c r="F7" s="12">
        <f>計算重量!E3/1000</f>
        <v>18.130176000000002</v>
      </c>
      <c r="G7" s="11" t="s">
        <v>66</v>
      </c>
      <c r="I7" s="13" t="s">
        <v>45</v>
      </c>
      <c r="J7" s="26" t="s">
        <v>13</v>
      </c>
      <c r="K7" s="16" t="s">
        <v>29</v>
      </c>
    </row>
    <row r="8" spans="1:14" ht="18" x14ac:dyDescent="0.3">
      <c r="A8" s="9" t="s">
        <v>26</v>
      </c>
      <c r="B8" s="77">
        <f>雙筋梁!B8</f>
        <v>4696</v>
      </c>
      <c r="C8" s="11" t="s">
        <v>52</v>
      </c>
      <c r="I8" s="13" t="s">
        <v>219</v>
      </c>
      <c r="J8" s="12">
        <v>10</v>
      </c>
      <c r="K8" s="11" t="s">
        <v>0</v>
      </c>
    </row>
    <row r="9" spans="1:14" x14ac:dyDescent="0.3">
      <c r="A9" s="9" t="s">
        <v>35</v>
      </c>
      <c r="B9" s="21">
        <f>ROUND(B3-B5-VLOOKUP(J7,鋼筋號數!$A$3:$C$13,2,FALSE)-VLOOKUP(M3,鋼筋號數!$A$3:$C$13,2,FALSE)/2,1)</f>
        <v>51.6</v>
      </c>
      <c r="C9" s="11" t="s">
        <v>0</v>
      </c>
      <c r="E9" s="6" t="s">
        <v>164</v>
      </c>
      <c r="I9" s="13" t="s">
        <v>220</v>
      </c>
      <c r="J9" s="12">
        <v>10</v>
      </c>
      <c r="K9" s="11" t="s">
        <v>0</v>
      </c>
    </row>
    <row r="10" spans="1:14" x14ac:dyDescent="0.3">
      <c r="A10" s="9" t="s">
        <v>101</v>
      </c>
      <c r="B10" s="21">
        <f>ROUND((B5+VLOOKUP(J7,鋼筋號數!$A$3:$C$13,2,FALSE)+VLOOKUP(M3,鋼筋號數!$A$3:$C$13,2,FALSE)/2),1)</f>
        <v>8.4</v>
      </c>
      <c r="C10" s="11" t="s">
        <v>0</v>
      </c>
      <c r="E10" s="9" t="s">
        <v>131</v>
      </c>
      <c r="F10" s="36">
        <f>'柱-過程雜項'!B23</f>
        <v>89.747199999999992</v>
      </c>
      <c r="G10" s="11" t="s">
        <v>65</v>
      </c>
    </row>
    <row r="11" spans="1:14" ht="16.2" x14ac:dyDescent="0.3">
      <c r="A11" s="27" t="s">
        <v>100</v>
      </c>
      <c r="B11" s="21">
        <f>ROUND(B7/(2.04*10^6),6)</f>
        <v>2.3019999999999998E-3</v>
      </c>
      <c r="C11" s="11" t="s">
        <v>0</v>
      </c>
      <c r="I11" s="9" t="s">
        <v>221</v>
      </c>
    </row>
    <row r="12" spans="1:14" ht="16.2" x14ac:dyDescent="0.3">
      <c r="A12" s="9" t="s">
        <v>99</v>
      </c>
      <c r="B12" s="21">
        <f>IF(280&gt;=B6,0.85,IF(560&gt;=B6,ROUND(0.85-((B6-280)/70)*0.05,2),0.65))</f>
        <v>0.85</v>
      </c>
      <c r="E12" s="9" t="s">
        <v>294</v>
      </c>
      <c r="F12" s="21">
        <f>ROUND(2*F10/(B4/100),2)</f>
        <v>42.04</v>
      </c>
      <c r="G12" s="11" t="s">
        <v>66</v>
      </c>
      <c r="I12" s="13" t="s">
        <v>47</v>
      </c>
      <c r="J12" s="12">
        <v>0</v>
      </c>
      <c r="K12" s="11" t="s">
        <v>34</v>
      </c>
    </row>
    <row r="13" spans="1:14" x14ac:dyDescent="0.3">
      <c r="A13" s="9" t="s">
        <v>246</v>
      </c>
      <c r="B13" s="21">
        <f>'柱-過程雜項'!L38</f>
        <v>18.579999999999998</v>
      </c>
      <c r="C13" s="11" t="s">
        <v>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D0FBD5-5A98-4FD0-86D5-671D156F8C4E}">
          <x14:formula1>
            <xm:f>鋼筋號數!$A$3:$A$13</xm:f>
          </x14:formula1>
          <xm:sqref>M3:M4 J7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5C11-85EF-4EF4-A7FA-B4142E091D96}">
  <dimension ref="A1:T67"/>
  <sheetViews>
    <sheetView workbookViewId="0">
      <selection activeCell="G8" sqref="G8"/>
    </sheetView>
  </sheetViews>
  <sheetFormatPr defaultRowHeight="15" x14ac:dyDescent="0.3"/>
  <cols>
    <col min="1" max="1" width="17.5" style="8" bestFit="1" customWidth="1"/>
    <col min="2" max="2" width="9.625" style="8" bestFit="1" customWidth="1"/>
    <col min="3" max="3" width="9.125" style="8" bestFit="1" customWidth="1"/>
    <col min="4" max="4" width="9" style="8"/>
    <col min="5" max="5" width="23.25" style="8" bestFit="1" customWidth="1"/>
    <col min="6" max="6" width="17" style="8" bestFit="1" customWidth="1"/>
    <col min="7" max="7" width="9.625" style="8" bestFit="1" customWidth="1"/>
    <col min="8" max="9" width="20.75" style="8" bestFit="1" customWidth="1"/>
    <col min="10" max="10" width="13.25" style="8" bestFit="1" customWidth="1"/>
    <col min="11" max="11" width="9.125" style="8" bestFit="1" customWidth="1"/>
    <col min="12" max="13" width="23.25" style="8" bestFit="1" customWidth="1"/>
    <col min="14" max="14" width="12" style="8" bestFit="1" customWidth="1"/>
    <col min="15" max="15" width="9" style="8"/>
    <col min="16" max="16" width="9.625" style="8" bestFit="1" customWidth="1"/>
    <col min="17" max="17" width="9.125" style="8" bestFit="1" customWidth="1"/>
    <col min="18" max="16384" width="9" style="8"/>
  </cols>
  <sheetData>
    <row r="1" spans="1:14" x14ac:dyDescent="0.3">
      <c r="A1" s="28" t="s">
        <v>104</v>
      </c>
      <c r="B1" s="29">
        <f>ROUND(柱!B5+VLOOKUP(柱!J7,鋼筋號數!$A$3:$C$13,2,FALSE)+VLOOKUP(柱!M3,鋼筋號數!$A$3:$C$13,2,FALSE)/2,1)</f>
        <v>8.4</v>
      </c>
      <c r="C1" s="29"/>
      <c r="E1" s="30" t="s">
        <v>107</v>
      </c>
      <c r="F1" s="31" t="s">
        <v>108</v>
      </c>
      <c r="G1" s="29">
        <v>1</v>
      </c>
      <c r="J1" s="30" t="s">
        <v>103</v>
      </c>
      <c r="K1" s="32" t="s">
        <v>31</v>
      </c>
      <c r="N1" s="32" t="s">
        <v>110</v>
      </c>
    </row>
    <row r="2" spans="1:14" ht="16.2" x14ac:dyDescent="0.3">
      <c r="A2" s="28" t="s">
        <v>105</v>
      </c>
      <c r="B2" s="29">
        <f>ROUND(柱!B5+VLOOKUP(柱!J7,鋼筋號數!$A$3:$C$13,2,FALSE)+VLOOKUP(柱!M3,鋼筋號數!$A$3:$C$13,2,FALSE)/2+(柱!B3-2*柱!B10)/(柱!F3-1),1)</f>
        <v>14.6</v>
      </c>
      <c r="C2" s="29" t="b">
        <f>B2&lt;=(柱!$B$3-柱!$B$5)</f>
        <v>1</v>
      </c>
      <c r="F2" s="52" t="s">
        <v>109</v>
      </c>
      <c r="G2" s="53">
        <f>柱!F3-'柱-過程雜項'!G1</f>
        <v>7</v>
      </c>
      <c r="I2" s="81" t="s">
        <v>347</v>
      </c>
      <c r="J2" s="8" t="s">
        <v>280</v>
      </c>
      <c r="K2" s="33" t="s">
        <v>113</v>
      </c>
      <c r="L2" s="33">
        <f>('柱-過程雜項'!F38-柱!B10)/'柱-過程雜項'!F38*0.003</f>
        <v>1.6437029063509148E-3</v>
      </c>
      <c r="M2" s="34" t="str">
        <f>IF(L2&gt;=柱!$B$11,"假設錯誤壓力降伏","假設成立壓力未降伏")</f>
        <v>假設成立壓力未降伏</v>
      </c>
      <c r="N2" s="29">
        <f>IF(M2="假設錯誤壓力降伏",柱!$B$7,'柱-過程雜項'!L2*2.04*10^6)</f>
        <v>3353.1539289558664</v>
      </c>
    </row>
    <row r="3" spans="1:14" x14ac:dyDescent="0.3">
      <c r="A3" s="35" t="s">
        <v>106</v>
      </c>
      <c r="B3" s="29">
        <f>ROUND(柱!B5+VLOOKUP(柱!J7,鋼筋號數!$A$3:$C$13,2,FALSE)+VLOOKUP(柱!M3,鋼筋號數!$A$3:$C$13,2,FALSE)/2+2*(柱!B3-2*柱!B10)/(柱!F3-1),1)</f>
        <v>20.8</v>
      </c>
      <c r="C3" s="29" t="b">
        <f>B3&lt;=(柱!$B$3-柱!$B$5)</f>
        <v>1</v>
      </c>
      <c r="E3" s="92" t="s">
        <v>237</v>
      </c>
      <c r="F3" s="92"/>
      <c r="G3" s="92"/>
      <c r="H3" s="54"/>
      <c r="K3" s="33"/>
      <c r="L3" s="33"/>
      <c r="M3" s="34"/>
      <c r="N3" s="29"/>
    </row>
    <row r="4" spans="1:14" x14ac:dyDescent="0.3">
      <c r="B4" s="29">
        <f>ROUND(柱!B5+VLOOKUP(柱!J7,鋼筋號數!$A$3:$C$13,2,FALSE)+VLOOKUP(柱!M3,鋼筋號數!$A$3:$C$13,2,FALSE)/2+3*(柱!B3-2*柱!B10)/(柱!F3-1),1)</f>
        <v>26.9</v>
      </c>
      <c r="C4" s="29" t="b">
        <f>B4&lt;=(柱!$B$3-柱!$B$5)</f>
        <v>1</v>
      </c>
      <c r="E4" s="92" t="s">
        <v>238</v>
      </c>
      <c r="F4" s="92"/>
      <c r="G4" s="92"/>
      <c r="H4" s="54"/>
      <c r="K4" s="33"/>
      <c r="L4" s="33"/>
      <c r="M4" s="34"/>
      <c r="N4" s="29"/>
    </row>
    <row r="5" spans="1:14" x14ac:dyDescent="0.3">
      <c r="A5" s="7" t="s">
        <v>241</v>
      </c>
      <c r="B5" s="29">
        <f>ROUND(柱!B5+VLOOKUP(柱!J7,鋼筋號數!$A$3:$C$13,2,FALSE)+VLOOKUP(柱!M3,鋼筋號數!$A$3:$C$13,2,FALSE)/2+4*(柱!B3-2*柱!B10)/(柱!F3-1),1)</f>
        <v>33.1</v>
      </c>
      <c r="C5" s="29" t="b">
        <f>B5&lt;=(柱!$B$3-柱!$B$5)</f>
        <v>1</v>
      </c>
      <c r="E5" s="92" t="s">
        <v>239</v>
      </c>
      <c r="F5" s="92"/>
      <c r="G5" s="92"/>
      <c r="H5" s="54"/>
      <c r="K5" s="33"/>
      <c r="L5" s="33"/>
      <c r="M5" s="34"/>
      <c r="N5" s="29"/>
    </row>
    <row r="6" spans="1:14" x14ac:dyDescent="0.3">
      <c r="A6" s="7">
        <f>(柱!B3-2*柱!B10)/(柱!F3-1)</f>
        <v>6.1714285714285717</v>
      </c>
      <c r="B6" s="29">
        <f>ROUND(柱!B5+VLOOKUP(柱!J7,鋼筋號數!$A$3:$C$13,2,FALSE)+VLOOKUP(柱!M3,鋼筋號數!$A$3:$C$13,2,FALSE)/2+5*(柱!B3-2*柱!B10)/(柱!F3-1),1)</f>
        <v>39.299999999999997</v>
      </c>
      <c r="C6" s="29" t="b">
        <f>B6&lt;=(柱!$B$3-柱!$B$5)</f>
        <v>1</v>
      </c>
      <c r="E6" s="54" t="s">
        <v>240</v>
      </c>
      <c r="F6" s="54"/>
      <c r="G6" s="54"/>
      <c r="H6" s="54"/>
      <c r="K6" s="33"/>
      <c r="L6" s="33"/>
      <c r="M6" s="34"/>
      <c r="N6" s="29"/>
    </row>
    <row r="7" spans="1:14" x14ac:dyDescent="0.3">
      <c r="B7" s="29">
        <f>ROUND(柱!B5+VLOOKUP(柱!J7,鋼筋號數!$A$3:$C$13,2,FALSE)+VLOOKUP(柱!M3,鋼筋號數!$A$3:$C$13,2,FALSE)/2+6*(柱!B3-2*柱!B10)/(柱!F3-1),1)</f>
        <v>45.4</v>
      </c>
      <c r="C7" s="29" t="b">
        <f>B7&lt;=(柱!$B$3-柱!$B$5)</f>
        <v>1</v>
      </c>
      <c r="E7" s="54" t="s">
        <v>31</v>
      </c>
      <c r="F7" s="54" t="s">
        <v>244</v>
      </c>
      <c r="G7" s="54">
        <f>N2</f>
        <v>3353.1539289558664</v>
      </c>
      <c r="H7" s="54"/>
      <c r="K7" s="33"/>
      <c r="L7" s="33"/>
      <c r="M7" s="34"/>
      <c r="N7" s="29"/>
    </row>
    <row r="8" spans="1:14" x14ac:dyDescent="0.3">
      <c r="B8" s="29">
        <f>ROUND(柱!B5+VLOOKUP(柱!J7,鋼筋號數!$A$3:$C$13,2,FALSE)+VLOOKUP(柱!M3,鋼筋號數!$A$3:$C$13,2,FALSE)/2+7*(柱!B3-2*柱!B10)/(柱!F3-1),1)</f>
        <v>51.6</v>
      </c>
      <c r="C8" s="29" t="b">
        <f>B8&lt;=(柱!$B$3-柱!$B$5)</f>
        <v>1</v>
      </c>
      <c r="E8" s="54"/>
      <c r="F8" s="54" t="s">
        <v>134</v>
      </c>
      <c r="G8" s="54">
        <f>((2*VLOOKUP(柱!M3,鋼筋號數!$A$3:$C$13,3,FALSE)+(柱!F2-2)*VLOOKUP(柱!M4,鋼筋號數!$A$3:$C$13,3,FALSE))*G7)</f>
        <v>83694.722066738424</v>
      </c>
      <c r="H8" s="54" t="s">
        <v>293</v>
      </c>
      <c r="I8" s="54">
        <f>G8/1000</f>
        <v>83.694722066738422</v>
      </c>
      <c r="K8" s="33"/>
      <c r="L8" s="33"/>
      <c r="M8" s="34"/>
      <c r="N8" s="29"/>
    </row>
    <row r="9" spans="1:14" x14ac:dyDescent="0.3">
      <c r="B9" s="29">
        <f>ROUND(柱!B5+VLOOKUP(柱!J7,鋼筋號數!$A$3:$C$13,2,FALSE)+VLOOKUP(柱!M3,鋼筋號數!$A$3:$C$13,2,FALSE)/2+8*(柱!B3-2*柱!B10)/(柱!F3-1),1)</f>
        <v>57.8</v>
      </c>
      <c r="C9" s="29" t="b">
        <f>B9&lt;=(柱!$B$3-柱!$B$5)</f>
        <v>0</v>
      </c>
      <c r="E9" s="54"/>
      <c r="F9" s="54"/>
      <c r="G9" s="54"/>
      <c r="H9" s="54"/>
      <c r="K9" s="33"/>
      <c r="L9" s="33"/>
      <c r="M9" s="34"/>
      <c r="N9" s="29"/>
    </row>
    <row r="10" spans="1:14" x14ac:dyDescent="0.3">
      <c r="B10" s="29">
        <f>ROUND(柱!B5+VLOOKUP(柱!J7,鋼筋號數!$A$3:$C$13,2,FALSE)+VLOOKUP(柱!M3,鋼筋號數!$A$3:$C$13,2,FALSE)/2+9*(柱!B3-2*柱!B10)/(柱!F3-1),1)</f>
        <v>64</v>
      </c>
      <c r="C10" s="29" t="b">
        <f>B10&lt;=(柱!$B$3-柱!$B$5)</f>
        <v>0</v>
      </c>
      <c r="E10" s="54" t="s">
        <v>30</v>
      </c>
      <c r="F10" s="54" t="s">
        <v>245</v>
      </c>
      <c r="G10" s="54">
        <f>N13</f>
        <v>-1310.9580193756724</v>
      </c>
      <c r="H10" s="54"/>
      <c r="K10" s="33"/>
      <c r="L10" s="33"/>
      <c r="M10" s="34"/>
      <c r="N10" s="29"/>
    </row>
    <row r="11" spans="1:14" x14ac:dyDescent="0.3">
      <c r="B11" s="29">
        <f>ROUND(柱!B5+VLOOKUP(柱!J7,鋼筋號數!$A$3:$C$13,2,FALSE)+VLOOKUP(柱!M3,鋼筋號數!$A$3:$C$13,2,FALSE)/2+10*(柱!B3-2*柱!B10)/(柱!F3-1),1)</f>
        <v>70.099999999999994</v>
      </c>
      <c r="C11" s="29" t="b">
        <f>B11&lt;=(柱!$B$3-柱!$B$5)</f>
        <v>0</v>
      </c>
      <c r="E11" s="54" cm="1">
        <f t="array" ref="E11">_xlfn.IFS(C3=TRUE,2,AND(C3=FALSE,C2=FALSE),0,AND(C2=TRUE,C3=FALSE),柱!$F$2)</f>
        <v>2</v>
      </c>
      <c r="F11" s="54" t="s">
        <v>247</v>
      </c>
      <c r="G11" s="54">
        <f>(VLOOKUP(柱!M4,鋼筋號數!$A$3:$C$13,3,FALSE)*E11)*G10</f>
        <v>-7524.8990312163596</v>
      </c>
      <c r="H11" s="54" t="s">
        <v>287</v>
      </c>
      <c r="I11" s="54" cm="1">
        <f t="array" ref="I11">_xlfn.IFS(E11=柱!$F$2,(VLOOKUP(柱!$M$4,鋼筋號數!$A$3:$C$13,3,FALSE)*(E11-2)+VLOOKUP(柱!$M$3,鋼筋號數!$A$3:$C$13,3,FALSE)*2)*N13,E11&lt;柱!$F$2,(VLOOKUP(柱!$M$4,鋼筋號數!$A$3:$C$13,3,FALSE)*E11)*N13)</f>
        <v>-7524.8990312163596</v>
      </c>
      <c r="K11" s="33"/>
      <c r="L11" s="33"/>
      <c r="M11" s="34"/>
      <c r="N11" s="29"/>
    </row>
    <row r="12" spans="1:14" x14ac:dyDescent="0.3">
      <c r="B12" s="29">
        <f>ROUND(柱!B5+VLOOKUP(柱!J7,鋼筋號數!$A$3:$C$13,2,FALSE)+VLOOKUP(柱!M3,鋼筋號數!$A$3:$C$13,2,FALSE)/2+11*(柱!B3-2*柱!B10)/(柱!F3-1),1)</f>
        <v>76.3</v>
      </c>
      <c r="C12" s="29" t="b">
        <f>B12&lt;=(柱!$B$3-柱!$B$5)</f>
        <v>0</v>
      </c>
      <c r="E12" s="54" cm="1">
        <f t="array" ref="E12">_xlfn.IFS(C4=TRUE,2,AND(C4=FALSE,C3=FALSE),0,AND(C3=TRUE,C4=FALSE),柱!$F$2)</f>
        <v>2</v>
      </c>
      <c r="F12" s="54" t="s">
        <v>248</v>
      </c>
      <c r="G12" s="54" cm="1">
        <f t="array" ref="G12">_xlfn.IFS(E12=柱!$F$2,(VLOOKUP(柱!$M$4,鋼筋號數!$A$3:$C$13,3,FALSE)*(E12-2)+VLOOKUP(柱!$M$3,鋼筋號數!$A$3:$C$13,3,FALSE)*2)*柱!$B$7,E12&lt;柱!$F$2,(VLOOKUP(柱!$M$4,鋼筋號數!$A$3:$C$13,3,FALSE)*E12)*柱!$B$7)</f>
        <v>26955.040000000001</v>
      </c>
      <c r="H12" s="54" t="s">
        <v>287</v>
      </c>
      <c r="I12" s="54" cm="1">
        <f t="array" ref="I12">_xlfn.IFS(E12=柱!$F$2,(VLOOKUP(柱!$M$4,鋼筋號數!$A$3:$C$13,3,FALSE)*(E12-2)+VLOOKUP(柱!$M$3,鋼筋號數!$A$3:$C$13,3,FALSE)*2)*N14,E12&lt;柱!$F$2,(VLOOKUP(柱!$M$4,鋼筋號數!$A$3:$C$13,3,FALSE)*E12)*N14)</f>
        <v>4197.3054897739557</v>
      </c>
      <c r="K12" s="32" t="s">
        <v>30</v>
      </c>
      <c r="L12" s="32"/>
      <c r="N12" s="32" t="s">
        <v>111</v>
      </c>
    </row>
    <row r="13" spans="1:14" ht="16.2" x14ac:dyDescent="0.3">
      <c r="B13" s="29">
        <f>ROUND(柱!B5+VLOOKUP(柱!J7,鋼筋號數!$A$3:$C$13,2,FALSE)+VLOOKUP(柱!M3,鋼筋號數!$A$3:$C$13,2,FALSE)/2+12*(柱!B3-2*柱!B10)/(柱!F3-1),1)</f>
        <v>82.5</v>
      </c>
      <c r="C13" s="29" t="b">
        <f>B13&lt;=(柱!$B$3-柱!$B$5)</f>
        <v>0</v>
      </c>
      <c r="E13" s="54" cm="1">
        <f t="array" ref="E13">_xlfn.IFS(C5=TRUE,2,AND(C5=FALSE,C4=FALSE),0,AND(C4=TRUE,C5=FALSE),柱!$F$2)</f>
        <v>2</v>
      </c>
      <c r="F13" s="54" t="s">
        <v>249</v>
      </c>
      <c r="G13" s="54" cm="1">
        <f t="array" ref="G13">_xlfn.IFS(E13=柱!$F$2,(VLOOKUP(柱!$M$4,鋼筋號數!$A$3:$C$13,3,FALSE)*(E13-2)+VLOOKUP(柱!$M$3,鋼筋號數!$A$3:$C$13,3,FALSE)*2)*柱!$B$7,E13&lt;柱!$F$2,(VLOOKUP(柱!$M$4,鋼筋號數!$A$3:$C$13,3,FALSE)*E13)*柱!$B$7)</f>
        <v>26955.040000000001</v>
      </c>
      <c r="H13" s="54" t="s">
        <v>287</v>
      </c>
      <c r="I13" s="54" cm="1">
        <f t="array" ref="I13">_xlfn.IFS(E13=柱!$F$2,(VLOOKUP(柱!$M$4,鋼筋號數!$A$3:$C$13,3,FALSE)*(E13-2)+VLOOKUP(柱!$M$3,鋼筋號數!$A$3:$C$13,3,FALSE)*2)*N15,E13&lt;柱!$F$2,(VLOOKUP(柱!$M$4,鋼筋號數!$A$3:$C$13,3,FALSE)*E13)*N15)</f>
        <v>15730.442195909582</v>
      </c>
      <c r="J13" s="8" t="s">
        <v>280</v>
      </c>
      <c r="K13" s="33" t="s">
        <v>114</v>
      </c>
      <c r="L13" s="33" cm="1">
        <f t="array" ref="L13">_xlfn.IFS(C2=TRUE,(B2-'柱-過程雜項'!$F$38)/'柱-過程雜項'!$F$38*0.003,C2=FALSE,0)</f>
        <v>-6.4262648008611397E-4</v>
      </c>
      <c r="M13" s="34" t="str">
        <f>IF(L13&gt;=柱!$B$11,"假設錯誤拉力降伏","假設成立拉力未降伏")</f>
        <v>假設成立拉力未降伏</v>
      </c>
      <c r="N13" s="29" cm="1">
        <f t="array" ref="N13">_xlfn.IFS(M13="假設成立拉力未降伏",L13*(2.04*10^6),M13="假設錯誤拉力降伏",柱!$B$7)</f>
        <v>-1310.9580193756724</v>
      </c>
    </row>
    <row r="14" spans="1:14" ht="16.2" x14ac:dyDescent="0.3">
      <c r="B14" s="29">
        <f>ROUND(柱!B5+VLOOKUP(柱!J7,鋼筋號數!$A$3:$C$13,2,FALSE)+VLOOKUP(柱!M3,鋼筋號數!$A$3:$C$13,2,FALSE)/2+13*(柱!B3-2*柱!B10)/(柱!F3-1),1)</f>
        <v>88.6</v>
      </c>
      <c r="C14" s="29" t="b">
        <f>B14&lt;=(柱!$B$3-柱!$B$5)</f>
        <v>0</v>
      </c>
      <c r="E14" s="54" cm="1">
        <f t="array" ref="E14">_xlfn.IFS(C6=TRUE,2,AND(C6=FALSE,C5=FALSE),0,AND(C5=TRUE,C6=FALSE),柱!$F$2)</f>
        <v>2</v>
      </c>
      <c r="F14" s="54" t="s">
        <v>250</v>
      </c>
      <c r="G14" s="54" cm="1">
        <f t="array" ref="G14">_xlfn.IFS(E14=柱!$F$2,(VLOOKUP(柱!$M$4,鋼筋號數!$A$3:$C$13,3,FALSE)*(E14-2)+VLOOKUP(柱!$M$3,鋼筋號數!$A$3:$C$13,3,FALSE)*2)*柱!$B$7,E14&lt;柱!$F$2,(VLOOKUP(柱!$M$4,鋼筋號數!$A$3:$C$13,3,FALSE)*E14)*柱!$B$7)</f>
        <v>26955.040000000001</v>
      </c>
      <c r="H14" s="54" t="s">
        <v>287</v>
      </c>
      <c r="I14" s="54" cm="1">
        <f t="array" ref="I14">_xlfn.IFS(E14=柱!$F$2,(VLOOKUP(柱!$M$4,鋼筋號數!$A$3:$C$13,3,FALSE)*(E14-2)+VLOOKUP(柱!$M$3,鋼筋號數!$A$3:$C$13,3,FALSE)*2)*N16,E14&lt;柱!$F$2,(VLOOKUP(柱!$M$4,鋼筋號數!$A$3:$C$13,3,FALSE)*E14)*N16)</f>
        <v>26955.040000000001</v>
      </c>
      <c r="J14" s="8" t="s">
        <v>281</v>
      </c>
      <c r="K14" s="33" t="s">
        <v>115</v>
      </c>
      <c r="L14" s="33" cm="1">
        <f t="array" ref="L14">_xlfn.IFS(C3=TRUE,(B3-'柱-過程雜項'!$F$38)/'柱-過程雜項'!$F$38*0.003,C3=FALSE,0)</f>
        <v>3.5844994617868715E-4</v>
      </c>
      <c r="M14" s="34" t="str">
        <f>IF(L14&gt;=柱!$B$11,"假設成立拉力降伏","假設錯誤拉力未降伏")</f>
        <v>假設錯誤拉力未降伏</v>
      </c>
      <c r="N14" s="29" cm="1">
        <f t="array" ref="N14">_xlfn.IFS(M14="假設錯誤拉力未降伏",L14*(2.04*10^6),M14="假設成立拉力降伏",柱!$B$7)</f>
        <v>731.23789020452182</v>
      </c>
    </row>
    <row r="15" spans="1:14" ht="16.2" x14ac:dyDescent="0.3">
      <c r="B15" s="29">
        <f>ROUND(柱!B5+VLOOKUP(柱!J7,鋼筋號數!$A$3:$C$13,2,FALSE)+VLOOKUP(柱!M3,鋼筋號數!$A$3:$C$13,2,FALSE)/2+14*(柱!B3-2*柱!B10)/(柱!F3-1),1)</f>
        <v>94.8</v>
      </c>
      <c r="C15" s="29" t="b">
        <f>B15&lt;=(柱!$B$3-柱!$B$5)</f>
        <v>0</v>
      </c>
      <c r="E15" s="54" cm="1">
        <f t="array" ref="E15">_xlfn.IFS(C7=TRUE,2,AND(C7=FALSE,C6=FALSE),0,AND(C6=TRUE,C7=FALSE),柱!$F$2)</f>
        <v>2</v>
      </c>
      <c r="F15" s="54" t="s">
        <v>251</v>
      </c>
      <c r="G15" s="54" cm="1">
        <f t="array" ref="G15">_xlfn.IFS(E15=柱!$F$2,(VLOOKUP(柱!$M$4,鋼筋號數!$A$3:$C$13,3,FALSE)*(E15-2)+VLOOKUP(柱!$M$3,鋼筋號數!$A$3:$C$13,3,FALSE)*2)*柱!$B$7,E15&lt;柱!$F$2,(VLOOKUP(柱!$M$4,鋼筋號數!$A$3:$C$13,3,FALSE)*E15)*柱!$B$7)</f>
        <v>26955.040000000001</v>
      </c>
      <c r="H15" s="54" t="s">
        <v>287</v>
      </c>
      <c r="I15" s="54" cm="1">
        <f t="array" ref="I15">_xlfn.IFS(E15=柱!$F$2,(VLOOKUP(柱!$M$4,鋼筋號數!$A$3:$C$13,3,FALSE)*(E15-2)+VLOOKUP(柱!$M$3,鋼筋號數!$A$3:$C$13,3,FALSE)*2)*N17,E15&lt;柱!$F$2,(VLOOKUP(柱!$M$4,鋼筋號數!$A$3:$C$13,3,FALSE)*E15)*N17)</f>
        <v>26955.040000000001</v>
      </c>
      <c r="J15" s="8" t="s">
        <v>282</v>
      </c>
      <c r="K15" s="33" t="s">
        <v>116</v>
      </c>
      <c r="L15" s="33" cm="1">
        <f t="array" ref="L15">_xlfn.IFS(C4=TRUE,(B4-'柱-過程雜項'!$F$38)/'柱-過程雜項'!$F$38*0.003,C4=FALSE,0)</f>
        <v>1.3433799784714749E-3</v>
      </c>
      <c r="M15" s="34" t="str">
        <f>IF(L15&gt;=柱!$B$11,"假設成立拉力降伏","假設錯誤拉力未降伏")</f>
        <v>假設錯誤拉力未降伏</v>
      </c>
      <c r="N15" s="29" cm="1">
        <f t="array" ref="N15">_xlfn.IFS(M15="假設錯誤拉力未降伏",L15*(2.04*10^6),M15="假設成立拉力降伏",柱!$B$7)</f>
        <v>2740.4951560818085</v>
      </c>
    </row>
    <row r="16" spans="1:14" ht="16.2" x14ac:dyDescent="0.3">
      <c r="B16" s="29">
        <f>ROUND(柱!B5+VLOOKUP(柱!J7,鋼筋號數!$A$3:$C$13,2,FALSE)+VLOOKUP(柱!M3,鋼筋號數!$A$3:$C$13,2,FALSE)/2+15*(柱!B3-2*柱!B10)/(柱!F3-1),1)</f>
        <v>101</v>
      </c>
      <c r="C16" s="29" t="b">
        <f>B16&lt;=(柱!$B$3-柱!$B$5)</f>
        <v>0</v>
      </c>
      <c r="E16" s="54" cm="1">
        <f t="array" ref="E16">_xlfn.IFS(C8=TRUE,2,AND(C8=FALSE,C7=FALSE),0,AND(C7=TRUE,C8=FALSE),柱!$F$2)</f>
        <v>2</v>
      </c>
      <c r="F16" s="54" t="s">
        <v>252</v>
      </c>
      <c r="G16" s="54" cm="1">
        <f t="array" ref="G16">_xlfn.IFS(E16=柱!$F$2,(VLOOKUP(柱!$M$4,鋼筋號數!$A$3:$C$13,3,FALSE)*(E16-2)+VLOOKUP(柱!$M$3,鋼筋號數!$A$3:$C$13,3,FALSE)*2)*柱!$B$7,E16&lt;柱!$F$2,(VLOOKUP(柱!$M$4,鋼筋號數!$A$3:$C$13,3,FALSE)*E16)*柱!$B$7)</f>
        <v>26955.040000000001</v>
      </c>
      <c r="H16" s="54" t="s">
        <v>287</v>
      </c>
      <c r="I16" s="54" cm="1">
        <f t="array" ref="I16">_xlfn.IFS(E16=柱!$F$2,(VLOOKUP(柱!$M$4,鋼筋號數!$A$3:$C$13,3,FALSE)*(E16-2)+VLOOKUP(柱!$M$3,鋼筋號數!$A$3:$C$13,3,FALSE)*2)*N18,E16&lt;柱!$F$2,(VLOOKUP(柱!$M$4,鋼筋號數!$A$3:$C$13,3,FALSE)*E16)*N18)</f>
        <v>26955.040000000001</v>
      </c>
      <c r="J16" s="8" t="s">
        <v>283</v>
      </c>
      <c r="K16" s="33" t="s">
        <v>117</v>
      </c>
      <c r="L16" s="33" cm="1">
        <f t="array" ref="L16">_xlfn.IFS(C5=TRUE,(B5-'柱-過程雜項'!$F$38)/'柱-過程雜項'!$F$38*0.003,C5=FALSE,0)</f>
        <v>2.3444564047362761E-3</v>
      </c>
      <c r="M16" s="34" t="str">
        <f>IF(L16&gt;=柱!$B$11,"假設成立拉力降伏","假設錯誤拉力未降伏")</f>
        <v>假設成立拉力降伏</v>
      </c>
      <c r="N16" s="29" cm="1">
        <f t="array" ref="N16">_xlfn.IFS(M16="假設錯誤拉力未降伏",L16*(2.04*10^6),M16="假設成立拉力降伏",柱!$B$7)</f>
        <v>4696</v>
      </c>
    </row>
    <row r="17" spans="1:14" ht="16.2" x14ac:dyDescent="0.3">
      <c r="B17" s="29">
        <f>ROUND(柱!B5+VLOOKUP(柱!J7,鋼筋號數!$A$3:$C$13,2,FALSE)+VLOOKUP(柱!M3,鋼筋號數!$A$3:$C$13,2,FALSE)/2+16*(柱!B3-2*柱!B10)/(柱!F3-1),1)</f>
        <v>107.2</v>
      </c>
      <c r="C17" s="29" t="b">
        <f>B17&lt;=(柱!$B$3-柱!$B$5)</f>
        <v>0</v>
      </c>
      <c r="E17" s="54" cm="1">
        <f t="array" ref="E17">_xlfn.IFS(C9=TRUE,2,AND(C9=FALSE,C8=FALSE),0,AND(C8=TRUE,C9=FALSE),柱!$F$2)</f>
        <v>8</v>
      </c>
      <c r="F17" s="54" t="s">
        <v>253</v>
      </c>
      <c r="G17" s="54" cm="1">
        <f t="array" ref="G17">_xlfn.IFS(E17=柱!$F$2,(VLOOKUP(柱!$M$4,鋼筋號數!$A$3:$C$13,3,FALSE)*(E17-2)+VLOOKUP(柱!$M$3,鋼筋號數!$A$3:$C$13,3,FALSE)*2)*柱!$B$7,E17&lt;柱!$F$2,(VLOOKUP(柱!$M$4,鋼筋號數!$A$3:$C$13,3,FALSE)*E17)*柱!$B$7)</f>
        <v>117212.16</v>
      </c>
      <c r="H17" s="54" t="s">
        <v>287</v>
      </c>
      <c r="I17" s="54" cm="1">
        <f t="array" ref="I17">_xlfn.IFS(E17=柱!$F$2,(VLOOKUP(柱!$M$4,鋼筋號數!$A$3:$C$13,3,FALSE)*(E17-2)+VLOOKUP(柱!$M$3,鋼筋號數!$A$3:$C$13,3,FALSE)*2)*N19,E17&lt;柱!$F$2,(VLOOKUP(柱!$M$4,鋼筋號數!$A$3:$C$13,3,FALSE)*E17)*N19)</f>
        <v>117212.16</v>
      </c>
      <c r="J17" s="8" t="s">
        <v>284</v>
      </c>
      <c r="K17" s="33" t="s">
        <v>118</v>
      </c>
      <c r="L17" s="33" cm="1">
        <f t="array" ref="L17">_xlfn.IFS(C6=TRUE,(B6-'柱-過程雜項'!$F$38)/'柱-過程雜項'!$F$38*0.003,C6=FALSE,0)</f>
        <v>3.3455328310010766E-3</v>
      </c>
      <c r="M17" s="34" t="str">
        <f>IF(L17&gt;=柱!$B$11,"假設成立拉力降伏","假設錯誤拉力未降伏")</f>
        <v>假設成立拉力降伏</v>
      </c>
      <c r="N17" s="29" cm="1">
        <f t="array" ref="N17">_xlfn.IFS(M17="假設錯誤拉力未降伏",L17*(2.04*10^6),M17="假設成立拉力降伏",柱!$B$7)</f>
        <v>4696</v>
      </c>
    </row>
    <row r="18" spans="1:14" ht="16.2" x14ac:dyDescent="0.3">
      <c r="B18" s="29">
        <f>ROUND(柱!B5+VLOOKUP(柱!J7,鋼筋號數!$A$3:$C$13,2,FALSE)+VLOOKUP(柱!M3,鋼筋號數!$A$3:$C$13,2,FALSE)/2+17*(柱!B3-2*柱!B10)/(柱!F3-1),1)</f>
        <v>113.3</v>
      </c>
      <c r="C18" s="29" t="b">
        <f>B18&lt;=(柱!$B$3-柱!$B$5)</f>
        <v>0</v>
      </c>
      <c r="E18" s="54" cm="1">
        <f t="array" ref="E18">_xlfn.IFS(C10=TRUE,2,AND(C10=FALSE,C9=FALSE),0,AND(C9=TRUE,C10=FALSE),柱!$F$2)</f>
        <v>0</v>
      </c>
      <c r="F18" s="54" t="s">
        <v>254</v>
      </c>
      <c r="G18" s="54" cm="1">
        <f t="array" ref="G18">_xlfn.IFS(E18=柱!$F$2,(VLOOKUP(柱!$M$4,鋼筋號數!$A$3:$C$13,3,FALSE)*(E18-2)+VLOOKUP(柱!$M$3,鋼筋號數!$A$3:$C$13,3,FALSE)*2)*柱!$B$7,E18&lt;柱!$F$2,(VLOOKUP(柱!$M$4,鋼筋號數!$A$3:$C$13,3,FALSE)*E18)*柱!$B$7)</f>
        <v>0</v>
      </c>
      <c r="H18" s="54" t="s">
        <v>287</v>
      </c>
      <c r="I18" s="54" cm="1">
        <f t="array" ref="I18">_xlfn.IFS(E18=柱!$F$2,(VLOOKUP(柱!$M$4,鋼筋號數!$A$3:$C$13,3,FALSE)*(E18-2)+VLOOKUP(柱!$M$3,鋼筋號數!$A$3:$C$13,3,FALSE)*2)*N20,E18&lt;柱!$F$2,(VLOOKUP(柱!$M$4,鋼筋號數!$A$3:$C$13,3,FALSE)*E18)*N20)</f>
        <v>0</v>
      </c>
      <c r="J18" s="8" t="s">
        <v>285</v>
      </c>
      <c r="K18" s="33" t="s">
        <v>119</v>
      </c>
      <c r="L18" s="33" cm="1">
        <f t="array" ref="L18">_xlfn.IFS(C7=TRUE,(B7-'柱-過程雜項'!$F$38)/'柱-過程雜項'!$F$38*0.003,C7=FALSE,0)</f>
        <v>4.3304628632938654E-3</v>
      </c>
      <c r="M18" s="34" t="str">
        <f>IF(L18&gt;=柱!$B$11,"假設成立拉力降伏","假設錯誤拉力未降伏")</f>
        <v>假設成立拉力降伏</v>
      </c>
      <c r="N18" s="29" cm="1">
        <f t="array" ref="N18">_xlfn.IFS(M18="假設錯誤拉力未降伏",L18*(2.04*10^6),M18="假設成立拉力降伏",柱!$B$7)</f>
        <v>4696</v>
      </c>
    </row>
    <row r="19" spans="1:14" ht="16.2" x14ac:dyDescent="0.3">
      <c r="E19" s="54" cm="1">
        <f t="array" ref="E19">_xlfn.IFS(C11=TRUE,2,AND(C11=FALSE,C10=FALSE),0,AND(C10=TRUE,C11=FALSE),柱!$F$2)</f>
        <v>0</v>
      </c>
      <c r="F19" s="54" t="s">
        <v>255</v>
      </c>
      <c r="G19" s="54" cm="1">
        <f t="array" ref="G19">_xlfn.IFS(E19=柱!$F$2,(VLOOKUP(柱!$M$4,鋼筋號數!$A$3:$C$13,3,FALSE)*(E19-2)+VLOOKUP(柱!$M$3,鋼筋號數!$A$3:$C$13,3,FALSE)*2)*柱!$B$7,E19&lt;柱!$F$2,(VLOOKUP(柱!$M$4,鋼筋號數!$A$3:$C$13,3,FALSE)*E19)*柱!$B$7)</f>
        <v>0</v>
      </c>
      <c r="H19" s="54" t="s">
        <v>287</v>
      </c>
      <c r="I19" s="54" cm="1">
        <f t="array" ref="I19">_xlfn.IFS(E19=柱!$F$2,(VLOOKUP(柱!$M$4,鋼筋號數!$A$3:$C$13,3,FALSE)*(E19-2)+VLOOKUP(柱!$M$3,鋼筋號數!$A$3:$C$13,3,FALSE)*2)*N21,E19&lt;柱!$F$2,(VLOOKUP(柱!$M$4,鋼筋號數!$A$3:$C$13,3,FALSE)*E19)*N21)</f>
        <v>0</v>
      </c>
      <c r="J19" s="8" t="s">
        <v>286</v>
      </c>
      <c r="K19" s="33" t="s">
        <v>120</v>
      </c>
      <c r="L19" s="33" cm="1">
        <f t="array" ref="L19">_xlfn.IFS(C8=TRUE,(B8-'柱-過程雜項'!$F$38)/'柱-過程雜項'!$F$38*0.003,C8=FALSE,0)</f>
        <v>5.3315392895586667E-3</v>
      </c>
      <c r="M19" s="34" t="str">
        <f>IF(L19&gt;=柱!$B$11,"假設成立拉力降伏","假設錯誤拉力未降伏")</f>
        <v>假設成立拉力降伏</v>
      </c>
      <c r="N19" s="29" cm="1">
        <f t="array" ref="N19">_xlfn.IFS(M19="假設錯誤拉力未降伏",L19*(2.04*10^6),M19="假設成立拉力降伏",柱!$B$7)</f>
        <v>4696</v>
      </c>
    </row>
    <row r="20" spans="1:14" ht="16.2" x14ac:dyDescent="0.3">
      <c r="E20" s="54" cm="1">
        <f t="array" ref="E20">_xlfn.IFS(C12=TRUE,2,AND(C12=FALSE,C11=FALSE),0,AND(C11=TRUE,C12=FALSE),柱!$F$2)</f>
        <v>0</v>
      </c>
      <c r="F20" s="54" t="s">
        <v>256</v>
      </c>
      <c r="G20" s="54" cm="1">
        <f t="array" ref="G20">_xlfn.IFS(E20=柱!$F$2,(VLOOKUP(柱!$M$4,鋼筋號數!$A$3:$C$13,3,FALSE)*(E20-2)+VLOOKUP(柱!$M$3,鋼筋號數!$A$3:$C$13,3,FALSE)*2)*柱!$B$7,E20&lt;柱!$F$2,(VLOOKUP(柱!$M$4,鋼筋號數!$A$3:$C$13,3,FALSE)*E20)*柱!$B$7)</f>
        <v>0</v>
      </c>
      <c r="H20" s="54" t="s">
        <v>287</v>
      </c>
      <c r="I20" s="54" cm="1">
        <f t="array" ref="I20">_xlfn.IFS(E20=柱!$F$2,(VLOOKUP(柱!$M$4,鋼筋號數!$A$3:$C$13,3,FALSE)*(E20-2)+VLOOKUP(柱!$M$3,鋼筋號數!$A$3:$C$13,3,FALSE)*2)*N22,E20&lt;柱!$F$2,(VLOOKUP(柱!$M$4,鋼筋號數!$A$3:$C$13,3,FALSE)*E20)*N22)</f>
        <v>0</v>
      </c>
      <c r="K20" s="33" t="s">
        <v>121</v>
      </c>
      <c r="L20" s="33" cm="1">
        <f t="array" ref="L20">_xlfn.IFS(C9=TRUE,(B9-'柱-過程雜項'!$F$38)/'柱-過程雜項'!$F$38*0.003,C9=FALSE,0)</f>
        <v>0</v>
      </c>
      <c r="M20" s="34" t="str">
        <f>IF(L20&gt;=柱!$B$11,"假設成立拉力降伏","假設錯誤拉力未降伏")</f>
        <v>假設錯誤拉力未降伏</v>
      </c>
      <c r="N20" s="29" cm="1">
        <f t="array" ref="N20">_xlfn.IFS(M20="假設錯誤拉力未降伏",L20*(2.04*10^6),M20="假設成立拉力降伏",柱!$B$7)</f>
        <v>0</v>
      </c>
    </row>
    <row r="21" spans="1:14" ht="16.2" x14ac:dyDescent="0.3">
      <c r="E21" s="54" cm="1">
        <f t="array" ref="E21">_xlfn.IFS(C13=TRUE,2,AND(C13=FALSE,C12=FALSE),0,AND(C12=TRUE,C13=FALSE),柱!$F$2)</f>
        <v>0</v>
      </c>
      <c r="F21" s="54" t="s">
        <v>257</v>
      </c>
      <c r="G21" s="54" cm="1">
        <f t="array" ref="G21">_xlfn.IFS(E21=柱!$F$2,(VLOOKUP(柱!$M$4,鋼筋號數!$A$3:$C$13,3,FALSE)*(E21-2)+VLOOKUP(柱!$M$3,鋼筋號數!$A$3:$C$13,3,FALSE)*2)*柱!$B$7,E21&lt;柱!$F$2,(VLOOKUP(柱!$M$4,鋼筋號數!$A$3:$C$13,3,FALSE)*E21)*柱!$B$7)</f>
        <v>0</v>
      </c>
      <c r="H21" s="54" t="s">
        <v>287</v>
      </c>
      <c r="I21" s="54" cm="1">
        <f t="array" ref="I21">_xlfn.IFS(E21=柱!$F$2,(VLOOKUP(柱!$M$4,鋼筋號數!$A$3:$C$13,3,FALSE)*(E21-2)+VLOOKUP(柱!$M$3,鋼筋號數!$A$3:$C$13,3,FALSE)*2)*N23,E21&lt;柱!$F$2,(VLOOKUP(柱!$M$4,鋼筋號數!$A$3:$C$13,3,FALSE)*E21)*N23)</f>
        <v>0</v>
      </c>
      <c r="K21" s="33" t="s">
        <v>122</v>
      </c>
      <c r="L21" s="33" cm="1">
        <f t="array" ref="L21">_xlfn.IFS(C10=TRUE,(B10-'柱-過程雜項'!$F$38)/'柱-過程雜項'!$F$38*0.003,C10=FALSE,0)</f>
        <v>0</v>
      </c>
      <c r="M21" s="34" t="str">
        <f>IF(L21&gt;=柱!$B$11,"假設成立拉力降伏","假設錯誤拉力未降伏")</f>
        <v>假設錯誤拉力未降伏</v>
      </c>
      <c r="N21" s="29" cm="1">
        <f t="array" ref="N21">_xlfn.IFS(M21="假設錯誤拉力未降伏",L21*(2.04*10^6),M21="假設成立拉力降伏",柱!$B$7)</f>
        <v>0</v>
      </c>
    </row>
    <row r="22" spans="1:14" ht="16.2" x14ac:dyDescent="0.3">
      <c r="A22" s="6" t="s">
        <v>164</v>
      </c>
      <c r="E22" s="54" cm="1">
        <f t="array" ref="E22">_xlfn.IFS(C14=TRUE,2,AND(C14=FALSE,C13=FALSE),0,AND(C13=TRUE,C14=FALSE),柱!$F$2)</f>
        <v>0</v>
      </c>
      <c r="F22" s="54" t="s">
        <v>258</v>
      </c>
      <c r="G22" s="54" cm="1">
        <f t="array" ref="G22">_xlfn.IFS(E22=柱!$F$2,(VLOOKUP(柱!$M$4,鋼筋號數!$A$3:$C$13,3,FALSE)*(E22-2)+VLOOKUP(柱!$M$3,鋼筋號數!$A$3:$C$13,3,FALSE)*2)*柱!$B$7,E22&lt;柱!$F$2,(VLOOKUP(柱!$M$4,鋼筋號數!$A$3:$C$13,3,FALSE)*E22)*柱!$B$7)</f>
        <v>0</v>
      </c>
      <c r="H22" s="54" t="s">
        <v>287</v>
      </c>
      <c r="I22" s="54" cm="1">
        <f t="array" ref="I22">_xlfn.IFS(E22=柱!$F$2,(VLOOKUP(柱!$M$4,鋼筋號數!$A$3:$C$13,3,FALSE)*(E22-2)+VLOOKUP(柱!$M$3,鋼筋號數!$A$3:$C$13,3,FALSE)*2)*N24,E22&lt;柱!$F$2,(VLOOKUP(柱!$M$4,鋼筋號數!$A$3:$C$13,3,FALSE)*E22)*N24)</f>
        <v>0</v>
      </c>
      <c r="K22" s="33" t="s">
        <v>123</v>
      </c>
      <c r="L22" s="33" cm="1">
        <f t="array" ref="L22">_xlfn.IFS(C11=TRUE,(B11-'柱-過程雜項'!$F$38)/'柱-過程雜項'!$F$38*0.003,C11=FALSE,0)</f>
        <v>0</v>
      </c>
      <c r="M22" s="34" t="str">
        <f>IF(L22&gt;=柱!$B$11,"假設成立拉力降伏","假設錯誤拉力未降伏")</f>
        <v>假設錯誤拉力未降伏</v>
      </c>
      <c r="N22" s="29" cm="1">
        <f t="array" ref="N22">_xlfn.IFS(M22="假設錯誤拉力未降伏",L22*(2.04*10^6),M22="假設成立拉力降伏",柱!$B$7)</f>
        <v>0</v>
      </c>
    </row>
    <row r="23" spans="1:14" ht="16.2" x14ac:dyDescent="0.3">
      <c r="A23" s="9" t="s">
        <v>131</v>
      </c>
      <c r="B23" s="36">
        <f>ROUND(G29*(L38-(L38*柱!B12)/2)+I8*(L38-柱!B10)+((B2-L38)*I11+(B3-L38)*I12+(B4-L38)*I13+(B5-L38)*I14+(B6-L38)*I15+(B7-L38)*I16+(B8-L38)*I17+(B9-L38)*I18+(B10-L38)*I19+(B11-L38)*I20+(B12-L38)*I21+(B13-L38)*I22+(B14-L38)*I23+(B15-L38)*I24+(B16-L38)*I25+(B17-L38)*I26)/1000,2)/100</f>
        <v>89.747199999999992</v>
      </c>
      <c r="C23" s="11" t="s">
        <v>65</v>
      </c>
      <c r="E23" s="54" cm="1">
        <f t="array" ref="E23">_xlfn.IFS(C15=TRUE,2,AND(C15=FALSE,C14=FALSE),0,AND(C14=TRUE,C15=FALSE),柱!$F$2)</f>
        <v>0</v>
      </c>
      <c r="F23" s="54" t="s">
        <v>259</v>
      </c>
      <c r="G23" s="54" cm="1">
        <f t="array" ref="G23">_xlfn.IFS(E23=柱!$F$2,(VLOOKUP(柱!$M$4,鋼筋號數!$A$3:$C$13,3,FALSE)*(E23-2)+VLOOKUP(柱!$M$3,鋼筋號數!$A$3:$C$13,3,FALSE)*2)*柱!$B$7,E23&lt;柱!$F$2,(VLOOKUP(柱!$M$4,鋼筋號數!$A$3:$C$13,3,FALSE)*E23)*柱!$B$7)</f>
        <v>0</v>
      </c>
      <c r="H23" s="54" t="s">
        <v>287</v>
      </c>
      <c r="I23" s="54" cm="1">
        <f t="array" ref="I23">_xlfn.IFS(E23=柱!$F$2,(VLOOKUP(柱!$M$4,鋼筋號數!$A$3:$C$13,3,FALSE)*(E23-2)+VLOOKUP(柱!$M$3,鋼筋號數!$A$3:$C$13,3,FALSE)*2)*N25,E23&lt;柱!$F$2,(VLOOKUP(柱!$M$4,鋼筋號數!$A$3:$C$13,3,FALSE)*E23)*N25)</f>
        <v>0</v>
      </c>
      <c r="K23" s="33" t="s">
        <v>124</v>
      </c>
      <c r="L23" s="33" cm="1">
        <f t="array" ref="L23">_xlfn.IFS(C12=TRUE,(B12-'柱-過程雜項'!$F$38)/'柱-過程雜項'!$F$38*0.003,C12=FALSE,0)</f>
        <v>0</v>
      </c>
      <c r="M23" s="34" t="str">
        <f>IF(L23&gt;=柱!$B$11,"假設成立拉力降伏","假設錯誤拉力未降伏")</f>
        <v>假設錯誤拉力未降伏</v>
      </c>
      <c r="N23" s="29" cm="1">
        <f t="array" ref="N23">_xlfn.IFS(M23="假設錯誤拉力未降伏",L23*(2.04*10^6),M23="假設成立拉力降伏",柱!$B$7)</f>
        <v>0</v>
      </c>
    </row>
    <row r="24" spans="1:14" ht="16.2" x14ac:dyDescent="0.3">
      <c r="E24" s="54" cm="1">
        <f t="array" ref="E24">_xlfn.IFS(C16=TRUE,2,AND(C16=FALSE,C15=FALSE),0,AND(C15=TRUE,C16=FALSE),柱!$F$2)</f>
        <v>0</v>
      </c>
      <c r="F24" s="54" t="s">
        <v>260</v>
      </c>
      <c r="G24" s="54" cm="1">
        <f t="array" ref="G24">_xlfn.IFS(E24=柱!$F$2,(VLOOKUP(柱!$M$4,鋼筋號數!$A$3:$C$13,3,FALSE)*(E24-2)+VLOOKUP(柱!$M$3,鋼筋號數!$A$3:$C$13,3,FALSE)*2)*柱!$B$7,E24&lt;柱!$F$2,(VLOOKUP(柱!$M$4,鋼筋號數!$A$3:$C$13,3,FALSE)*E24)*柱!$B$7)</f>
        <v>0</v>
      </c>
      <c r="H24" s="54" t="s">
        <v>287</v>
      </c>
      <c r="I24" s="54" cm="1">
        <f t="array" ref="I24">_xlfn.IFS(E24=柱!$F$2,(VLOOKUP(柱!$M$4,鋼筋號數!$A$3:$C$13,3,FALSE)*(E24-2)+VLOOKUP(柱!$M$3,鋼筋號數!$A$3:$C$13,3,FALSE)*2)*N26,E24&lt;柱!$F$2,(VLOOKUP(柱!$M$4,鋼筋號數!$A$3:$C$13,3,FALSE)*E24)*N26)</f>
        <v>0</v>
      </c>
      <c r="K24" s="33" t="s">
        <v>125</v>
      </c>
      <c r="L24" s="33" cm="1">
        <f t="array" ref="L24">_xlfn.IFS(C13=TRUE,(B13-'柱-過程雜項'!$F$38)/'柱-過程雜項'!$F$38*0.003,C13=FALSE,0)</f>
        <v>0</v>
      </c>
      <c r="M24" s="34" t="str">
        <f>IF(L24&gt;=柱!$B$11,"假設成立拉力降伏","假設錯誤拉力未降伏")</f>
        <v>假設錯誤拉力未降伏</v>
      </c>
      <c r="N24" s="29" cm="1">
        <f t="array" ref="N24">_xlfn.IFS(M24="假設錯誤拉力未降伏",L24*(2.04*10^6),M24="假設成立拉力降伏",柱!$B$7)</f>
        <v>0</v>
      </c>
    </row>
    <row r="25" spans="1:14" ht="16.2" x14ac:dyDescent="0.3">
      <c r="E25" s="54" cm="1">
        <f t="array" ref="E25">_xlfn.IFS(C17=TRUE,2,AND(C17=FALSE,C16=FALSE),0,AND(C16=TRUE,C17=FALSE),柱!$F$2)</f>
        <v>0</v>
      </c>
      <c r="F25" s="54" t="s">
        <v>261</v>
      </c>
      <c r="G25" s="54" cm="1">
        <f t="array" ref="G25">_xlfn.IFS(E25=柱!$F$2,(VLOOKUP(柱!$M$4,鋼筋號數!$A$3:$C$13,3,FALSE)*(E25-2)+VLOOKUP(柱!$M$3,鋼筋號數!$A$3:$C$13,3,FALSE)*2)*柱!$B$7,E25&lt;柱!$F$2,(VLOOKUP(柱!$M$4,鋼筋號數!$A$3:$C$13,3,FALSE)*E25)*柱!$B$7)</f>
        <v>0</v>
      </c>
      <c r="H25" s="54" t="s">
        <v>287</v>
      </c>
      <c r="I25" s="54" cm="1">
        <f t="array" ref="I25">_xlfn.IFS(E25=柱!$F$2,(VLOOKUP(柱!$M$4,鋼筋號數!$A$3:$C$13,3,FALSE)*(E25-2)+VLOOKUP(柱!$M$3,鋼筋號數!$A$3:$C$13,3,FALSE)*2)*N27,E25&lt;柱!$F$2,(VLOOKUP(柱!$M$4,鋼筋號數!$A$3:$C$13,3,FALSE)*E25)*N27)</f>
        <v>0</v>
      </c>
      <c r="K25" s="33" t="s">
        <v>126</v>
      </c>
      <c r="L25" s="33" cm="1">
        <f t="array" ref="L25">_xlfn.IFS(C14=TRUE,(B14-'柱-過程雜項'!$F$38)/'柱-過程雜項'!$F$38*0.003,C14=FALSE,0)</f>
        <v>0</v>
      </c>
      <c r="M25" s="34" t="str">
        <f>IF(L25&gt;=柱!$B$11,"假設成立拉力降伏","假設錯誤拉力未降伏")</f>
        <v>假設錯誤拉力未降伏</v>
      </c>
      <c r="N25" s="29" cm="1">
        <f t="array" ref="N25">_xlfn.IFS(M25="假設錯誤拉力未降伏",L25*(2.04*10^6),M25="假設成立拉力降伏",柱!$B$7)</f>
        <v>0</v>
      </c>
    </row>
    <row r="26" spans="1:14" ht="16.2" x14ac:dyDescent="0.3">
      <c r="E26" s="54" cm="1">
        <f t="array" ref="E26">_xlfn.IFS(C18=TRUE,2,AND(C18=FALSE,C17=FALSE),0,AND(C17=TRUE,C18=FALSE),柱!$F$2)</f>
        <v>0</v>
      </c>
      <c r="F26" s="54" t="s">
        <v>262</v>
      </c>
      <c r="G26" s="54" cm="1">
        <f t="array" ref="G26">_xlfn.IFS(E26=柱!$F$2,(VLOOKUP(柱!$M$4,鋼筋號數!$A$3:$C$13,3,FALSE)*(E26-2)+VLOOKUP(柱!$M$3,鋼筋號數!$A$3:$C$13,3,FALSE)*2)*柱!$B$7,E26&lt;柱!$F$2,(VLOOKUP(柱!$M$4,鋼筋號數!$A$3:$C$13,3,FALSE)*E26)*柱!$B$7)</f>
        <v>0</v>
      </c>
      <c r="H26" s="54" t="s">
        <v>287</v>
      </c>
      <c r="I26" s="54" cm="1">
        <f t="array" ref="I26">_xlfn.IFS(E26=柱!$F$2,(VLOOKUP(柱!$M$4,鋼筋號數!$A$3:$C$13,3,FALSE)*(E26-2)+VLOOKUP(柱!$M$3,鋼筋號數!$A$3:$C$13,3,FALSE)*2)*N28,E26&lt;柱!$F$2,(VLOOKUP(柱!$M$4,鋼筋號數!$A$3:$C$13,3,FALSE)*E26)*N28)</f>
        <v>0</v>
      </c>
      <c r="K26" s="33" t="s">
        <v>127</v>
      </c>
      <c r="L26" s="33" cm="1">
        <f t="array" ref="L26">_xlfn.IFS(C15=TRUE,(B15-'柱-過程雜項'!$F$38)/'柱-過程雜項'!$F$38*0.003,C15=FALSE,0)</f>
        <v>0</v>
      </c>
      <c r="M26" s="34" t="str">
        <f>IF(L26&gt;=柱!$B$11,"假設成立拉力降伏","假設錯誤拉力未降伏")</f>
        <v>假設錯誤拉力未降伏</v>
      </c>
      <c r="N26" s="29" cm="1">
        <f t="array" ref="N26">_xlfn.IFS(M26="假設錯誤拉力未降伏",L26*(2.04*10^6),M26="假設成立拉力降伏",柱!$B$7)</f>
        <v>0</v>
      </c>
    </row>
    <row r="27" spans="1:14" ht="16.2" x14ac:dyDescent="0.3">
      <c r="E27" s="54"/>
      <c r="F27" s="54" t="s">
        <v>266</v>
      </c>
      <c r="G27" s="54">
        <f>SUM(G11:G26)/1000</f>
        <v>244.46246096878366</v>
      </c>
      <c r="H27" s="54" t="s">
        <v>66</v>
      </c>
      <c r="I27" s="54">
        <f>SUM(I11:I26)/1000</f>
        <v>210.48012865446717</v>
      </c>
      <c r="K27" s="33" t="s">
        <v>128</v>
      </c>
      <c r="L27" s="33" cm="1">
        <f t="array" ref="L27">_xlfn.IFS(C16=TRUE,(B16-'柱-過程雜項'!$F$38)/'柱-過程雜項'!$F$38*0.003,C16=FALSE,0)</f>
        <v>0</v>
      </c>
      <c r="M27" s="34" t="str">
        <f>IF(L27&gt;=柱!$B$11,"假設成立拉力降伏","假設錯誤拉力未降伏")</f>
        <v>假設錯誤拉力未降伏</v>
      </c>
      <c r="N27" s="29" cm="1">
        <f t="array" ref="N27">_xlfn.IFS(M27="假設錯誤拉力未降伏",L27*(2.04*10^6),M27="假設成立拉力降伏",柱!$B$7)</f>
        <v>0</v>
      </c>
    </row>
    <row r="28" spans="1:14" ht="16.2" x14ac:dyDescent="0.3">
      <c r="E28" s="54"/>
      <c r="F28" s="54"/>
      <c r="G28" s="54"/>
      <c r="H28" s="54"/>
      <c r="K28" s="33" t="s">
        <v>129</v>
      </c>
      <c r="L28" s="33" cm="1">
        <f t="array" ref="L28">_xlfn.IFS(C17=TRUE,(B17-'柱-過程雜項'!$F$38)/'柱-過程雜項'!$F$38*0.003,C17=FALSE,0)</f>
        <v>0</v>
      </c>
      <c r="M28" s="34" t="str">
        <f>IF(L28&gt;=柱!$B$11,"假設成立拉力降伏","假設錯誤拉力未降伏")</f>
        <v>假設錯誤拉力未降伏</v>
      </c>
      <c r="N28" s="29" cm="1">
        <f t="array" ref="N28">_xlfn.IFS(M28="假設錯誤拉力未降伏",L28*(2.04*10^6),M28="假設成立拉力降伏",柱!$B$7)</f>
        <v>0</v>
      </c>
    </row>
    <row r="29" spans="1:14" ht="16.2" x14ac:dyDescent="0.3">
      <c r="E29" s="54" t="s">
        <v>263</v>
      </c>
      <c r="F29" s="54" t="s">
        <v>74</v>
      </c>
      <c r="G29" s="54">
        <f>(0.85*柱!B6*柱!B2*柱!B12*'柱-過程雜項'!L38)/1000</f>
        <v>225.52403999999999</v>
      </c>
      <c r="H29" s="54" t="s">
        <v>66</v>
      </c>
      <c r="K29" s="33" t="s">
        <v>130</v>
      </c>
      <c r="L29" s="33" cm="1">
        <f t="array" ref="L29">_xlfn.IFS(C18=TRUE,(B18-'柱-過程雜項'!$F$38)/'柱-過程雜項'!$F$38*0.003,C18=FALSE,0)</f>
        <v>0</v>
      </c>
      <c r="M29" s="34" t="str">
        <f>IF(L29&gt;=柱!$B$11,"假設成立拉力降伏","假設錯誤拉力未降伏")</f>
        <v>假設錯誤拉力未降伏</v>
      </c>
      <c r="N29" s="29" cm="1">
        <f t="array" ref="N29">_xlfn.IFS(M29="假設錯誤拉力未降伏",L29*(2.04*10^6),M29="假設成立拉力降伏",柱!$B$7)</f>
        <v>0</v>
      </c>
    </row>
    <row r="30" spans="1:14" x14ac:dyDescent="0.3">
      <c r="E30" s="54"/>
      <c r="F30" s="54"/>
      <c r="G30" s="54"/>
      <c r="H30" s="54"/>
    </row>
    <row r="31" spans="1:14" x14ac:dyDescent="0.3">
      <c r="E31" s="54" t="s">
        <v>264</v>
      </c>
      <c r="F31" s="92" t="s">
        <v>265</v>
      </c>
      <c r="G31" s="92"/>
      <c r="H31" s="92"/>
      <c r="K31" s="54" t="s">
        <v>290</v>
      </c>
      <c r="L31" s="92" t="s">
        <v>291</v>
      </c>
      <c r="M31" s="92"/>
      <c r="N31" s="92"/>
    </row>
    <row r="32" spans="1:14" ht="18" x14ac:dyDescent="0.3">
      <c r="E32" s="54"/>
      <c r="F32" s="92" t="s">
        <v>267</v>
      </c>
      <c r="G32" s="92"/>
      <c r="H32" s="92"/>
      <c r="K32" s="54"/>
      <c r="L32" s="54" t="s">
        <v>289</v>
      </c>
      <c r="M32" s="54"/>
      <c r="N32" s="54"/>
    </row>
    <row r="33" spans="1:15" x14ac:dyDescent="0.3">
      <c r="E33" s="54"/>
      <c r="F33" s="54" t="s">
        <v>269</v>
      </c>
      <c r="G33" s="54" t="s">
        <v>270</v>
      </c>
      <c r="H33" s="54" t="s">
        <v>272</v>
      </c>
      <c r="K33" s="54"/>
      <c r="L33" s="54" t="s">
        <v>268</v>
      </c>
      <c r="M33" s="54" t="s">
        <v>270</v>
      </c>
      <c r="N33" s="54" t="s">
        <v>271</v>
      </c>
    </row>
    <row r="34" spans="1:15" x14ac:dyDescent="0.3">
      <c r="E34" s="54"/>
      <c r="F34" s="54">
        <f>0.85*柱!$B$6*柱!$B$2*柱!$B$12</f>
        <v>12138</v>
      </c>
      <c r="G34" s="54">
        <f>-(柱!F7*1000+SUM(G12:G26)-6120*(VLOOKUP(柱!M4,鋼筋號數!$A$3:$C$13,3,FALSE)*E11)-6120*((2*VLOOKUP(柱!M3,鋼筋號數!$A$3:$C$13,3,FALSE)+(柱!F2-2)*VLOOKUP(柱!M4,鋼筋號數!$A$3:$C$13,3,FALSE))))</f>
        <v>-82233.536000000022</v>
      </c>
      <c r="H34" s="54">
        <f>-(6120*(2*VLOOKUP(柱!M3,鋼筋號數!$A$3:$C$13,3,FALSE)+(柱!F2-2)*VLOOKUP(柱!M4,鋼筋號數!$A$3:$C$13,3,FALSE))*柱!B10)-(6120*(VLOOKUP(柱!M4,鋼筋號數!$A$3:$C$13,3,FALSE)*E11)*(柱!B9-2*'柱-過程雜項'!A6))</f>
        <v>-2662200.0000000005</v>
      </c>
      <c r="K34" s="54"/>
      <c r="L34" s="54">
        <f>0.85*柱!$B$6*柱!$B$2*柱!$B$12</f>
        <v>12138</v>
      </c>
      <c r="M34" s="54" cm="1">
        <f t="array" ref="M34">_xlfn.IFS(M13="假設錯誤拉力降伏",-(柱!F7*1000+SUM(I11:I26)-6120*(VLOOKUP(柱!M4,鋼筋號數!$A$3:$C$13,3,FALSE)*E11)-6120*((2*VLOOKUP(柱!M3,鋼筋號數!$A$3:$C$13,3,FALSE)))),M13="假設成立拉力未降伏",-(柱!F7*1000+SUM(G12:G26)-6120*(VLOOKUP(柱!M4,鋼筋號數!$A$3:$C$13,3,FALSE)*E11)-6120*((2*VLOOKUP(柱!M3,鋼筋號數!$A$3:$C$13,3,FALSE)+(柱!F2-2)*VLOOKUP(柱!M4,鋼筋號數!$A$3:$C$13,3,FALSE)))))</f>
        <v>-82233.536000000022</v>
      </c>
      <c r="N34" s="54" cm="1">
        <f t="array" ref="N34">_xlfn.IFS(M13="假設錯誤拉力降伏",-(6120*(2*VLOOKUP(柱!M3,鋼筋號數!$A$3:$C$13,3,FALSE)+(柱!F2-2)*VLOOKUP(柱!M4,鋼筋號數!$A$3:$C$13,3,FALSE))*柱!B10),M13="假設成立拉力未降伏",-(6120*(2*VLOOKUP(柱!M3,鋼筋號數!$A$3:$C$13,3,FALSE)+(柱!F2-2)*VLOOKUP(柱!M4,鋼筋號數!$A$3:$C$13,3,FALSE))*柱!B10)-(6120*(VLOOKUP(柱!M4,鋼筋號數!$A$3:$C$13,3,FALSE)*E11)*(柱!B9-2*'柱-過程雜項'!A6)))</f>
        <v>-2662200.0000000005</v>
      </c>
    </row>
    <row r="35" spans="1:15" x14ac:dyDescent="0.3">
      <c r="E35" s="54" t="s">
        <v>274</v>
      </c>
      <c r="F35" s="54"/>
      <c r="G35" s="54"/>
      <c r="H35" s="54"/>
      <c r="K35" s="54" t="s">
        <v>273</v>
      </c>
      <c r="L35" s="54"/>
      <c r="M35" s="54"/>
      <c r="N35" s="54"/>
    </row>
    <row r="36" spans="1:15" x14ac:dyDescent="0.3">
      <c r="E36" s="54" t="s">
        <v>276</v>
      </c>
      <c r="F36" s="54">
        <f>ROUND(((-G34+(G34^2-4*F34*H34)^(1/2))/(2*F34)),2)</f>
        <v>18.579999999999998</v>
      </c>
      <c r="G36" s="54" t="s">
        <v>0</v>
      </c>
      <c r="H36" s="54"/>
      <c r="K36" s="54" t="s">
        <v>275</v>
      </c>
      <c r="L36" s="54">
        <f>ROUND(((-M34+(M34^2-4*L34*N34)^(1/2))/(2*L34)),2)</f>
        <v>18.579999999999998</v>
      </c>
      <c r="M36" s="54" t="s">
        <v>279</v>
      </c>
      <c r="N36" s="54"/>
    </row>
    <row r="37" spans="1:15" x14ac:dyDescent="0.3">
      <c r="E37" s="54" t="s">
        <v>278</v>
      </c>
      <c r="F37" s="54">
        <f>ROUND(((-G34-(G34^2-4*F34*H34)^(1/2))/(2*F34)),2)</f>
        <v>-11.8</v>
      </c>
      <c r="G37" s="54" t="s">
        <v>0</v>
      </c>
      <c r="H37" s="54"/>
      <c r="K37" s="54" t="s">
        <v>277</v>
      </c>
      <c r="L37" s="54">
        <f>ROUND(((-M34-(M34^2-4*L34*N34)^(1/2))/(2*L34)),2)</f>
        <v>-11.8</v>
      </c>
      <c r="M37" s="54" t="s">
        <v>279</v>
      </c>
      <c r="N37" s="54"/>
    </row>
    <row r="38" spans="1:15" ht="14.4" customHeight="1" x14ac:dyDescent="0.3">
      <c r="E38" s="9" t="s">
        <v>246</v>
      </c>
      <c r="F38" s="21">
        <f>MAX('柱-過程雜項'!F36,'柱-過程雜項'!F37)</f>
        <v>18.579999999999998</v>
      </c>
      <c r="G38" s="11" t="s">
        <v>0</v>
      </c>
      <c r="H38" s="34" t="s">
        <v>288</v>
      </c>
      <c r="K38" s="9" t="s">
        <v>246</v>
      </c>
      <c r="L38" s="21">
        <f>MAX('柱-過程雜項'!L36,'柱-過程雜項'!L37)</f>
        <v>18.579999999999998</v>
      </c>
      <c r="M38" s="11" t="s">
        <v>0</v>
      </c>
      <c r="N38" s="34" t="s">
        <v>292</v>
      </c>
    </row>
    <row r="40" spans="1:15" x14ac:dyDescent="0.3">
      <c r="A40" s="50" t="s">
        <v>222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</row>
    <row r="41" spans="1:15" x14ac:dyDescent="0.3">
      <c r="A41" s="29" t="s">
        <v>223</v>
      </c>
      <c r="B41" s="29"/>
      <c r="C41" s="29"/>
    </row>
    <row r="42" spans="1:15" x14ac:dyDescent="0.3">
      <c r="A42" s="29" t="s">
        <v>224</v>
      </c>
      <c r="B42" s="29">
        <f>0.53*(1+AI塑鉸預測!J3/(140*AI塑鉸預測!O3))*(AI塑鉸預測!F3^(1/2))*AI塑鉸預測!N3*AI塑鉸預測!K3</f>
        <v>14627.840655831324</v>
      </c>
      <c r="C42" s="29"/>
    </row>
    <row r="43" spans="1:15" x14ac:dyDescent="0.3">
      <c r="A43" s="29" t="s">
        <v>225</v>
      </c>
      <c r="B43" s="29">
        <f>AI塑鉸預測!J3/AI塑鉸預測!O3</f>
        <v>27.191358024691358</v>
      </c>
      <c r="C43" s="29"/>
    </row>
    <row r="44" spans="1:15" x14ac:dyDescent="0.3">
      <c r="A44" s="29" t="s">
        <v>226</v>
      </c>
      <c r="B44" s="29">
        <f>1.06*(AI塑鉸預測!F3^(1/2))</f>
        <v>18.902507770134626</v>
      </c>
      <c r="C44" s="29"/>
    </row>
    <row r="45" spans="1:15" x14ac:dyDescent="0.3">
      <c r="A45" s="29" t="s">
        <v>227</v>
      </c>
      <c r="B45" s="29">
        <f>(PI()/4)-(1/2)*(ATAN(B43/(2*B44*((1+B43/B44)^(1/2)))))</f>
        <v>0.56958312858277338</v>
      </c>
      <c r="C45" s="29"/>
    </row>
    <row r="46" spans="1:15" x14ac:dyDescent="0.3">
      <c r="A46" s="29" t="s">
        <v>228</v>
      </c>
      <c r="B46" s="29">
        <f>(AI塑鉸預測!AH3*AI塑鉸預測!AD3*AI塑鉸預測!K3/((AI塑鉸預測!AB3+AI塑鉸預測!AC3)/2))/(TAN(B45))</f>
        <v>23857.076127087523</v>
      </c>
      <c r="C46" s="29"/>
    </row>
    <row r="47" spans="1:15" x14ac:dyDescent="0.3">
      <c r="A47" s="29" t="s">
        <v>229</v>
      </c>
      <c r="B47" s="29">
        <f>B46+B42</f>
        <v>38484.916782918845</v>
      </c>
      <c r="C47" s="29" t="s">
        <v>73</v>
      </c>
    </row>
    <row r="48" spans="1:15" x14ac:dyDescent="0.3">
      <c r="A48" s="29" t="s">
        <v>230</v>
      </c>
      <c r="B48" s="29">
        <f>2*柱!F10*1000/(柱!B4/100)</f>
        <v>42036.159250585486</v>
      </c>
      <c r="C48" s="29" t="s">
        <v>73</v>
      </c>
    </row>
    <row r="67" spans="16:20" x14ac:dyDescent="0.3">
      <c r="P67" s="50"/>
      <c r="Q67" s="50"/>
      <c r="R67" s="50"/>
      <c r="S67" s="50"/>
      <c r="T67" s="50"/>
    </row>
  </sheetData>
  <mergeCells count="6">
    <mergeCell ref="L31:N31"/>
    <mergeCell ref="E4:G4"/>
    <mergeCell ref="E3:G3"/>
    <mergeCell ref="E5:G5"/>
    <mergeCell ref="F32:H32"/>
    <mergeCell ref="F31:H3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9FB2-C27A-4247-BC53-97BF4D1F5741}">
  <sheetPr>
    <tabColor theme="7" tint="0.59999389629810485"/>
  </sheetPr>
  <dimension ref="A1:AU3"/>
  <sheetViews>
    <sheetView tabSelected="1" workbookViewId="0">
      <selection activeCell="A3" sqref="A3:XFD3"/>
    </sheetView>
  </sheetViews>
  <sheetFormatPr defaultRowHeight="15" x14ac:dyDescent="0.3"/>
  <cols>
    <col min="13" max="13" width="32" bestFit="1" customWidth="1"/>
    <col min="24" max="24" width="15.75" bestFit="1" customWidth="1"/>
  </cols>
  <sheetData>
    <row r="1" spans="1:47" x14ac:dyDescent="0.3">
      <c r="A1" s="93" t="s">
        <v>169</v>
      </c>
      <c r="B1" s="93"/>
      <c r="C1" s="93"/>
      <c r="D1" s="93"/>
      <c r="E1" s="93"/>
      <c r="F1" s="93"/>
      <c r="G1" s="93"/>
      <c r="H1" s="93"/>
      <c r="I1" s="93"/>
      <c r="J1" s="93"/>
      <c r="K1" s="7" t="s">
        <v>170</v>
      </c>
      <c r="L1" s="7"/>
      <c r="M1" s="7"/>
      <c r="N1" s="7"/>
      <c r="O1" s="7"/>
      <c r="P1" s="7"/>
      <c r="Q1" s="7"/>
      <c r="R1" s="93" t="s">
        <v>171</v>
      </c>
      <c r="S1" s="93"/>
      <c r="T1" s="93"/>
      <c r="U1" s="93"/>
      <c r="V1" s="93"/>
      <c r="W1" s="93"/>
      <c r="X1" s="93"/>
      <c r="Y1" s="93" t="s">
        <v>68</v>
      </c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4" t="s">
        <v>172</v>
      </c>
      <c r="AL1" s="94"/>
      <c r="AM1" s="94"/>
      <c r="AN1" s="94"/>
      <c r="AO1" s="94"/>
      <c r="AP1" s="94"/>
      <c r="AQ1" s="94"/>
      <c r="AR1" s="94"/>
      <c r="AS1" s="95" t="s">
        <v>173</v>
      </c>
      <c r="AT1" s="95"/>
    </row>
    <row r="2" spans="1:47" ht="18" x14ac:dyDescent="0.35">
      <c r="A2" s="7" t="s">
        <v>174</v>
      </c>
      <c r="B2" s="7" t="s">
        <v>175</v>
      </c>
      <c r="C2" s="7" t="s">
        <v>176</v>
      </c>
      <c r="D2" s="7" t="s">
        <v>177</v>
      </c>
      <c r="E2" s="7" t="s">
        <v>178</v>
      </c>
      <c r="F2" s="42" t="s">
        <v>179</v>
      </c>
      <c r="G2" s="42" t="s">
        <v>180</v>
      </c>
      <c r="H2" s="7" t="s">
        <v>181</v>
      </c>
      <c r="I2" s="7" t="s">
        <v>182</v>
      </c>
      <c r="J2" s="42" t="s">
        <v>183</v>
      </c>
      <c r="K2" s="42" t="s">
        <v>184</v>
      </c>
      <c r="L2" s="42" t="s">
        <v>185</v>
      </c>
      <c r="M2" s="42" t="s">
        <v>186</v>
      </c>
      <c r="N2" s="42" t="s">
        <v>187</v>
      </c>
      <c r="O2" s="42" t="s">
        <v>188</v>
      </c>
      <c r="P2" s="43" t="s">
        <v>189</v>
      </c>
      <c r="Q2" s="42" t="s">
        <v>190</v>
      </c>
      <c r="R2" s="7" t="s">
        <v>191</v>
      </c>
      <c r="S2" s="7"/>
      <c r="T2" s="7" t="s">
        <v>192</v>
      </c>
      <c r="U2" s="42" t="s">
        <v>193</v>
      </c>
      <c r="V2" s="7" t="s">
        <v>194</v>
      </c>
      <c r="W2" s="7" t="s">
        <v>195</v>
      </c>
      <c r="X2" s="42" t="s">
        <v>196</v>
      </c>
      <c r="Y2" s="7" t="s">
        <v>191</v>
      </c>
      <c r="Z2" s="42" t="s">
        <v>197</v>
      </c>
      <c r="AA2" s="42" t="s">
        <v>198</v>
      </c>
      <c r="AB2" s="44" t="s">
        <v>199</v>
      </c>
      <c r="AC2" s="44" t="s">
        <v>200</v>
      </c>
      <c r="AD2" s="42" t="s">
        <v>201</v>
      </c>
      <c r="AE2" s="7" t="s">
        <v>202</v>
      </c>
      <c r="AF2" s="7" t="s">
        <v>203</v>
      </c>
      <c r="AG2" s="42" t="s">
        <v>204</v>
      </c>
      <c r="AH2" s="42" t="s">
        <v>205</v>
      </c>
      <c r="AI2" s="45" t="s">
        <v>206</v>
      </c>
      <c r="AJ2" s="46" t="s">
        <v>207</v>
      </c>
      <c r="AK2" s="47" t="s">
        <v>208</v>
      </c>
      <c r="AL2" s="47" t="s">
        <v>209</v>
      </c>
      <c r="AM2" s="47" t="s">
        <v>210</v>
      </c>
      <c r="AN2" s="47" t="s">
        <v>211</v>
      </c>
      <c r="AO2" s="47" t="s">
        <v>212</v>
      </c>
      <c r="AP2" s="47" t="s">
        <v>213</v>
      </c>
      <c r="AQ2" s="47" t="s">
        <v>214</v>
      </c>
      <c r="AR2" s="47" t="s">
        <v>215</v>
      </c>
      <c r="AS2" s="48" t="s">
        <v>216</v>
      </c>
      <c r="AT2" s="48" t="s">
        <v>217</v>
      </c>
    </row>
    <row r="3" spans="1:47" x14ac:dyDescent="0.3">
      <c r="A3" s="31" t="s">
        <v>358</v>
      </c>
      <c r="B3" s="85" t="s">
        <v>360</v>
      </c>
      <c r="C3" s="46" t="s">
        <v>355</v>
      </c>
      <c r="D3" s="85">
        <v>1</v>
      </c>
      <c r="E3" s="85" t="s">
        <v>359</v>
      </c>
      <c r="F3" s="85">
        <v>318</v>
      </c>
      <c r="G3" s="85">
        <v>5.55</v>
      </c>
      <c r="H3" s="85" t="s">
        <v>356</v>
      </c>
      <c r="I3" s="85">
        <f>J3/F3/O3</f>
        <v>8.5507415171985401E-2</v>
      </c>
      <c r="J3" s="85">
        <v>35240</v>
      </c>
      <c r="K3" s="85">
        <v>36</v>
      </c>
      <c r="L3" s="85">
        <f>0.8*K3</f>
        <v>28.8</v>
      </c>
      <c r="M3" s="85">
        <f>K3-2*G3-VLOOKUP(Y3,[1]鋼筋號數!$A$3:$C$13,2,FALSE)</f>
        <v>24.264999999999997</v>
      </c>
      <c r="N3" s="85">
        <v>36</v>
      </c>
      <c r="O3" s="85">
        <f>K3*N3</f>
        <v>1296</v>
      </c>
      <c r="P3" s="85">
        <v>330</v>
      </c>
      <c r="Q3" s="85">
        <v>330</v>
      </c>
      <c r="R3" s="49" t="s">
        <v>16</v>
      </c>
      <c r="S3" s="49"/>
      <c r="T3" s="85">
        <v>8</v>
      </c>
      <c r="U3" s="85">
        <v>5191</v>
      </c>
      <c r="V3" s="85">
        <v>6411</v>
      </c>
      <c r="W3" s="82">
        <f>ROUND(X3/N3/K3*100,1)</f>
        <v>1.8</v>
      </c>
      <c r="X3" s="85">
        <f>VLOOKUP(R3,[1]鋼筋號數!$A$3:$C$13,3,FALSE)*T3</f>
        <v>22.96</v>
      </c>
      <c r="Y3" s="49" t="s">
        <v>12</v>
      </c>
      <c r="Z3" s="85">
        <v>4</v>
      </c>
      <c r="AA3" s="85">
        <v>4</v>
      </c>
      <c r="AB3" s="85">
        <v>20</v>
      </c>
      <c r="AC3" s="85">
        <v>20</v>
      </c>
      <c r="AD3" s="85">
        <v>6700</v>
      </c>
      <c r="AE3" s="85"/>
      <c r="AF3" s="85" t="s">
        <v>357</v>
      </c>
      <c r="AG3" s="85">
        <v>135</v>
      </c>
      <c r="AH3" s="85">
        <f>VLOOKUP(Y3,[1]鋼筋號數!$A$3:$C$13,3,FALSE)*Z3</f>
        <v>1.2667999999999999</v>
      </c>
      <c r="AI3" s="82">
        <f>ROUND(VLOOKUP(Y3,[1]鋼筋號數!$A$3:$C$13,3,FALSE)*Z3/AB3/(N3-2*G3-VLOOKUP(Y3,[1]鋼筋號數!$A$3:$C$13,2,FALSE))*100,2)</f>
        <v>0.26</v>
      </c>
      <c r="AJ3" s="83"/>
      <c r="AK3" s="83">
        <v>1.5E-3</v>
      </c>
      <c r="AL3" s="83">
        <v>0.6</v>
      </c>
      <c r="AM3" s="83">
        <v>1</v>
      </c>
      <c r="AN3" s="83">
        <v>1</v>
      </c>
      <c r="AO3" s="83">
        <v>0.65</v>
      </c>
      <c r="AP3" s="83">
        <v>5.0999999999999997E-2</v>
      </c>
      <c r="AQ3" s="83">
        <v>0.01</v>
      </c>
      <c r="AR3" s="83">
        <v>0</v>
      </c>
      <c r="AS3" s="83" t="b">
        <f>IF(OR(F3&gt;=700,AD3&gt;=5000,AH3&gt;=3),TRUE,"None")</f>
        <v>1</v>
      </c>
      <c r="AT3" s="83" t="s">
        <v>361</v>
      </c>
      <c r="AU3" s="84"/>
    </row>
  </sheetData>
  <mergeCells count="5">
    <mergeCell ref="A1:J1"/>
    <mergeCell ref="R1:X1"/>
    <mergeCell ref="Y1:AJ1"/>
    <mergeCell ref="AK1:AR1"/>
    <mergeCell ref="AS1:AT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AF9D-6CF9-4350-B16D-462C7AE66341}">
  <sheetPr>
    <tabColor theme="9" tint="0.59999389629810485"/>
  </sheetPr>
  <dimension ref="A1:F9"/>
  <sheetViews>
    <sheetView workbookViewId="0">
      <selection activeCell="F10" sqref="F10"/>
    </sheetView>
  </sheetViews>
  <sheetFormatPr defaultRowHeight="15" x14ac:dyDescent="0.3"/>
  <cols>
    <col min="1" max="1" width="13.75" bestFit="1" customWidth="1"/>
    <col min="3" max="3" width="11.625" bestFit="1" customWidth="1"/>
  </cols>
  <sheetData>
    <row r="1" spans="1:6" x14ac:dyDescent="0.3">
      <c r="A1" s="79" t="s">
        <v>345</v>
      </c>
      <c r="B1" s="79" t="s">
        <v>68</v>
      </c>
      <c r="C1" s="79" t="s">
        <v>346</v>
      </c>
      <c r="D1" s="79" t="s">
        <v>87</v>
      </c>
      <c r="E1" s="79" t="s">
        <v>88</v>
      </c>
      <c r="F1" s="79" t="s">
        <v>89</v>
      </c>
    </row>
    <row r="2" spans="1:6" x14ac:dyDescent="0.3">
      <c r="A2" s="80" t="s">
        <v>90</v>
      </c>
      <c r="B2" s="80" t="s">
        <v>92</v>
      </c>
      <c r="C2" s="80" t="s">
        <v>94</v>
      </c>
      <c r="D2" s="80">
        <v>2.5000000000000001E-2</v>
      </c>
      <c r="E2" s="80">
        <v>0.05</v>
      </c>
      <c r="F2" s="80">
        <v>0.2</v>
      </c>
    </row>
    <row r="3" spans="1:6" x14ac:dyDescent="0.3">
      <c r="A3" s="80" t="s">
        <v>90</v>
      </c>
      <c r="B3" s="80" t="s">
        <v>92</v>
      </c>
      <c r="C3" s="80" t="s">
        <v>95</v>
      </c>
      <c r="D3" s="80">
        <v>0.02</v>
      </c>
      <c r="E3" s="80">
        <v>0.04</v>
      </c>
      <c r="F3" s="80">
        <v>0.2</v>
      </c>
    </row>
    <row r="4" spans="1:6" x14ac:dyDescent="0.3">
      <c r="A4" s="80" t="s">
        <v>91</v>
      </c>
      <c r="B4" s="80" t="s">
        <v>92</v>
      </c>
      <c r="C4" s="80" t="s">
        <v>94</v>
      </c>
      <c r="D4" s="80">
        <v>0.02</v>
      </c>
      <c r="E4" s="80">
        <v>0.03</v>
      </c>
      <c r="F4" s="80">
        <v>0.2</v>
      </c>
    </row>
    <row r="5" spans="1:6" x14ac:dyDescent="0.3">
      <c r="A5" s="80" t="s">
        <v>91</v>
      </c>
      <c r="B5" s="80" t="s">
        <v>92</v>
      </c>
      <c r="C5" s="80" t="s">
        <v>95</v>
      </c>
      <c r="D5" s="80">
        <v>1.4999999999999999E-2</v>
      </c>
      <c r="E5" s="80">
        <v>0.02</v>
      </c>
      <c r="F5" s="80">
        <v>0.2</v>
      </c>
    </row>
    <row r="6" spans="1:6" x14ac:dyDescent="0.3">
      <c r="A6" s="80" t="s">
        <v>90</v>
      </c>
      <c r="B6" s="80" t="s">
        <v>93</v>
      </c>
      <c r="C6" s="80" t="s">
        <v>94</v>
      </c>
      <c r="D6" s="80">
        <v>0.02</v>
      </c>
      <c r="E6" s="80">
        <v>0.03</v>
      </c>
      <c r="F6" s="80">
        <v>0.2</v>
      </c>
    </row>
    <row r="7" spans="1:6" x14ac:dyDescent="0.3">
      <c r="A7" s="80" t="s">
        <v>90</v>
      </c>
      <c r="B7" s="80" t="s">
        <v>93</v>
      </c>
      <c r="C7" s="80" t="s">
        <v>95</v>
      </c>
      <c r="D7" s="80">
        <v>0.01</v>
      </c>
      <c r="E7" s="80">
        <v>1.4999999999999999E-2</v>
      </c>
      <c r="F7" s="80">
        <v>0.2</v>
      </c>
    </row>
    <row r="8" spans="1:6" x14ac:dyDescent="0.3">
      <c r="A8" s="80" t="s">
        <v>91</v>
      </c>
      <c r="B8" s="80" t="s">
        <v>93</v>
      </c>
      <c r="C8" s="80" t="s">
        <v>94</v>
      </c>
      <c r="D8" s="80">
        <v>0.01</v>
      </c>
      <c r="E8" s="80">
        <v>1.4999999999999999E-2</v>
      </c>
      <c r="F8" s="80">
        <v>0.2</v>
      </c>
    </row>
    <row r="9" spans="1:6" x14ac:dyDescent="0.3">
      <c r="A9" s="80" t="s">
        <v>91</v>
      </c>
      <c r="B9" s="80" t="s">
        <v>93</v>
      </c>
      <c r="C9" s="80" t="s">
        <v>95</v>
      </c>
      <c r="D9" s="80">
        <v>5.0000000000000001E-3</v>
      </c>
      <c r="E9" s="80">
        <v>0.01</v>
      </c>
      <c r="F9" s="80">
        <v>0.2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62B8-CED1-45D1-87C1-A93C144C9A32}">
  <sheetPr>
    <tabColor rgb="FFFFFF00"/>
  </sheetPr>
  <dimension ref="A1:D13"/>
  <sheetViews>
    <sheetView workbookViewId="0">
      <selection activeCell="G19" sqref="G19"/>
    </sheetView>
  </sheetViews>
  <sheetFormatPr defaultRowHeight="15" x14ac:dyDescent="0.3"/>
  <sheetData>
    <row r="1" spans="1:4" x14ac:dyDescent="0.3">
      <c r="A1" s="2" t="s">
        <v>3</v>
      </c>
      <c r="B1" s="2" t="s">
        <v>4</v>
      </c>
      <c r="C1" s="2" t="s">
        <v>5</v>
      </c>
      <c r="D1" s="3" t="s">
        <v>6</v>
      </c>
    </row>
    <row r="2" spans="1:4" ht="16.2" x14ac:dyDescent="0.3">
      <c r="A2" s="2" t="s">
        <v>7</v>
      </c>
      <c r="B2" s="2" t="s">
        <v>8</v>
      </c>
      <c r="C2" s="2" t="s">
        <v>9</v>
      </c>
      <c r="D2" s="2" t="s">
        <v>10</v>
      </c>
    </row>
    <row r="3" spans="1:4" x14ac:dyDescent="0.3">
      <c r="A3" s="5" t="s">
        <v>11</v>
      </c>
      <c r="B3" s="3">
        <v>0.318</v>
      </c>
      <c r="C3" s="2">
        <v>7.9399999999999998E-2</v>
      </c>
      <c r="D3" s="3">
        <v>6.2399999999999997E-2</v>
      </c>
    </row>
    <row r="4" spans="1:4" x14ac:dyDescent="0.3">
      <c r="A4" s="5" t="s">
        <v>12</v>
      </c>
      <c r="B4" s="3">
        <v>0.63500000000000001</v>
      </c>
      <c r="C4" s="2">
        <v>0.31669999999999998</v>
      </c>
      <c r="D4" s="3">
        <v>0.249</v>
      </c>
    </row>
    <row r="5" spans="1:4" x14ac:dyDescent="0.3">
      <c r="A5" s="5" t="s">
        <v>13</v>
      </c>
      <c r="B5" s="3">
        <v>0.95299999999999996</v>
      </c>
      <c r="C5" s="2">
        <v>0.71</v>
      </c>
      <c r="D5" s="3">
        <v>0.56000000000000005</v>
      </c>
    </row>
    <row r="6" spans="1:4" x14ac:dyDescent="0.3">
      <c r="A6" s="5" t="s">
        <v>14</v>
      </c>
      <c r="B6" s="2">
        <v>1.27</v>
      </c>
      <c r="C6" s="2">
        <v>1.27</v>
      </c>
      <c r="D6" s="2">
        <v>0.99399999999999999</v>
      </c>
    </row>
    <row r="7" spans="1:4" x14ac:dyDescent="0.3">
      <c r="A7" s="5" t="s">
        <v>15</v>
      </c>
      <c r="B7" s="3">
        <v>1.5880000000000001</v>
      </c>
      <c r="C7" s="3">
        <v>1.99</v>
      </c>
      <c r="D7" s="3">
        <v>1.56</v>
      </c>
    </row>
    <row r="8" spans="1:4" x14ac:dyDescent="0.3">
      <c r="A8" s="5" t="s">
        <v>16</v>
      </c>
      <c r="B8" s="4">
        <v>1.905</v>
      </c>
      <c r="C8" s="4">
        <v>2.87</v>
      </c>
      <c r="D8" s="4">
        <v>2.25</v>
      </c>
    </row>
    <row r="9" spans="1:4" x14ac:dyDescent="0.3">
      <c r="A9" s="5" t="s">
        <v>17</v>
      </c>
      <c r="B9" s="3">
        <v>2.2229999999999999</v>
      </c>
      <c r="C9" s="3">
        <v>3.87</v>
      </c>
      <c r="D9" s="3">
        <v>3.04</v>
      </c>
    </row>
    <row r="10" spans="1:4" x14ac:dyDescent="0.3">
      <c r="A10" s="5" t="s">
        <v>18</v>
      </c>
      <c r="B10" s="4">
        <v>2.54</v>
      </c>
      <c r="C10" s="4">
        <v>5.07</v>
      </c>
      <c r="D10" s="4">
        <v>3.98</v>
      </c>
    </row>
    <row r="11" spans="1:4" x14ac:dyDescent="0.3">
      <c r="A11" s="5" t="s">
        <v>19</v>
      </c>
      <c r="B11" s="3">
        <v>2.8650000000000002</v>
      </c>
      <c r="C11" s="3">
        <v>6.47</v>
      </c>
      <c r="D11" s="3">
        <v>5.08</v>
      </c>
    </row>
    <row r="12" spans="1:4" x14ac:dyDescent="0.3">
      <c r="A12" s="5" t="s">
        <v>20</v>
      </c>
      <c r="B12" s="4">
        <v>3.226</v>
      </c>
      <c r="C12" s="4">
        <v>8.14</v>
      </c>
      <c r="D12" s="4">
        <v>6.39</v>
      </c>
    </row>
    <row r="13" spans="1:4" x14ac:dyDescent="0.3">
      <c r="A13" s="5" t="s">
        <v>21</v>
      </c>
      <c r="B13" s="3">
        <v>3.581</v>
      </c>
      <c r="C13" s="3">
        <v>10.07</v>
      </c>
      <c r="D13" s="3">
        <v>7.9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建築資訊</vt:lpstr>
      <vt:lpstr>建築資訊-雜項</vt:lpstr>
      <vt:lpstr>計算重量</vt:lpstr>
      <vt:lpstr>雙筋梁</vt:lpstr>
      <vt:lpstr>梁-過程雜項</vt:lpstr>
      <vt:lpstr>柱</vt:lpstr>
      <vt:lpstr>柱-過程雜項</vt:lpstr>
      <vt:lpstr>AI塑鉸預測</vt:lpstr>
      <vt:lpstr>RC梁彎矩塑鉸查表</vt:lpstr>
      <vt:lpstr>鋼筋號數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user</cp:lastModifiedBy>
  <dcterms:created xsi:type="dcterms:W3CDTF">2015-06-05T18:17:20Z</dcterms:created>
  <dcterms:modified xsi:type="dcterms:W3CDTF">2023-07-29T06:51:39Z</dcterms:modified>
</cp:coreProperties>
</file>