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UN\Desktop\論文\OpenSees區域\OpenSees3.3.0-x64.exe\bin\0412 更新版(完成品)\"/>
    </mc:Choice>
  </mc:AlternateContent>
  <xr:revisionPtr revIDLastSave="0" documentId="13_ncr:1_{C0C26307-15ED-43E7-BCE7-C3E68D0C1E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se" sheetId="1" r:id="rId1"/>
    <sheet name="鋼筋號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1" l="1"/>
  <c r="M45" i="1"/>
  <c r="O45" i="1"/>
  <c r="J45" i="1" s="1"/>
  <c r="X45" i="1"/>
  <c r="W45" i="1" s="1"/>
  <c r="AH45" i="1"/>
  <c r="AS45" i="1" s="1"/>
  <c r="AI45" i="1"/>
  <c r="AK45" i="1"/>
  <c r="AK47" i="1"/>
  <c r="AK46" i="1"/>
  <c r="AK44" i="1"/>
  <c r="AK43" i="1"/>
  <c r="AK41" i="1"/>
  <c r="AK40" i="1"/>
  <c r="AK15" i="1"/>
  <c r="AK14" i="1"/>
  <c r="AI46" i="1"/>
  <c r="AI47" i="1"/>
  <c r="AH46" i="1"/>
  <c r="AS46" i="1" s="1"/>
  <c r="AH47" i="1"/>
  <c r="AS47" i="1" s="1"/>
  <c r="X46" i="1"/>
  <c r="W46" i="1" s="1"/>
  <c r="X47" i="1"/>
  <c r="W47" i="1" s="1"/>
  <c r="M47" i="1"/>
  <c r="M46" i="1"/>
  <c r="O47" i="1"/>
  <c r="I47" i="1" s="1"/>
  <c r="L47" i="1"/>
  <c r="O46" i="1"/>
  <c r="I46" i="1" s="1"/>
  <c r="L46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" i="1"/>
  <c r="AI5" i="1"/>
  <c r="AI6" i="1"/>
  <c r="AI7" i="1"/>
  <c r="AI8" i="1"/>
  <c r="AI9" i="1"/>
  <c r="AI10" i="1"/>
  <c r="AI11" i="1"/>
  <c r="AI12" i="1"/>
  <c r="AI13" i="1"/>
  <c r="AI14" i="1"/>
  <c r="AI15" i="1"/>
  <c r="AI3" i="1"/>
  <c r="AH4" i="1"/>
  <c r="AS4" i="1" s="1"/>
  <c r="AH5" i="1"/>
  <c r="AS5" i="1" s="1"/>
  <c r="AH6" i="1"/>
  <c r="AS6" i="1" s="1"/>
  <c r="AH7" i="1"/>
  <c r="AS7" i="1" s="1"/>
  <c r="AH8" i="1"/>
  <c r="AS8" i="1" s="1"/>
  <c r="AH9" i="1"/>
  <c r="AS9" i="1" s="1"/>
  <c r="AH10" i="1"/>
  <c r="AS10" i="1" s="1"/>
  <c r="AH11" i="1"/>
  <c r="AS11" i="1" s="1"/>
  <c r="AH12" i="1"/>
  <c r="AS12" i="1" s="1"/>
  <c r="AH13" i="1"/>
  <c r="AS13" i="1" s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S39" i="1" s="1"/>
  <c r="AH40" i="1"/>
  <c r="AS40" i="1" s="1"/>
  <c r="AH41" i="1"/>
  <c r="AS41" i="1" s="1"/>
  <c r="AH42" i="1"/>
  <c r="AS42" i="1" s="1"/>
  <c r="AH43" i="1"/>
  <c r="AS43" i="1" s="1"/>
  <c r="AH44" i="1"/>
  <c r="AS44" i="1" s="1"/>
  <c r="AH3" i="1"/>
  <c r="AS3" i="1" s="1"/>
  <c r="W33" i="1"/>
  <c r="W32" i="1"/>
  <c r="X5" i="1"/>
  <c r="X36" i="1"/>
  <c r="W36" i="1" s="1"/>
  <c r="X37" i="1"/>
  <c r="W37" i="1" s="1"/>
  <c r="X38" i="1"/>
  <c r="W38" i="1" s="1"/>
  <c r="X35" i="1"/>
  <c r="W35" i="1" s="1"/>
  <c r="X33" i="1"/>
  <c r="X34" i="1"/>
  <c r="W34" i="1" s="1"/>
  <c r="X32" i="1"/>
  <c r="X4" i="1" l="1"/>
  <c r="X6" i="1"/>
  <c r="X7" i="1"/>
  <c r="X8" i="1"/>
  <c r="X9" i="1"/>
  <c r="X10" i="1"/>
  <c r="X11" i="1"/>
  <c r="X12" i="1"/>
  <c r="X13" i="1"/>
  <c r="X14" i="1"/>
  <c r="X15" i="1"/>
  <c r="X16" i="1"/>
  <c r="X17" i="1"/>
  <c r="W17" i="1" s="1"/>
  <c r="X18" i="1"/>
  <c r="W18" i="1" s="1"/>
  <c r="X19" i="1"/>
  <c r="W19" i="1" s="1"/>
  <c r="X20" i="1"/>
  <c r="W20" i="1" s="1"/>
  <c r="X21" i="1"/>
  <c r="X22" i="1"/>
  <c r="X23" i="1"/>
  <c r="X24" i="1"/>
  <c r="X25" i="1"/>
  <c r="W25" i="1" s="1"/>
  <c r="X26" i="1"/>
  <c r="X27" i="1"/>
  <c r="W27" i="1" s="1"/>
  <c r="X28" i="1"/>
  <c r="W28" i="1" s="1"/>
  <c r="X29" i="1"/>
  <c r="W29" i="1" s="1"/>
  <c r="X30" i="1"/>
  <c r="X31" i="1"/>
  <c r="X39" i="1"/>
  <c r="W39" i="1" s="1"/>
  <c r="X40" i="1"/>
  <c r="W40" i="1" s="1"/>
  <c r="X41" i="1"/>
  <c r="W41" i="1" s="1"/>
  <c r="X42" i="1"/>
  <c r="W42" i="1" s="1"/>
  <c r="X43" i="1"/>
  <c r="W43" i="1" s="1"/>
  <c r="X44" i="1"/>
  <c r="W44" i="1" s="1"/>
  <c r="W5" i="1"/>
  <c r="X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3" i="1"/>
  <c r="O44" i="1"/>
  <c r="J44" i="1" s="1"/>
  <c r="L44" i="1"/>
  <c r="O43" i="1"/>
  <c r="J43" i="1" s="1"/>
  <c r="L43" i="1"/>
  <c r="O42" i="1"/>
  <c r="J42" i="1" s="1"/>
  <c r="L42" i="1"/>
  <c r="O41" i="1"/>
  <c r="J41" i="1" s="1"/>
  <c r="L41" i="1"/>
  <c r="O40" i="1"/>
  <c r="J40" i="1" s="1"/>
  <c r="L40" i="1"/>
  <c r="O39" i="1"/>
  <c r="J39" i="1" s="1"/>
  <c r="L39" i="1"/>
  <c r="L21" i="1"/>
  <c r="L22" i="1"/>
  <c r="L20" i="1"/>
  <c r="W21" i="1"/>
  <c r="W22" i="1"/>
  <c r="W23" i="1"/>
  <c r="W24" i="1"/>
  <c r="W26" i="1"/>
  <c r="W30" i="1"/>
  <c r="W31" i="1"/>
  <c r="W15" i="1"/>
  <c r="W16" i="1"/>
  <c r="W14" i="1"/>
  <c r="AD38" i="1"/>
  <c r="U38" i="1"/>
  <c r="O38" i="1"/>
  <c r="L38" i="1"/>
  <c r="F38" i="1"/>
  <c r="AD37" i="1"/>
  <c r="U37" i="1"/>
  <c r="O37" i="1"/>
  <c r="L37" i="1"/>
  <c r="F37" i="1"/>
  <c r="AD36" i="1"/>
  <c r="U36" i="1"/>
  <c r="O36" i="1"/>
  <c r="L36" i="1"/>
  <c r="F36" i="1"/>
  <c r="AS36" i="1" s="1"/>
  <c r="AD35" i="1"/>
  <c r="U35" i="1"/>
  <c r="O35" i="1"/>
  <c r="L35" i="1"/>
  <c r="F35" i="1"/>
  <c r="AD34" i="1"/>
  <c r="U34" i="1"/>
  <c r="O34" i="1"/>
  <c r="L34" i="1"/>
  <c r="F34" i="1"/>
  <c r="AD33" i="1"/>
  <c r="U33" i="1"/>
  <c r="O33" i="1"/>
  <c r="L33" i="1"/>
  <c r="F33" i="1"/>
  <c r="AD32" i="1"/>
  <c r="U32" i="1"/>
  <c r="O32" i="1"/>
  <c r="L32" i="1"/>
  <c r="F32" i="1"/>
  <c r="AD31" i="1"/>
  <c r="U31" i="1"/>
  <c r="O31" i="1"/>
  <c r="L31" i="1"/>
  <c r="F31" i="1"/>
  <c r="AS31" i="1" s="1"/>
  <c r="AD30" i="1"/>
  <c r="U30" i="1"/>
  <c r="O30" i="1"/>
  <c r="L30" i="1"/>
  <c r="F30" i="1"/>
  <c r="AS30" i="1" s="1"/>
  <c r="AD29" i="1"/>
  <c r="U29" i="1"/>
  <c r="O29" i="1"/>
  <c r="L29" i="1"/>
  <c r="F29" i="1"/>
  <c r="AD28" i="1"/>
  <c r="U28" i="1"/>
  <c r="O28" i="1"/>
  <c r="L28" i="1"/>
  <c r="F28" i="1"/>
  <c r="AS28" i="1" s="1"/>
  <c r="AD27" i="1"/>
  <c r="U27" i="1"/>
  <c r="O27" i="1"/>
  <c r="L27" i="1"/>
  <c r="F27" i="1"/>
  <c r="AD26" i="1"/>
  <c r="U26" i="1"/>
  <c r="O26" i="1"/>
  <c r="L26" i="1"/>
  <c r="F26" i="1"/>
  <c r="AD25" i="1"/>
  <c r="U25" i="1"/>
  <c r="O25" i="1"/>
  <c r="L25" i="1"/>
  <c r="F25" i="1"/>
  <c r="AS25" i="1" s="1"/>
  <c r="AD24" i="1"/>
  <c r="U24" i="1"/>
  <c r="O24" i="1"/>
  <c r="L24" i="1"/>
  <c r="F24" i="1"/>
  <c r="AD23" i="1"/>
  <c r="U23" i="1"/>
  <c r="O23" i="1"/>
  <c r="L23" i="1"/>
  <c r="F23" i="1"/>
  <c r="AD22" i="1"/>
  <c r="U22" i="1"/>
  <c r="O22" i="1"/>
  <c r="F22" i="1"/>
  <c r="AD21" i="1"/>
  <c r="U21" i="1"/>
  <c r="O21" i="1"/>
  <c r="F21" i="1"/>
  <c r="AS21" i="1" s="1"/>
  <c r="AD20" i="1"/>
  <c r="U20" i="1"/>
  <c r="O20" i="1"/>
  <c r="F20" i="1"/>
  <c r="AS20" i="1" s="1"/>
  <c r="AD19" i="1"/>
  <c r="U19" i="1"/>
  <c r="O19" i="1"/>
  <c r="L19" i="1"/>
  <c r="F19" i="1"/>
  <c r="AD18" i="1"/>
  <c r="U18" i="1"/>
  <c r="O18" i="1"/>
  <c r="L18" i="1"/>
  <c r="F18" i="1"/>
  <c r="AS18" i="1" s="1"/>
  <c r="AD17" i="1"/>
  <c r="U17" i="1"/>
  <c r="O17" i="1"/>
  <c r="L17" i="1"/>
  <c r="F17" i="1"/>
  <c r="AD16" i="1"/>
  <c r="U16" i="1"/>
  <c r="O16" i="1"/>
  <c r="L16" i="1"/>
  <c r="F16" i="1"/>
  <c r="AD15" i="1"/>
  <c r="U15" i="1"/>
  <c r="O15" i="1"/>
  <c r="L15" i="1"/>
  <c r="F15" i="1"/>
  <c r="AD14" i="1"/>
  <c r="U14" i="1"/>
  <c r="O14" i="1"/>
  <c r="L14" i="1"/>
  <c r="F14" i="1"/>
  <c r="AS19" i="1" l="1"/>
  <c r="AS26" i="1"/>
  <c r="AS16" i="1"/>
  <c r="AS23" i="1"/>
  <c r="AS24" i="1"/>
  <c r="AS27" i="1"/>
  <c r="AS17" i="1"/>
  <c r="AS14" i="1"/>
  <c r="AS37" i="1"/>
  <c r="AS34" i="1"/>
  <c r="AS33" i="1"/>
  <c r="AS38" i="1"/>
  <c r="AS22" i="1"/>
  <c r="AS35" i="1"/>
  <c r="AS15" i="1"/>
  <c r="AS32" i="1"/>
  <c r="AS29" i="1"/>
  <c r="J23" i="1"/>
  <c r="J19" i="1"/>
  <c r="J16" i="1"/>
  <c r="J18" i="1"/>
  <c r="J21" i="1"/>
  <c r="J33" i="1"/>
  <c r="J17" i="1"/>
  <c r="J29" i="1"/>
  <c r="J37" i="1"/>
  <c r="J20" i="1"/>
  <c r="J15" i="1"/>
  <c r="J38" i="1"/>
  <c r="J24" i="1"/>
  <c r="J32" i="1"/>
  <c r="J27" i="1"/>
  <c r="J35" i="1"/>
  <c r="J22" i="1"/>
  <c r="J30" i="1"/>
  <c r="J25" i="1"/>
  <c r="J26" i="1"/>
  <c r="J14" i="1"/>
  <c r="J28" i="1"/>
  <c r="J31" i="1"/>
  <c r="J36" i="1"/>
  <c r="J34" i="1"/>
  <c r="W7" i="1"/>
  <c r="W8" i="1"/>
  <c r="W9" i="1"/>
  <c r="W10" i="1"/>
  <c r="W11" i="1"/>
  <c r="W12" i="1"/>
  <c r="W13" i="1"/>
  <c r="W6" i="1"/>
  <c r="W4" i="1"/>
  <c r="W3" i="1"/>
  <c r="O13" i="1"/>
  <c r="J13" i="1" s="1"/>
  <c r="L13" i="1"/>
  <c r="O12" i="1"/>
  <c r="J12" i="1" s="1"/>
  <c r="L12" i="1"/>
  <c r="O11" i="1"/>
  <c r="J11" i="1" s="1"/>
  <c r="L11" i="1"/>
  <c r="O10" i="1"/>
  <c r="J10" i="1" s="1"/>
  <c r="L10" i="1"/>
  <c r="O9" i="1"/>
  <c r="J9" i="1" s="1"/>
  <c r="L9" i="1"/>
  <c r="O8" i="1"/>
  <c r="J8" i="1" s="1"/>
  <c r="L8" i="1"/>
  <c r="O7" i="1"/>
  <c r="J7" i="1" s="1"/>
  <c r="L7" i="1"/>
  <c r="O6" i="1"/>
  <c r="J6" i="1" s="1"/>
  <c r="L6" i="1"/>
  <c r="O5" i="1"/>
  <c r="I5" i="1" s="1"/>
  <c r="L5" i="1"/>
  <c r="O4" i="1"/>
  <c r="I4" i="1" s="1"/>
  <c r="L4" i="1"/>
  <c r="O3" i="1"/>
  <c r="I3" i="1" s="1"/>
  <c r="L3" i="1"/>
</calcChain>
</file>

<file path=xl/sharedStrings.xml><?xml version="1.0" encoding="utf-8"?>
<sst xmlns="http://schemas.openxmlformats.org/spreadsheetml/2006/main" count="470" uniqueCount="135">
  <si>
    <t>鋼筋號數</t>
  </si>
  <si>
    <t>標稱直徑</t>
  </si>
  <si>
    <t>標稱斷面積</t>
  </si>
  <si>
    <t>單位重</t>
  </si>
  <si>
    <t>CNS</t>
  </si>
  <si>
    <t>(cm)</t>
  </si>
  <si>
    <r>
      <t>(cm</t>
    </r>
    <r>
      <rPr>
        <vertAlign val="superscript"/>
        <sz val="11"/>
        <color rgb="FF333333"/>
        <rFont val="Source Sans Pro"/>
        <family val="2"/>
      </rPr>
      <t>2</t>
    </r>
    <r>
      <rPr>
        <sz val="11"/>
        <color rgb="FF333333"/>
        <rFont val="Source Sans Pro"/>
        <family val="2"/>
      </rPr>
      <t>)</t>
    </r>
  </si>
  <si>
    <t>kg/m</t>
  </si>
  <si>
    <t>#2 (D6)</t>
    <phoneticPr fontId="2" type="noConversion"/>
  </si>
  <si>
    <t>#3 (D10)</t>
  </si>
  <si>
    <t>#4 (D13)</t>
  </si>
  <si>
    <t>#5 (D16)</t>
  </si>
  <si>
    <t>#6 (D19)</t>
  </si>
  <si>
    <t>#7 (D22)</t>
  </si>
  <si>
    <t>#8 (D25)</t>
  </si>
  <si>
    <t>#9 (D29)</t>
    <phoneticPr fontId="2" type="noConversion"/>
  </si>
  <si>
    <t>#10 (D32)</t>
  </si>
  <si>
    <t>#11 (D36)</t>
  </si>
  <si>
    <t>基本資料</t>
    <phoneticPr fontId="2" type="noConversion"/>
  </si>
  <si>
    <t>幾何斷面資料</t>
    <phoneticPr fontId="2" type="noConversion"/>
  </si>
  <si>
    <t>主筋</t>
    <phoneticPr fontId="2" type="noConversion"/>
  </si>
  <si>
    <t>箍筋</t>
    <phoneticPr fontId="2" type="noConversion"/>
  </si>
  <si>
    <t>試體名稱</t>
    <phoneticPr fontId="2" type="noConversion"/>
  </si>
  <si>
    <t>論文</t>
    <phoneticPr fontId="2" type="noConversion"/>
  </si>
  <si>
    <t>測試配置</t>
    <phoneticPr fontId="2" type="noConversion"/>
  </si>
  <si>
    <t>破壞形式</t>
    <phoneticPr fontId="2" type="noConversion"/>
  </si>
  <si>
    <t>韌性柱</t>
    <phoneticPr fontId="2" type="noConversion"/>
  </si>
  <si>
    <r>
      <t>混凝土強度f'</t>
    </r>
    <r>
      <rPr>
        <vertAlign val="subscript"/>
        <sz val="11"/>
        <color theme="1"/>
        <rFont val="標楷體"/>
        <family val="4"/>
        <charset val="136"/>
      </rPr>
      <t>c</t>
    </r>
    <r>
      <rPr>
        <sz val="11"/>
        <color theme="1"/>
        <rFont val="標楷體"/>
        <family val="4"/>
        <charset val="136"/>
      </rPr>
      <t>(kgf/cm^2)</t>
    </r>
    <phoneticPr fontId="2" type="noConversion"/>
  </si>
  <si>
    <t>保護層(cm)</t>
    <phoneticPr fontId="2" type="noConversion"/>
  </si>
  <si>
    <t>主筋搭接</t>
    <phoneticPr fontId="2" type="noConversion"/>
  </si>
  <si>
    <t>軸力比</t>
    <phoneticPr fontId="2" type="noConversion"/>
  </si>
  <si>
    <t>軸壓力(kgf)</t>
    <phoneticPr fontId="2" type="noConversion"/>
  </si>
  <si>
    <t>深(cm)</t>
    <phoneticPr fontId="2" type="noConversion"/>
  </si>
  <si>
    <t>有效深度(cm)</t>
    <phoneticPr fontId="2" type="noConversion"/>
  </si>
  <si>
    <t>柱子核心混凝土之深度 (cm)</t>
    <phoneticPr fontId="2" type="noConversion"/>
  </si>
  <si>
    <t>寬(cm)</t>
    <phoneticPr fontId="2" type="noConversion"/>
  </si>
  <si>
    <r>
      <t>斷面積(cm</t>
    </r>
    <r>
      <rPr>
        <vertAlign val="superscript"/>
        <sz val="11"/>
        <color theme="1"/>
        <rFont val="標楷體"/>
        <family val="4"/>
        <charset val="136"/>
      </rPr>
      <t>2</t>
    </r>
    <r>
      <rPr>
        <sz val="11"/>
        <color theme="1"/>
        <rFont val="標楷體"/>
        <family val="4"/>
        <charset val="136"/>
      </rPr>
      <t>)</t>
    </r>
    <phoneticPr fontId="2" type="noConversion"/>
  </si>
  <si>
    <t>柱高(cm)</t>
    <phoneticPr fontId="2" type="noConversion"/>
  </si>
  <si>
    <t>柱淨高(cm)</t>
    <phoneticPr fontId="2" type="noConversion"/>
  </si>
  <si>
    <t>號數</t>
    <phoneticPr fontId="2" type="noConversion"/>
  </si>
  <si>
    <t>數量</t>
    <phoneticPr fontId="2" type="noConversion"/>
  </si>
  <si>
    <r>
      <t>降伏強度f</t>
    </r>
    <r>
      <rPr>
        <vertAlign val="subscript"/>
        <sz val="11"/>
        <color theme="1"/>
        <rFont val="標楷體"/>
        <family val="4"/>
        <charset val="136"/>
      </rPr>
      <t>y</t>
    </r>
    <r>
      <rPr>
        <sz val="11"/>
        <color theme="1"/>
        <rFont val="標楷體"/>
        <family val="4"/>
        <charset val="136"/>
      </rPr>
      <t>(kgf/cm)</t>
    </r>
    <phoneticPr fontId="2" type="noConversion"/>
  </si>
  <si>
    <t>抗拉強度(MPa)</t>
    <phoneticPr fontId="2" type="noConversion"/>
  </si>
  <si>
    <t>極限強度</t>
    <phoneticPr fontId="2" type="noConversion"/>
  </si>
  <si>
    <t>鋼筋斷面積As</t>
    <phoneticPr fontId="2" type="noConversion"/>
  </si>
  <si>
    <t>寬度方向(根)</t>
    <phoneticPr fontId="2" type="noConversion"/>
  </si>
  <si>
    <t>深度方向(根)</t>
    <phoneticPr fontId="2" type="noConversion"/>
  </si>
  <si>
    <r>
      <t>f</t>
    </r>
    <r>
      <rPr>
        <vertAlign val="subscript"/>
        <sz val="11"/>
        <color theme="1"/>
        <rFont val="標楷體"/>
        <family val="4"/>
        <charset val="136"/>
      </rPr>
      <t>yt</t>
    </r>
    <r>
      <rPr>
        <sz val="11"/>
        <color theme="1"/>
        <rFont val="標楷體"/>
        <family val="4"/>
        <charset val="136"/>
      </rPr>
      <t>(MPa)</t>
    </r>
    <phoneticPr fontId="2" type="noConversion"/>
  </si>
  <si>
    <t>型式</t>
    <phoneticPr fontId="2" type="noConversion"/>
  </si>
  <si>
    <t>彎鉤角度</t>
    <phoneticPr fontId="2" type="noConversion"/>
  </si>
  <si>
    <r>
      <t>Av(cm</t>
    </r>
    <r>
      <rPr>
        <vertAlign val="superscript"/>
        <sz val="11"/>
        <color theme="1"/>
        <rFont val="標楷體"/>
        <family val="4"/>
        <charset val="136"/>
      </rPr>
      <t>2</t>
    </r>
    <r>
      <rPr>
        <sz val="11"/>
        <color theme="1"/>
        <rFont val="標楷體"/>
        <family val="4"/>
        <charset val="136"/>
      </rPr>
      <t>)</t>
    </r>
    <phoneticPr fontId="2" type="noConversion"/>
  </si>
  <si>
    <t>C1</t>
    <phoneticPr fontId="2" type="noConversion"/>
  </si>
  <si>
    <t>楊智斌</t>
    <phoneticPr fontId="2" type="noConversion"/>
  </si>
  <si>
    <t>Y</t>
    <phoneticPr fontId="2" type="noConversion"/>
  </si>
  <si>
    <t>N</t>
    <phoneticPr fontId="2" type="noConversion"/>
  </si>
  <si>
    <t>閉合</t>
    <phoneticPr fontId="2" type="noConversion"/>
  </si>
  <si>
    <t>C2</t>
  </si>
  <si>
    <t>#6 (D19)</t>
    <phoneticPr fontId="2" type="noConversion"/>
  </si>
  <si>
    <t>C3</t>
  </si>
  <si>
    <t>4DL</t>
    <phoneticPr fontId="2" type="noConversion"/>
  </si>
  <si>
    <t>翁樸文</t>
    <phoneticPr fontId="2" type="noConversion"/>
  </si>
  <si>
    <t>4DH</t>
    <phoneticPr fontId="2" type="noConversion"/>
  </si>
  <si>
    <t>4NL</t>
    <phoneticPr fontId="2" type="noConversion"/>
  </si>
  <si>
    <t>4NH</t>
    <phoneticPr fontId="2" type="noConversion"/>
  </si>
  <si>
    <t>3DL</t>
    <phoneticPr fontId="2" type="noConversion"/>
  </si>
  <si>
    <t>3DH</t>
    <phoneticPr fontId="2" type="noConversion"/>
  </si>
  <si>
    <t>3NL</t>
    <phoneticPr fontId="2" type="noConversion"/>
  </si>
  <si>
    <t>3NH</t>
    <phoneticPr fontId="2" type="noConversion"/>
  </si>
  <si>
    <t>Liao</t>
    <phoneticPr fontId="2" type="noConversion"/>
  </si>
  <si>
    <t>單曲率</t>
    <phoneticPr fontId="2" type="noConversion"/>
  </si>
  <si>
    <t>C4</t>
  </si>
  <si>
    <t>C3-A</t>
    <phoneticPr fontId="2" type="noConversion"/>
  </si>
  <si>
    <t>C4-A</t>
    <phoneticPr fontId="2" type="noConversion"/>
  </si>
  <si>
    <t>CF-C-PT-03</t>
    <phoneticPr fontId="2" type="noConversion"/>
  </si>
  <si>
    <t>封閉型閉合</t>
    <phoneticPr fontId="2" type="noConversion"/>
  </si>
  <si>
    <t>CF-C-W-03</t>
    <phoneticPr fontId="2" type="noConversion"/>
  </si>
  <si>
    <t>#4 (D13)</t>
    <phoneticPr fontId="2" type="noConversion"/>
  </si>
  <si>
    <t>封閉型焊接</t>
    <phoneticPr fontId="2" type="noConversion"/>
  </si>
  <si>
    <t>CF-C-FT-03</t>
    <phoneticPr fontId="2" type="noConversion"/>
  </si>
  <si>
    <t>單閉合</t>
    <phoneticPr fontId="2" type="noConversion"/>
  </si>
  <si>
    <t>B1</t>
    <phoneticPr fontId="2" type="noConversion"/>
  </si>
  <si>
    <t>張豐展</t>
    <phoneticPr fontId="2" type="noConversion"/>
  </si>
  <si>
    <t>B2</t>
    <phoneticPr fontId="2" type="noConversion"/>
  </si>
  <si>
    <t>B3</t>
    <phoneticPr fontId="2" type="noConversion"/>
  </si>
  <si>
    <t>B4</t>
  </si>
  <si>
    <t>B5</t>
  </si>
  <si>
    <t>T70-N29-D4</t>
    <phoneticPr fontId="2" type="noConversion"/>
  </si>
  <si>
    <t>陳盈璋</t>
    <phoneticPr fontId="2" type="noConversion"/>
  </si>
  <si>
    <t>T70-N42-D4</t>
    <phoneticPr fontId="2" type="noConversion"/>
  </si>
  <si>
    <t>T70-N46-D3</t>
    <phoneticPr fontId="2" type="noConversion"/>
  </si>
  <si>
    <t>T100-N43-D4</t>
    <phoneticPr fontId="2" type="noConversion"/>
  </si>
  <si>
    <t>T100-1</t>
    <phoneticPr fontId="2" type="noConversion"/>
  </si>
  <si>
    <t>黃冠傑</t>
    <phoneticPr fontId="2" type="noConversion"/>
  </si>
  <si>
    <t>T100-2</t>
  </si>
  <si>
    <t>#5 (D16)</t>
    <phoneticPr fontId="2" type="noConversion"/>
  </si>
  <si>
    <t>T100-3</t>
  </si>
  <si>
    <t>T70-1</t>
    <phoneticPr fontId="2" type="noConversion"/>
  </si>
  <si>
    <t>廖苑儀</t>
    <phoneticPr fontId="2" type="noConversion"/>
  </si>
  <si>
    <t>T70-2</t>
    <phoneticPr fontId="2" type="noConversion"/>
  </si>
  <si>
    <t>T70-3</t>
    <phoneticPr fontId="2" type="noConversion"/>
  </si>
  <si>
    <t>T70-4</t>
  </si>
  <si>
    <t>非緊密間距(cm)</t>
    <phoneticPr fontId="2" type="noConversion"/>
  </si>
  <si>
    <t>緊密間距(cm)</t>
    <phoneticPr fontId="2" type="noConversion"/>
  </si>
  <si>
    <t>FF-15S-0.1</t>
    <phoneticPr fontId="2" type="noConversion"/>
  </si>
  <si>
    <t>典型鋼筋</t>
    <phoneticPr fontId="2" type="noConversion"/>
  </si>
  <si>
    <t>FSF-15S-0.1</t>
    <phoneticPr fontId="2" type="noConversion"/>
  </si>
  <si>
    <t>SF-30S-0.1</t>
    <phoneticPr fontId="2" type="noConversion"/>
  </si>
  <si>
    <t>FF-15S-0.2</t>
    <phoneticPr fontId="2" type="noConversion"/>
  </si>
  <si>
    <t>FSF-15S-0.2</t>
    <phoneticPr fontId="2" type="noConversion"/>
  </si>
  <si>
    <t>SF-30S-0.2</t>
    <phoneticPr fontId="2" type="noConversion"/>
  </si>
  <si>
    <r>
      <rPr>
        <sz val="11"/>
        <color theme="1" tint="4.9989318521683403E-2"/>
        <rFont val="標楷體"/>
        <family val="4"/>
        <charset val="136"/>
      </rPr>
      <t>箍筋面積比</t>
    </r>
    <r>
      <rPr>
        <sz val="11"/>
        <color theme="1" tint="4.9989318521683403E-2"/>
        <rFont val="Calibri"/>
        <family val="4"/>
        <charset val="161"/>
      </rPr>
      <t>ρ</t>
    </r>
    <r>
      <rPr>
        <vertAlign val="subscript"/>
        <sz val="11"/>
        <color theme="1" tint="4.9989318521683403E-2"/>
        <rFont val="標楷體"/>
        <family val="4"/>
        <charset val="136"/>
      </rPr>
      <t>t</t>
    </r>
    <r>
      <rPr>
        <sz val="11"/>
        <color theme="1" tint="4.9989318521683403E-2"/>
        <rFont val="標楷體"/>
        <family val="4"/>
        <charset val="136"/>
      </rPr>
      <t>(%)</t>
    </r>
    <phoneticPr fontId="2" type="noConversion"/>
  </si>
  <si>
    <r>
      <t>主筋面積比</t>
    </r>
    <r>
      <rPr>
        <sz val="11"/>
        <color theme="1"/>
        <rFont val="Calibri"/>
        <family val="4"/>
        <charset val="161"/>
      </rPr>
      <t>ρ</t>
    </r>
    <r>
      <rPr>
        <sz val="11"/>
        <color theme="1"/>
        <rFont val="標楷體"/>
        <family val="4"/>
        <charset val="136"/>
      </rPr>
      <t>L(%)</t>
    </r>
    <phoneticPr fontId="2" type="noConversion"/>
  </si>
  <si>
    <t>S1</t>
    <phoneticPr fontId="2" type="noConversion"/>
  </si>
  <si>
    <t>張順益</t>
    <phoneticPr fontId="2" type="noConversion"/>
  </si>
  <si>
    <t>另一端90</t>
    <phoneticPr fontId="2" type="noConversion"/>
  </si>
  <si>
    <t>交錯配置</t>
    <phoneticPr fontId="2" type="noConversion"/>
  </si>
  <si>
    <t>有</t>
    <phoneticPr fontId="2" type="noConversion"/>
  </si>
  <si>
    <t>沒</t>
    <phoneticPr fontId="2" type="noConversion"/>
  </si>
  <si>
    <t>雙邊180</t>
    <phoneticPr fontId="2" type="noConversion"/>
  </si>
  <si>
    <t>IMK塑鉸</t>
    <phoneticPr fontId="2" type="noConversion"/>
  </si>
  <si>
    <t>as</t>
  </si>
  <si>
    <t>c_S</t>
  </si>
  <si>
    <t>c_C</t>
  </si>
  <si>
    <t>c_A</t>
  </si>
  <si>
    <t>c_K</t>
  </si>
  <si>
    <t>Res</t>
  </si>
  <si>
    <r>
      <t>θ</t>
    </r>
    <r>
      <rPr>
        <sz val="9.35"/>
        <color theme="1"/>
        <rFont val="Times New Roman"/>
        <family val="1"/>
      </rPr>
      <t>p</t>
    </r>
    <phoneticPr fontId="2" type="noConversion"/>
  </si>
  <si>
    <t>θpc</t>
    <phoneticPr fontId="2" type="noConversion"/>
  </si>
  <si>
    <t>修正係數K值</t>
    <phoneticPr fontId="2" type="noConversion"/>
  </si>
  <si>
    <t>類別因素</t>
    <phoneticPr fontId="2" type="noConversion"/>
  </si>
  <si>
    <t>None</t>
    <phoneticPr fontId="2" type="noConversion"/>
  </si>
  <si>
    <t>軸力比因素</t>
    <phoneticPr fontId="2" type="noConversion"/>
  </si>
  <si>
    <t>#1 (D3)</t>
    <phoneticPr fontId="2" type="noConversion"/>
  </si>
  <si>
    <t>T30-1</t>
    <phoneticPr fontId="2" type="noConversion"/>
  </si>
  <si>
    <t>T30-2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</si>
</sst>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新細明體"/>
      <family val="2"/>
      <scheme val="minor"/>
    </font>
    <font>
      <sz val="11"/>
      <color rgb="FF333333"/>
      <name val="Source Sans Pro"/>
      <family val="2"/>
    </font>
    <font>
      <sz val="9"/>
      <name val="新細明體"/>
      <family val="3"/>
      <charset val="136"/>
      <scheme val="minor"/>
    </font>
    <font>
      <vertAlign val="superscript"/>
      <sz val="11"/>
      <color rgb="FF333333"/>
      <name val="Source Sans Pro"/>
      <family val="2"/>
    </font>
    <font>
      <sz val="11"/>
      <color theme="1"/>
      <name val="標楷體"/>
      <family val="4"/>
      <charset val="136"/>
    </font>
    <font>
      <vertAlign val="subscript"/>
      <sz val="11"/>
      <color theme="1"/>
      <name val="標楷體"/>
      <family val="4"/>
      <charset val="136"/>
    </font>
    <font>
      <vertAlign val="superscript"/>
      <sz val="11"/>
      <color theme="1"/>
      <name val="標楷體"/>
      <family val="4"/>
      <charset val="136"/>
    </font>
    <font>
      <sz val="11"/>
      <color rgb="FF333333"/>
      <name val="標楷體"/>
      <family val="4"/>
      <charset val="136"/>
    </font>
    <font>
      <sz val="11"/>
      <color theme="1" tint="4.9989318521683403E-2"/>
      <name val="標楷體"/>
      <family val="4"/>
      <charset val="136"/>
    </font>
    <font>
      <vertAlign val="subscript"/>
      <sz val="11"/>
      <color theme="1" tint="4.9989318521683403E-2"/>
      <name val="標楷體"/>
      <family val="4"/>
      <charset val="136"/>
    </font>
    <font>
      <sz val="11"/>
      <color theme="1"/>
      <name val="Calibri"/>
      <family val="4"/>
      <charset val="161"/>
    </font>
    <font>
      <sz val="11"/>
      <color theme="1" tint="4.9989318521683403E-2"/>
      <name val="Calibri"/>
      <family val="4"/>
      <charset val="161"/>
    </font>
    <font>
      <sz val="11"/>
      <color theme="1"/>
      <name val="Times New Roman"/>
      <family val="1"/>
    </font>
    <font>
      <sz val="9.35"/>
      <color theme="1"/>
      <name val="Times New Roman"/>
      <family val="1"/>
    </font>
    <font>
      <sz val="11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2" fillId="11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14" borderId="0" xfId="0" applyFill="1"/>
    <xf numFmtId="0" fontId="0" fillId="15" borderId="0" xfId="0" applyFill="1"/>
    <xf numFmtId="0" fontId="0" fillId="15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7"/>
  <sheetViews>
    <sheetView tabSelected="1" zoomScale="85" zoomScaleNormal="85" workbookViewId="0">
      <selection activeCell="I11" sqref="I11"/>
    </sheetView>
  </sheetViews>
  <sheetFormatPr defaultRowHeight="15" x14ac:dyDescent="0.3"/>
  <cols>
    <col min="1" max="1" width="15" bestFit="1" customWidth="1"/>
    <col min="6" max="6" width="29.125" bestFit="1" customWidth="1"/>
    <col min="7" max="7" width="9.125" bestFit="1" customWidth="1"/>
    <col min="9" max="9" width="9.125" bestFit="1" customWidth="1"/>
    <col min="10" max="10" width="12" bestFit="1" customWidth="1"/>
    <col min="11" max="12" width="9.125" bestFit="1" customWidth="1"/>
    <col min="13" max="13" width="32" bestFit="1" customWidth="1"/>
    <col min="14" max="17" width="9.125" bestFit="1" customWidth="1"/>
    <col min="18" max="18" width="11.125" bestFit="1" customWidth="1"/>
    <col min="20" max="22" width="9.125" bestFit="1" customWidth="1"/>
    <col min="23" max="23" width="15" bestFit="1" customWidth="1"/>
    <col min="24" max="24" width="16.25" bestFit="1" customWidth="1"/>
    <col min="25" max="25" width="9.125" bestFit="1" customWidth="1"/>
    <col min="26" max="27" width="16.25" bestFit="1" customWidth="1"/>
    <col min="28" max="28" width="9.125" bestFit="1" customWidth="1"/>
    <col min="29" max="29" width="19" bestFit="1" customWidth="1"/>
    <col min="30" max="30" width="9.125" customWidth="1"/>
    <col min="31" max="31" width="9.125" bestFit="1" customWidth="1"/>
    <col min="32" max="32" width="17" bestFit="1" customWidth="1"/>
    <col min="34" max="34" width="9.125" bestFit="1" customWidth="1"/>
    <col min="35" max="35" width="19.875" bestFit="1" customWidth="1"/>
    <col min="36" max="36" width="11.125" bestFit="1" customWidth="1"/>
    <col min="37" max="37" width="10.75" bestFit="1" customWidth="1"/>
    <col min="38" max="38" width="10.375" bestFit="1" customWidth="1"/>
    <col min="39" max="40" width="10.75" bestFit="1" customWidth="1"/>
    <col min="41" max="41" width="10.875" bestFit="1" customWidth="1"/>
    <col min="45" max="45" width="11.125" bestFit="1" customWidth="1"/>
    <col min="46" max="46" width="13.625" bestFit="1" customWidth="1"/>
  </cols>
  <sheetData>
    <row r="1" spans="1:47" x14ac:dyDescent="0.3">
      <c r="A1" s="34" t="s">
        <v>18</v>
      </c>
      <c r="B1" s="34"/>
      <c r="C1" s="34"/>
      <c r="D1" s="34"/>
      <c r="E1" s="34"/>
      <c r="F1" s="34"/>
      <c r="G1" s="34"/>
      <c r="H1" s="34"/>
      <c r="I1" s="34"/>
      <c r="J1" s="34"/>
      <c r="K1" s="23" t="s">
        <v>19</v>
      </c>
      <c r="L1" s="23"/>
      <c r="M1" s="23"/>
      <c r="N1" s="23"/>
      <c r="O1" s="23"/>
      <c r="P1" s="23"/>
      <c r="Q1" s="23"/>
      <c r="R1" s="34" t="s">
        <v>20</v>
      </c>
      <c r="S1" s="34"/>
      <c r="T1" s="34"/>
      <c r="U1" s="34"/>
      <c r="V1" s="34"/>
      <c r="W1" s="34"/>
      <c r="X1" s="34"/>
      <c r="Y1" s="34" t="s">
        <v>21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3" t="s">
        <v>119</v>
      </c>
      <c r="AL1" s="33"/>
      <c r="AM1" s="33"/>
      <c r="AN1" s="33"/>
      <c r="AO1" s="33"/>
      <c r="AP1" s="33"/>
      <c r="AQ1" s="33"/>
      <c r="AR1" s="33"/>
      <c r="AS1" s="35" t="s">
        <v>128</v>
      </c>
      <c r="AT1" s="35"/>
      <c r="AU1" s="21"/>
    </row>
    <row r="2" spans="1:47" ht="18" x14ac:dyDescent="0.35">
      <c r="A2" s="23" t="s">
        <v>22</v>
      </c>
      <c r="B2" s="23" t="s">
        <v>23</v>
      </c>
      <c r="C2" s="23" t="s">
        <v>24</v>
      </c>
      <c r="D2" s="23" t="s">
        <v>25</v>
      </c>
      <c r="E2" s="23" t="s">
        <v>26</v>
      </c>
      <c r="F2" s="5" t="s">
        <v>27</v>
      </c>
      <c r="G2" s="5" t="s">
        <v>28</v>
      </c>
      <c r="H2" s="23" t="s">
        <v>29</v>
      </c>
      <c r="I2" s="23" t="s">
        <v>30</v>
      </c>
      <c r="J2" s="5" t="s">
        <v>31</v>
      </c>
      <c r="K2" s="5" t="s">
        <v>32</v>
      </c>
      <c r="L2" s="5" t="s">
        <v>33</v>
      </c>
      <c r="M2" s="5" t="s">
        <v>34</v>
      </c>
      <c r="N2" s="5" t="s">
        <v>35</v>
      </c>
      <c r="O2" s="5" t="s">
        <v>36</v>
      </c>
      <c r="P2" s="6" t="s">
        <v>37</v>
      </c>
      <c r="Q2" s="5" t="s">
        <v>38</v>
      </c>
      <c r="R2" s="23" t="s">
        <v>39</v>
      </c>
      <c r="S2" s="23"/>
      <c r="T2" s="23" t="s">
        <v>40</v>
      </c>
      <c r="U2" s="5" t="s">
        <v>41</v>
      </c>
      <c r="V2" s="23" t="s">
        <v>43</v>
      </c>
      <c r="W2" s="23" t="s">
        <v>111</v>
      </c>
      <c r="X2" s="5" t="s">
        <v>44</v>
      </c>
      <c r="Y2" s="23" t="s">
        <v>39</v>
      </c>
      <c r="Z2" s="5" t="s">
        <v>45</v>
      </c>
      <c r="AA2" s="5" t="s">
        <v>46</v>
      </c>
      <c r="AB2" s="7" t="s">
        <v>102</v>
      </c>
      <c r="AC2" s="7" t="s">
        <v>101</v>
      </c>
      <c r="AD2" s="5" t="s">
        <v>47</v>
      </c>
      <c r="AE2" s="23" t="s">
        <v>42</v>
      </c>
      <c r="AF2" s="23" t="s">
        <v>48</v>
      </c>
      <c r="AG2" s="5" t="s">
        <v>49</v>
      </c>
      <c r="AH2" s="5" t="s">
        <v>50</v>
      </c>
      <c r="AI2" s="19" t="s">
        <v>110</v>
      </c>
      <c r="AJ2" s="8" t="s">
        <v>115</v>
      </c>
      <c r="AK2" s="24" t="s">
        <v>120</v>
      </c>
      <c r="AL2" s="24" t="s">
        <v>121</v>
      </c>
      <c r="AM2" s="24" t="s">
        <v>122</v>
      </c>
      <c r="AN2" s="24" t="s">
        <v>123</v>
      </c>
      <c r="AO2" s="24" t="s">
        <v>124</v>
      </c>
      <c r="AP2" s="24" t="s">
        <v>126</v>
      </c>
      <c r="AQ2" s="24" t="s">
        <v>127</v>
      </c>
      <c r="AR2" s="24" t="s">
        <v>125</v>
      </c>
      <c r="AS2" s="22" t="s">
        <v>129</v>
      </c>
      <c r="AT2" s="22" t="s">
        <v>131</v>
      </c>
      <c r="AU2" s="18"/>
    </row>
    <row r="3" spans="1:47" x14ac:dyDescent="0.3">
      <c r="A3" s="12" t="s">
        <v>51</v>
      </c>
      <c r="B3" s="23" t="s">
        <v>52</v>
      </c>
      <c r="C3" s="8" t="s">
        <v>69</v>
      </c>
      <c r="D3" s="23">
        <v>1</v>
      </c>
      <c r="E3" s="23" t="s">
        <v>53</v>
      </c>
      <c r="F3" s="23">
        <v>318</v>
      </c>
      <c r="G3" s="23">
        <v>5.55</v>
      </c>
      <c r="H3" s="23" t="s">
        <v>54</v>
      </c>
      <c r="I3" s="23">
        <f>J3/F3/O3</f>
        <v>8.5507415171985401E-2</v>
      </c>
      <c r="J3" s="23">
        <v>35240</v>
      </c>
      <c r="K3" s="23">
        <v>36</v>
      </c>
      <c r="L3" s="23">
        <f>0.8*K3</f>
        <v>28.8</v>
      </c>
      <c r="M3" s="23">
        <f>K3-2*G3-VLOOKUP(Y3,鋼筋號數!$A$3:$C$13,2,FALSE)</f>
        <v>24.264999999999997</v>
      </c>
      <c r="N3" s="23">
        <v>36</v>
      </c>
      <c r="O3" s="23">
        <f>K3*N3</f>
        <v>1296</v>
      </c>
      <c r="P3" s="23">
        <v>330</v>
      </c>
      <c r="Q3" s="23">
        <v>330</v>
      </c>
      <c r="R3" s="4" t="s">
        <v>12</v>
      </c>
      <c r="S3" s="4"/>
      <c r="T3" s="23">
        <v>8</v>
      </c>
      <c r="U3" s="23">
        <v>5191</v>
      </c>
      <c r="V3" s="23">
        <v>6411</v>
      </c>
      <c r="W3" s="20">
        <f>ROUND(X3/N3/K3*100,1)</f>
        <v>1.8</v>
      </c>
      <c r="X3" s="23">
        <f>VLOOKUP(R3,鋼筋號數!$A$3:$C$13,3,FALSE)*T3</f>
        <v>22.96</v>
      </c>
      <c r="Y3" s="4" t="s">
        <v>8</v>
      </c>
      <c r="Z3" s="23">
        <v>4</v>
      </c>
      <c r="AA3" s="23">
        <v>4</v>
      </c>
      <c r="AB3" s="23">
        <v>20</v>
      </c>
      <c r="AC3" s="27">
        <v>20</v>
      </c>
      <c r="AD3" s="23">
        <v>6700</v>
      </c>
      <c r="AE3" s="23"/>
      <c r="AF3" s="23" t="s">
        <v>55</v>
      </c>
      <c r="AG3" s="23">
        <v>135</v>
      </c>
      <c r="AH3" s="23">
        <f>VLOOKUP(Y3,鋼筋號數!$A$3:$C$13,3,FALSE)*Z3</f>
        <v>1.2667999999999999</v>
      </c>
      <c r="AI3" s="20">
        <f>ROUND(VLOOKUP(Y3,鋼筋號數!$A$3:$C$13,3,FALSE)*Z3/AB3/(N3-2*G3-VLOOKUP(Y3,鋼筋號數!$A$3:$C$13,2,FALSE))*100,2)</f>
        <v>0.26</v>
      </c>
      <c r="AJ3" s="11"/>
      <c r="AK3" s="11">
        <v>1.5E-3</v>
      </c>
      <c r="AL3" s="11">
        <v>0.6</v>
      </c>
      <c r="AM3" s="11">
        <v>1</v>
      </c>
      <c r="AN3" s="11">
        <v>1</v>
      </c>
      <c r="AO3" s="11">
        <v>0.65</v>
      </c>
      <c r="AP3" s="11">
        <v>5.0999999999999997E-2</v>
      </c>
      <c r="AQ3" s="11">
        <v>0.01</v>
      </c>
      <c r="AR3" s="11">
        <v>0</v>
      </c>
      <c r="AS3" s="11" t="b">
        <f>IF(OR(F3&gt;=700,AD3&gt;=5000,AH3&gt;=3),TRUE,"None")</f>
        <v>1</v>
      </c>
      <c r="AT3" s="11" t="s">
        <v>130</v>
      </c>
      <c r="AU3" s="18"/>
    </row>
    <row r="4" spans="1:47" x14ac:dyDescent="0.3">
      <c r="A4" s="12" t="s">
        <v>56</v>
      </c>
      <c r="B4" s="23" t="s">
        <v>52</v>
      </c>
      <c r="C4" s="8" t="s">
        <v>69</v>
      </c>
      <c r="D4" s="28">
        <v>1</v>
      </c>
      <c r="E4" s="23" t="s">
        <v>53</v>
      </c>
      <c r="F4" s="23">
        <v>318</v>
      </c>
      <c r="G4" s="23">
        <v>5.55</v>
      </c>
      <c r="H4" s="23" t="s">
        <v>54</v>
      </c>
      <c r="I4" s="23">
        <f t="shared" ref="I4:I5" si="0">J4/F4/O4</f>
        <v>8.9477055672024228E-2</v>
      </c>
      <c r="J4" s="23">
        <v>30730</v>
      </c>
      <c r="K4" s="23">
        <v>36</v>
      </c>
      <c r="L4" s="23">
        <f t="shared" ref="L4:L5" si="1">0.8*K4</f>
        <v>28.8</v>
      </c>
      <c r="M4" s="23">
        <f>K4-2*G4-VLOOKUP(Y4,鋼筋號數!$A$3:$C$13,2,FALSE)</f>
        <v>24.264999999999997</v>
      </c>
      <c r="N4" s="23">
        <v>30</v>
      </c>
      <c r="O4" s="23">
        <f t="shared" ref="O4:O5" si="2">K4*N4</f>
        <v>1080</v>
      </c>
      <c r="P4" s="23">
        <v>330</v>
      </c>
      <c r="Q4" s="23">
        <v>330</v>
      </c>
      <c r="R4" s="4" t="s">
        <v>57</v>
      </c>
      <c r="S4" s="4"/>
      <c r="T4" s="23">
        <v>8</v>
      </c>
      <c r="U4" s="23">
        <v>5191</v>
      </c>
      <c r="V4" s="23">
        <v>6411</v>
      </c>
      <c r="W4" s="20">
        <f t="shared" ref="W4:W47" si="3">ROUND(X4/N4/K4*100,1)</f>
        <v>2.1</v>
      </c>
      <c r="X4" s="23">
        <f>VLOOKUP(R4,鋼筋號數!$A$3:$C$13,3,FALSE)*T4</f>
        <v>22.96</v>
      </c>
      <c r="Y4" s="4" t="s">
        <v>8</v>
      </c>
      <c r="Z4" s="23">
        <v>4</v>
      </c>
      <c r="AA4" s="23">
        <v>4</v>
      </c>
      <c r="AB4" s="23">
        <v>20</v>
      </c>
      <c r="AC4" s="27">
        <v>20</v>
      </c>
      <c r="AD4" s="23">
        <v>6700</v>
      </c>
      <c r="AE4" s="23"/>
      <c r="AF4" s="23" t="s">
        <v>55</v>
      </c>
      <c r="AG4" s="23">
        <v>135</v>
      </c>
      <c r="AH4" s="23">
        <f>VLOOKUP(Y4,鋼筋號數!$A$3:$C$13,3,FALSE)*Z4</f>
        <v>1.2667999999999999</v>
      </c>
      <c r="AI4" s="20">
        <f>ROUND(VLOOKUP(Y4,鋼筋號數!$A$3:$C$13,3,FALSE)*Z4/AB4/(N4-2*G4-VLOOKUP(Y4,鋼筋號數!$A$3:$C$13,2,FALSE))*100,2)</f>
        <v>0.35</v>
      </c>
      <c r="AJ4" s="11"/>
      <c r="AK4" s="11">
        <v>1E-3</v>
      </c>
      <c r="AL4" s="11">
        <v>0.65</v>
      </c>
      <c r="AM4" s="11">
        <v>1.5</v>
      </c>
      <c r="AN4" s="11">
        <v>0.7</v>
      </c>
      <c r="AO4" s="11">
        <v>0.35</v>
      </c>
      <c r="AP4" s="11">
        <v>5.5E-2</v>
      </c>
      <c r="AQ4" s="11">
        <v>0.04</v>
      </c>
      <c r="AR4" s="11">
        <v>0</v>
      </c>
      <c r="AS4" s="11" t="b">
        <f t="shared" ref="AS4:AS5" si="4">IF(OR(F4&gt;=700,AD4&gt;=5000,AH4&gt;=3),TRUE,"None")</f>
        <v>1</v>
      </c>
      <c r="AT4" s="11" t="s">
        <v>130</v>
      </c>
      <c r="AU4" s="18"/>
    </row>
    <row r="5" spans="1:47" x14ac:dyDescent="0.3">
      <c r="A5" s="12" t="s">
        <v>58</v>
      </c>
      <c r="B5" s="23" t="s">
        <v>52</v>
      </c>
      <c r="C5" s="8" t="s">
        <v>69</v>
      </c>
      <c r="D5" s="28">
        <v>1</v>
      </c>
      <c r="E5" s="23" t="s">
        <v>53</v>
      </c>
      <c r="F5" s="23">
        <v>318</v>
      </c>
      <c r="G5" s="23">
        <v>5.55</v>
      </c>
      <c r="H5" s="23" t="s">
        <v>54</v>
      </c>
      <c r="I5" s="23">
        <f t="shared" si="0"/>
        <v>6.275331935709294E-2</v>
      </c>
      <c r="J5" s="23">
        <v>17960</v>
      </c>
      <c r="K5" s="23">
        <v>30</v>
      </c>
      <c r="L5" s="23">
        <f t="shared" si="1"/>
        <v>24</v>
      </c>
      <c r="M5" s="23">
        <f>K5-2*G5-VLOOKUP(Y5,鋼筋號數!$A$3:$C$13,2,FALSE)</f>
        <v>18.264999999999997</v>
      </c>
      <c r="N5" s="23">
        <v>30</v>
      </c>
      <c r="O5" s="23">
        <f t="shared" si="2"/>
        <v>900</v>
      </c>
      <c r="P5" s="23">
        <v>330</v>
      </c>
      <c r="Q5" s="23">
        <v>330</v>
      </c>
      <c r="R5" s="4" t="s">
        <v>57</v>
      </c>
      <c r="S5" s="4" t="s">
        <v>11</v>
      </c>
      <c r="T5" s="4">
        <v>8</v>
      </c>
      <c r="U5" s="23">
        <v>5191</v>
      </c>
      <c r="V5" s="23">
        <v>6411</v>
      </c>
      <c r="W5" s="20">
        <f t="shared" si="3"/>
        <v>2.2000000000000002</v>
      </c>
      <c r="X5" s="23">
        <f>(VLOOKUP(R5,鋼筋號數!$A$3:$C$12,3,FALSE)*4+VLOOKUP(S5,鋼筋號數!$A$3:$C$12,3,FALSE)*4)</f>
        <v>19.440000000000001</v>
      </c>
      <c r="Y5" s="4" t="s">
        <v>8</v>
      </c>
      <c r="Z5" s="23">
        <v>4</v>
      </c>
      <c r="AA5" s="23">
        <v>4</v>
      </c>
      <c r="AB5" s="23">
        <v>20</v>
      </c>
      <c r="AC5" s="27">
        <v>20</v>
      </c>
      <c r="AD5" s="23">
        <v>6700</v>
      </c>
      <c r="AE5" s="23"/>
      <c r="AF5" s="23" t="s">
        <v>55</v>
      </c>
      <c r="AG5" s="23">
        <v>135</v>
      </c>
      <c r="AH5" s="23">
        <f>VLOOKUP(Y5,鋼筋號數!$A$3:$C$13,3,FALSE)*Z5</f>
        <v>1.2667999999999999</v>
      </c>
      <c r="AI5" s="20">
        <f>ROUND(VLOOKUP(Y5,鋼筋號數!$A$3:$C$13,3,FALSE)*Z5/AB5/(N5-2*G5-VLOOKUP(Y5,鋼筋號數!$A$3:$C$13,2,FALSE))*100,2)</f>
        <v>0.35</v>
      </c>
      <c r="AJ5" s="11"/>
      <c r="AK5" s="11">
        <v>2E-3</v>
      </c>
      <c r="AL5" s="11">
        <v>0.9</v>
      </c>
      <c r="AM5" s="11">
        <v>1.5</v>
      </c>
      <c r="AN5" s="11">
        <v>0.7</v>
      </c>
      <c r="AO5" s="11">
        <v>0.6</v>
      </c>
      <c r="AP5" s="11">
        <v>0.06</v>
      </c>
      <c r="AQ5" s="11">
        <v>3.5000000000000003E-2</v>
      </c>
      <c r="AR5" s="11">
        <v>0</v>
      </c>
      <c r="AS5" s="11" t="b">
        <f t="shared" si="4"/>
        <v>1</v>
      </c>
      <c r="AT5" s="11" t="s">
        <v>130</v>
      </c>
      <c r="AU5" s="18"/>
    </row>
    <row r="6" spans="1:47" x14ac:dyDescent="0.3">
      <c r="A6" s="16" t="s">
        <v>59</v>
      </c>
      <c r="B6" s="23" t="s">
        <v>60</v>
      </c>
      <c r="C6" s="8" t="s">
        <v>69</v>
      </c>
      <c r="D6" s="9">
        <v>0</v>
      </c>
      <c r="E6" s="23" t="s">
        <v>53</v>
      </c>
      <c r="F6" s="23">
        <v>255</v>
      </c>
      <c r="G6" s="23">
        <v>4</v>
      </c>
      <c r="H6" s="23" t="s">
        <v>54</v>
      </c>
      <c r="I6" s="23">
        <v>0.1</v>
      </c>
      <c r="J6" s="23">
        <f>I6*F6*O6</f>
        <v>63750</v>
      </c>
      <c r="K6" s="23">
        <v>50</v>
      </c>
      <c r="L6" s="23">
        <f>0.8*K6</f>
        <v>40</v>
      </c>
      <c r="M6" s="23">
        <f>K6-2*G6-VLOOKUP(Y6,鋼筋號數!$A$3:$C$13,2,FALSE)</f>
        <v>41.046999999999997</v>
      </c>
      <c r="N6" s="23">
        <v>50</v>
      </c>
      <c r="O6" s="23">
        <f>K6*N6</f>
        <v>2500</v>
      </c>
      <c r="P6" s="23">
        <v>200</v>
      </c>
      <c r="Q6" s="23">
        <v>200</v>
      </c>
      <c r="R6" s="4" t="s">
        <v>14</v>
      </c>
      <c r="S6" s="4"/>
      <c r="T6" s="23">
        <v>16</v>
      </c>
      <c r="U6" s="23">
        <v>4812</v>
      </c>
      <c r="V6" s="23">
        <v>7004</v>
      </c>
      <c r="W6" s="20">
        <f t="shared" si="3"/>
        <v>3.2</v>
      </c>
      <c r="X6" s="23">
        <f>VLOOKUP(R6,鋼筋號數!$A$3:$C$13,3,FALSE)*T6</f>
        <v>81.12</v>
      </c>
      <c r="Y6" s="4" t="s">
        <v>9</v>
      </c>
      <c r="Z6" s="23">
        <v>2</v>
      </c>
      <c r="AA6" s="23">
        <v>2</v>
      </c>
      <c r="AB6" s="23">
        <v>10</v>
      </c>
      <c r="AC6" s="27">
        <v>10</v>
      </c>
      <c r="AD6" s="23">
        <v>4570</v>
      </c>
      <c r="AE6" s="23"/>
      <c r="AF6" s="23" t="s">
        <v>55</v>
      </c>
      <c r="AG6" s="23">
        <v>135</v>
      </c>
      <c r="AH6" s="23">
        <f>VLOOKUP(Y6,鋼筋號數!$A$3:$C$13,3,FALSE)*Z6</f>
        <v>1.42</v>
      </c>
      <c r="AI6" s="20">
        <f>ROUND(VLOOKUP(Y6,鋼筋號數!$A$3:$C$13,3,FALSE)*Z6/AB6/(N6-2*G6-VLOOKUP(Y6,鋼筋號數!$A$3:$C$13,2,FALSE))*100,2)</f>
        <v>0.35</v>
      </c>
      <c r="AJ6" s="11"/>
      <c r="AK6" s="11">
        <v>0.05</v>
      </c>
      <c r="AL6" s="11">
        <v>0.7</v>
      </c>
      <c r="AM6" s="11">
        <v>0.8</v>
      </c>
      <c r="AN6" s="11">
        <v>0.3</v>
      </c>
      <c r="AO6" s="11">
        <v>0.5</v>
      </c>
      <c r="AP6" s="11">
        <v>4.0000000000000001E-3</v>
      </c>
      <c r="AQ6" s="11">
        <v>5.5E-2</v>
      </c>
      <c r="AR6" s="11">
        <v>0</v>
      </c>
      <c r="AS6" s="11" t="str">
        <f>IF(OR(F6&gt;=700,AD6&gt;=5000,AH6&gt;=3),TRUE,"None")</f>
        <v>None</v>
      </c>
      <c r="AT6" s="11" t="s">
        <v>130</v>
      </c>
      <c r="AU6" s="18"/>
    </row>
    <row r="7" spans="1:47" x14ac:dyDescent="0.3">
      <c r="A7" s="16" t="s">
        <v>61</v>
      </c>
      <c r="B7" s="23" t="s">
        <v>60</v>
      </c>
      <c r="C7" s="8" t="s">
        <v>69</v>
      </c>
      <c r="D7" s="9">
        <v>0</v>
      </c>
      <c r="E7" s="23" t="s">
        <v>53</v>
      </c>
      <c r="F7" s="23">
        <v>255</v>
      </c>
      <c r="G7" s="23">
        <v>4</v>
      </c>
      <c r="H7" s="23" t="s">
        <v>54</v>
      </c>
      <c r="I7" s="23">
        <v>0.3</v>
      </c>
      <c r="J7" s="23">
        <f t="shared" ref="J7:J13" si="5">I7*F7*O7</f>
        <v>191250</v>
      </c>
      <c r="K7" s="23">
        <v>50</v>
      </c>
      <c r="L7" s="23">
        <f t="shared" ref="L7" si="6">0.8*K7</f>
        <v>40</v>
      </c>
      <c r="M7" s="23">
        <f>K7-2*G7-VLOOKUP(Y7,鋼筋號數!$A$3:$C$13,2,FALSE)</f>
        <v>41.046999999999997</v>
      </c>
      <c r="N7" s="23">
        <v>50</v>
      </c>
      <c r="O7" s="23">
        <f t="shared" ref="O7" si="7">K7*N7</f>
        <v>2500</v>
      </c>
      <c r="P7" s="23">
        <v>200</v>
      </c>
      <c r="Q7" s="23">
        <v>200</v>
      </c>
      <c r="R7" s="4" t="s">
        <v>14</v>
      </c>
      <c r="S7" s="4"/>
      <c r="T7" s="23">
        <v>16</v>
      </c>
      <c r="U7" s="23">
        <v>4812</v>
      </c>
      <c r="V7" s="23">
        <v>7004</v>
      </c>
      <c r="W7" s="20">
        <f t="shared" si="3"/>
        <v>3.2</v>
      </c>
      <c r="X7" s="23">
        <f>VLOOKUP(R7,鋼筋號數!$A$3:$C$13,3,FALSE)*T7</f>
        <v>81.12</v>
      </c>
      <c r="Y7" s="4" t="s">
        <v>9</v>
      </c>
      <c r="Z7" s="23">
        <v>2</v>
      </c>
      <c r="AA7" s="23">
        <v>2</v>
      </c>
      <c r="AB7" s="23">
        <v>10</v>
      </c>
      <c r="AC7" s="27">
        <v>10</v>
      </c>
      <c r="AD7" s="23">
        <v>4570</v>
      </c>
      <c r="AE7" s="23"/>
      <c r="AF7" s="23" t="s">
        <v>55</v>
      </c>
      <c r="AG7" s="23">
        <v>135</v>
      </c>
      <c r="AH7" s="23">
        <f>VLOOKUP(Y7,鋼筋號數!$A$3:$C$13,3,FALSE)*Z7</f>
        <v>1.42</v>
      </c>
      <c r="AI7" s="20">
        <f>ROUND(VLOOKUP(Y7,鋼筋號數!$A$3:$C$13,3,FALSE)*Z7/AB7/(N7-2*G7-VLOOKUP(Y7,鋼筋號數!$A$3:$C$13,2,FALSE))*100,2)</f>
        <v>0.35</v>
      </c>
      <c r="AJ7" s="11"/>
      <c r="AK7" s="11">
        <v>0.15</v>
      </c>
      <c r="AL7" s="29">
        <v>1</v>
      </c>
      <c r="AM7" s="11">
        <v>0.8</v>
      </c>
      <c r="AN7" s="11">
        <v>0.22</v>
      </c>
      <c r="AO7" s="11">
        <v>0.5</v>
      </c>
      <c r="AP7" s="11">
        <v>5.0000000000000001E-3</v>
      </c>
      <c r="AQ7" s="11">
        <v>3.7999999999999999E-2</v>
      </c>
      <c r="AR7" s="11">
        <v>0</v>
      </c>
      <c r="AS7" s="11" t="str">
        <f t="shared" ref="AS7:AS18" si="8">IF(OR(F7&gt;=700,AD7&gt;=5000,AH7&gt;=3),TRUE,"None")</f>
        <v>None</v>
      </c>
      <c r="AT7" s="11" t="s">
        <v>130</v>
      </c>
      <c r="AU7" s="18"/>
    </row>
    <row r="8" spans="1:47" x14ac:dyDescent="0.3">
      <c r="A8" s="16" t="s">
        <v>62</v>
      </c>
      <c r="B8" s="23" t="s">
        <v>60</v>
      </c>
      <c r="C8" s="8" t="s">
        <v>69</v>
      </c>
      <c r="D8" s="9">
        <v>0</v>
      </c>
      <c r="E8" s="23" t="s">
        <v>54</v>
      </c>
      <c r="F8" s="23">
        <v>255</v>
      </c>
      <c r="G8" s="23">
        <v>4</v>
      </c>
      <c r="H8" s="23" t="s">
        <v>54</v>
      </c>
      <c r="I8" s="23">
        <v>0.1</v>
      </c>
      <c r="J8" s="23">
        <f t="shared" si="5"/>
        <v>63750</v>
      </c>
      <c r="K8" s="23">
        <v>50</v>
      </c>
      <c r="L8" s="23">
        <f>0.8*K8</f>
        <v>40</v>
      </c>
      <c r="M8" s="23">
        <f>K8-2*G8-VLOOKUP(Y8,鋼筋號數!$A$3:$C$13,2,FALSE)</f>
        <v>41.046999999999997</v>
      </c>
      <c r="N8" s="23">
        <v>50</v>
      </c>
      <c r="O8" s="23">
        <f>K8*N8</f>
        <v>2500</v>
      </c>
      <c r="P8" s="23">
        <v>200</v>
      </c>
      <c r="Q8" s="23">
        <v>200</v>
      </c>
      <c r="R8" s="4" t="s">
        <v>14</v>
      </c>
      <c r="S8" s="4"/>
      <c r="T8" s="23">
        <v>16</v>
      </c>
      <c r="U8" s="23">
        <v>4812</v>
      </c>
      <c r="V8" s="23">
        <v>7004</v>
      </c>
      <c r="W8" s="20">
        <f t="shared" si="3"/>
        <v>3.2</v>
      </c>
      <c r="X8" s="23">
        <f>VLOOKUP(R8,鋼筋號數!$A$3:$C$13,3,FALSE)*T8</f>
        <v>81.12</v>
      </c>
      <c r="Y8" s="4" t="s">
        <v>9</v>
      </c>
      <c r="Z8" s="23">
        <v>2</v>
      </c>
      <c r="AA8" s="23">
        <v>2</v>
      </c>
      <c r="AB8" s="23">
        <v>10</v>
      </c>
      <c r="AC8" s="27">
        <v>10</v>
      </c>
      <c r="AD8" s="23">
        <v>4570</v>
      </c>
      <c r="AE8" s="23"/>
      <c r="AF8" s="23" t="s">
        <v>55</v>
      </c>
      <c r="AG8" s="23">
        <v>90</v>
      </c>
      <c r="AH8" s="23">
        <f>VLOOKUP(Y8,鋼筋號數!$A$3:$C$13,3,FALSE)*Z8</f>
        <v>1.42</v>
      </c>
      <c r="AI8" s="20">
        <f>ROUND(VLOOKUP(Y8,鋼筋號數!$A$3:$C$13,3,FALSE)*Z8/AB8/(N8-2*G8-VLOOKUP(Y8,鋼筋號數!$A$3:$C$13,2,FALSE))*100,2)</f>
        <v>0.35</v>
      </c>
      <c r="AJ8" s="11"/>
      <c r="AK8" s="11">
        <v>0.08</v>
      </c>
      <c r="AL8" s="11">
        <v>0.8</v>
      </c>
      <c r="AM8" s="11">
        <v>1</v>
      </c>
      <c r="AN8" s="11">
        <v>0.27</v>
      </c>
      <c r="AO8" s="11">
        <v>0.5</v>
      </c>
      <c r="AP8" s="11">
        <v>2E-3</v>
      </c>
      <c r="AQ8" s="11">
        <v>3.7999999999999999E-2</v>
      </c>
      <c r="AR8" s="11">
        <v>0</v>
      </c>
      <c r="AS8" s="11" t="str">
        <f t="shared" si="8"/>
        <v>None</v>
      </c>
      <c r="AT8" s="11" t="s">
        <v>130</v>
      </c>
      <c r="AU8" s="18"/>
    </row>
    <row r="9" spans="1:47" x14ac:dyDescent="0.3">
      <c r="A9" s="16" t="s">
        <v>63</v>
      </c>
      <c r="B9" s="23" t="s">
        <v>60</v>
      </c>
      <c r="C9" s="8" t="s">
        <v>69</v>
      </c>
      <c r="D9" s="9">
        <v>0</v>
      </c>
      <c r="E9" s="23" t="s">
        <v>54</v>
      </c>
      <c r="F9" s="23">
        <v>255</v>
      </c>
      <c r="G9" s="23">
        <v>4</v>
      </c>
      <c r="H9" s="23" t="s">
        <v>54</v>
      </c>
      <c r="I9" s="23">
        <v>0.3</v>
      </c>
      <c r="J9" s="23">
        <f t="shared" si="5"/>
        <v>191250</v>
      </c>
      <c r="K9" s="23">
        <v>50</v>
      </c>
      <c r="L9" s="23">
        <f t="shared" ref="L9" si="9">0.8*K9</f>
        <v>40</v>
      </c>
      <c r="M9" s="23">
        <f>K9-2*G9-VLOOKUP(Y9,鋼筋號數!$A$3:$C$13,2,FALSE)</f>
        <v>41.046999999999997</v>
      </c>
      <c r="N9" s="23">
        <v>50</v>
      </c>
      <c r="O9" s="23">
        <f t="shared" ref="O9" si="10">K9*N9</f>
        <v>2500</v>
      </c>
      <c r="P9" s="23">
        <v>200</v>
      </c>
      <c r="Q9" s="23">
        <v>200</v>
      </c>
      <c r="R9" s="4" t="s">
        <v>14</v>
      </c>
      <c r="S9" s="4"/>
      <c r="T9" s="23">
        <v>16</v>
      </c>
      <c r="U9" s="23">
        <v>4812</v>
      </c>
      <c r="V9" s="23">
        <v>7004</v>
      </c>
      <c r="W9" s="20">
        <f t="shared" si="3"/>
        <v>3.2</v>
      </c>
      <c r="X9" s="23">
        <f>VLOOKUP(R9,鋼筋號數!$A$3:$C$13,3,FALSE)*T9</f>
        <v>81.12</v>
      </c>
      <c r="Y9" s="4" t="s">
        <v>9</v>
      </c>
      <c r="Z9" s="23">
        <v>2</v>
      </c>
      <c r="AA9" s="23">
        <v>2</v>
      </c>
      <c r="AB9" s="23">
        <v>10</v>
      </c>
      <c r="AC9" s="27">
        <v>10</v>
      </c>
      <c r="AD9" s="23">
        <v>4570</v>
      </c>
      <c r="AE9" s="23"/>
      <c r="AF9" s="23" t="s">
        <v>55</v>
      </c>
      <c r="AG9" s="23">
        <v>90</v>
      </c>
      <c r="AH9" s="23">
        <f>VLOOKUP(Y9,鋼筋號數!$A$3:$C$13,3,FALSE)*Z9</f>
        <v>1.42</v>
      </c>
      <c r="AI9" s="20">
        <f>ROUND(VLOOKUP(Y9,鋼筋號數!$A$3:$C$13,3,FALSE)*Z9/AB9/(N9-2*G9-VLOOKUP(Y9,鋼筋號數!$A$3:$C$13,2,FALSE))*100,2)</f>
        <v>0.35</v>
      </c>
      <c r="AJ9" s="11"/>
      <c r="AK9" s="11">
        <v>0.05</v>
      </c>
      <c r="AL9" s="11">
        <v>0.8</v>
      </c>
      <c r="AM9" s="11">
        <v>0.5</v>
      </c>
      <c r="AN9" s="11">
        <v>0.3</v>
      </c>
      <c r="AO9" s="11">
        <v>0.5</v>
      </c>
      <c r="AP9" s="11">
        <v>2E-3</v>
      </c>
      <c r="AQ9" s="11">
        <v>2.8000000000000001E-2</v>
      </c>
      <c r="AR9" s="11">
        <v>0</v>
      </c>
      <c r="AS9" s="11" t="str">
        <f t="shared" si="8"/>
        <v>None</v>
      </c>
      <c r="AT9" s="11" t="s">
        <v>130</v>
      </c>
      <c r="AU9" s="18"/>
    </row>
    <row r="10" spans="1:47" x14ac:dyDescent="0.3">
      <c r="A10" s="16" t="s">
        <v>64</v>
      </c>
      <c r="B10" s="23" t="s">
        <v>60</v>
      </c>
      <c r="C10" s="8" t="s">
        <v>69</v>
      </c>
      <c r="D10" s="9">
        <v>0</v>
      </c>
      <c r="E10" s="23" t="s">
        <v>53</v>
      </c>
      <c r="F10" s="23">
        <v>255</v>
      </c>
      <c r="G10" s="23">
        <v>4</v>
      </c>
      <c r="H10" s="23" t="s">
        <v>54</v>
      </c>
      <c r="I10" s="23">
        <v>0.1</v>
      </c>
      <c r="J10" s="23">
        <f t="shared" si="5"/>
        <v>63750</v>
      </c>
      <c r="K10" s="23">
        <v>50</v>
      </c>
      <c r="L10" s="23">
        <f>0.8*K10</f>
        <v>40</v>
      </c>
      <c r="M10" s="23">
        <f>K10-2*G10-VLOOKUP(Y10,鋼筋號數!$A$3:$C$13,2,FALSE)</f>
        <v>41.046999999999997</v>
      </c>
      <c r="N10" s="23">
        <v>50</v>
      </c>
      <c r="O10" s="23">
        <f>K10*N10</f>
        <v>2500</v>
      </c>
      <c r="P10" s="23">
        <v>150</v>
      </c>
      <c r="Q10" s="23">
        <v>150</v>
      </c>
      <c r="R10" s="4" t="s">
        <v>14</v>
      </c>
      <c r="S10" s="4"/>
      <c r="T10" s="23">
        <v>16</v>
      </c>
      <c r="U10" s="23">
        <v>4812</v>
      </c>
      <c r="V10" s="23">
        <v>7004</v>
      </c>
      <c r="W10" s="20">
        <f t="shared" si="3"/>
        <v>3.2</v>
      </c>
      <c r="X10" s="23">
        <f>VLOOKUP(R10,鋼筋號數!$A$3:$C$13,3,FALSE)*T10</f>
        <v>81.12</v>
      </c>
      <c r="Y10" s="4" t="s">
        <v>9</v>
      </c>
      <c r="Z10" s="23">
        <v>2</v>
      </c>
      <c r="AA10" s="23">
        <v>2</v>
      </c>
      <c r="AB10" s="23">
        <v>10</v>
      </c>
      <c r="AC10" s="27">
        <v>10</v>
      </c>
      <c r="AD10" s="23">
        <v>4570</v>
      </c>
      <c r="AE10" s="23"/>
      <c r="AF10" s="23" t="s">
        <v>55</v>
      </c>
      <c r="AG10" s="23">
        <v>135</v>
      </c>
      <c r="AH10" s="23">
        <f>VLOOKUP(Y10,鋼筋號數!$A$3:$C$13,3,FALSE)*Z10</f>
        <v>1.42</v>
      </c>
      <c r="AI10" s="20">
        <f>ROUND(VLOOKUP(Y10,鋼筋號數!$A$3:$C$13,3,FALSE)*Z10/AB10/(N10-2*G10-VLOOKUP(Y10,鋼筋號數!$A$3:$C$13,2,FALSE))*100,2)</f>
        <v>0.35</v>
      </c>
      <c r="AJ10" s="11"/>
      <c r="AK10" s="11">
        <v>0.16</v>
      </c>
      <c r="AL10" s="29">
        <v>1</v>
      </c>
      <c r="AM10" s="11">
        <v>1.2</v>
      </c>
      <c r="AN10" s="11">
        <v>0.3</v>
      </c>
      <c r="AO10" s="11">
        <v>0.6</v>
      </c>
      <c r="AP10" s="11">
        <v>2.7000000000000001E-3</v>
      </c>
      <c r="AQ10" s="11">
        <v>6.2E-2</v>
      </c>
      <c r="AR10" s="11">
        <v>0</v>
      </c>
      <c r="AS10" s="11" t="str">
        <f t="shared" si="8"/>
        <v>None</v>
      </c>
      <c r="AT10" s="11" t="s">
        <v>130</v>
      </c>
      <c r="AU10" s="18"/>
    </row>
    <row r="11" spans="1:47" x14ac:dyDescent="0.3">
      <c r="A11" s="16" t="s">
        <v>65</v>
      </c>
      <c r="B11" s="23" t="s">
        <v>60</v>
      </c>
      <c r="C11" s="8" t="s">
        <v>69</v>
      </c>
      <c r="D11" s="9">
        <v>0</v>
      </c>
      <c r="E11" s="23" t="s">
        <v>53</v>
      </c>
      <c r="F11" s="23">
        <v>255</v>
      </c>
      <c r="G11" s="23">
        <v>4</v>
      </c>
      <c r="H11" s="23" t="s">
        <v>54</v>
      </c>
      <c r="I11" s="23">
        <v>0.3</v>
      </c>
      <c r="J11" s="23">
        <f t="shared" si="5"/>
        <v>191250</v>
      </c>
      <c r="K11" s="23">
        <v>50</v>
      </c>
      <c r="L11" s="23">
        <f t="shared" ref="L11" si="11">0.8*K11</f>
        <v>40</v>
      </c>
      <c r="M11" s="23">
        <f>K11-2*G11-VLOOKUP(Y11,鋼筋號數!$A$3:$C$13,2,FALSE)</f>
        <v>41.046999999999997</v>
      </c>
      <c r="N11" s="23">
        <v>50</v>
      </c>
      <c r="O11" s="23">
        <f t="shared" ref="O11" si="12">K11*N11</f>
        <v>2500</v>
      </c>
      <c r="P11" s="23">
        <v>150</v>
      </c>
      <c r="Q11" s="23">
        <v>150</v>
      </c>
      <c r="R11" s="4" t="s">
        <v>14</v>
      </c>
      <c r="S11" s="4"/>
      <c r="T11" s="23">
        <v>16</v>
      </c>
      <c r="U11" s="23">
        <v>4812</v>
      </c>
      <c r="V11" s="23">
        <v>7004</v>
      </c>
      <c r="W11" s="20">
        <f t="shared" si="3"/>
        <v>3.2</v>
      </c>
      <c r="X11" s="23">
        <f>VLOOKUP(R11,鋼筋號數!$A$3:$C$13,3,FALSE)*T11</f>
        <v>81.12</v>
      </c>
      <c r="Y11" s="4" t="s">
        <v>9</v>
      </c>
      <c r="Z11" s="23">
        <v>2</v>
      </c>
      <c r="AA11" s="23">
        <v>2</v>
      </c>
      <c r="AB11" s="23">
        <v>10</v>
      </c>
      <c r="AC11" s="27">
        <v>10</v>
      </c>
      <c r="AD11" s="23">
        <v>4570</v>
      </c>
      <c r="AE11" s="23"/>
      <c r="AF11" s="23" t="s">
        <v>55</v>
      </c>
      <c r="AG11" s="23">
        <v>135</v>
      </c>
      <c r="AH11" s="23">
        <f>VLOOKUP(Y11,鋼筋號數!$A$3:$C$13,3,FALSE)*Z11</f>
        <v>1.42</v>
      </c>
      <c r="AI11" s="20">
        <f>ROUND(VLOOKUP(Y11,鋼筋號數!$A$3:$C$13,3,FALSE)*Z11/AB11/(N11-2*G11-VLOOKUP(Y11,鋼筋號數!$A$3:$C$13,2,FALSE))*100,2)</f>
        <v>0.35</v>
      </c>
      <c r="AJ11" s="11"/>
      <c r="AK11" s="11">
        <v>0.12</v>
      </c>
      <c r="AL11" s="29">
        <v>1</v>
      </c>
      <c r="AM11" s="11">
        <v>1</v>
      </c>
      <c r="AN11" s="11">
        <v>0.24</v>
      </c>
      <c r="AO11" s="11">
        <v>0.8</v>
      </c>
      <c r="AP11" s="11">
        <v>3.0000000000000001E-3</v>
      </c>
      <c r="AQ11" s="11">
        <v>3.6999999999999998E-2</v>
      </c>
      <c r="AR11" s="11">
        <v>0</v>
      </c>
      <c r="AS11" s="11" t="str">
        <f t="shared" si="8"/>
        <v>None</v>
      </c>
      <c r="AT11" s="11" t="s">
        <v>130</v>
      </c>
      <c r="AU11" s="18"/>
    </row>
    <row r="12" spans="1:47" x14ac:dyDescent="0.3">
      <c r="A12" s="16" t="s">
        <v>66</v>
      </c>
      <c r="B12" s="23" t="s">
        <v>60</v>
      </c>
      <c r="C12" s="8" t="s">
        <v>69</v>
      </c>
      <c r="D12" s="9">
        <v>0</v>
      </c>
      <c r="E12" s="23" t="s">
        <v>54</v>
      </c>
      <c r="F12" s="23">
        <v>255</v>
      </c>
      <c r="G12" s="23">
        <v>4</v>
      </c>
      <c r="H12" s="23" t="s">
        <v>54</v>
      </c>
      <c r="I12" s="23">
        <v>0.1</v>
      </c>
      <c r="J12" s="23">
        <f t="shared" si="5"/>
        <v>63750</v>
      </c>
      <c r="K12" s="23">
        <v>50</v>
      </c>
      <c r="L12" s="23">
        <f>0.8*K12</f>
        <v>40</v>
      </c>
      <c r="M12" s="23">
        <f>K12-2*G12-VLOOKUP(Y12,鋼筋號數!$A$3:$C$13,2,FALSE)</f>
        <v>41.046999999999997</v>
      </c>
      <c r="N12" s="23">
        <v>50</v>
      </c>
      <c r="O12" s="23">
        <f>K12*N12</f>
        <v>2500</v>
      </c>
      <c r="P12" s="23">
        <v>150</v>
      </c>
      <c r="Q12" s="23">
        <v>150</v>
      </c>
      <c r="R12" s="4" t="s">
        <v>14</v>
      </c>
      <c r="S12" s="4"/>
      <c r="T12" s="23">
        <v>16</v>
      </c>
      <c r="U12" s="23">
        <v>4812</v>
      </c>
      <c r="V12" s="23">
        <v>7004</v>
      </c>
      <c r="W12" s="20">
        <f t="shared" si="3"/>
        <v>3.2</v>
      </c>
      <c r="X12" s="23">
        <f>VLOOKUP(R12,鋼筋號數!$A$3:$C$13,3,FALSE)*T12</f>
        <v>81.12</v>
      </c>
      <c r="Y12" s="4" t="s">
        <v>9</v>
      </c>
      <c r="Z12" s="23">
        <v>2</v>
      </c>
      <c r="AA12" s="23">
        <v>2</v>
      </c>
      <c r="AB12" s="23">
        <v>10</v>
      </c>
      <c r="AC12" s="27">
        <v>10</v>
      </c>
      <c r="AD12" s="23">
        <v>4570</v>
      </c>
      <c r="AE12" s="23"/>
      <c r="AF12" s="23" t="s">
        <v>55</v>
      </c>
      <c r="AG12" s="23">
        <v>90</v>
      </c>
      <c r="AH12" s="23">
        <f>VLOOKUP(Y12,鋼筋號數!$A$3:$C$13,3,FALSE)*Z12</f>
        <v>1.42</v>
      </c>
      <c r="AI12" s="20">
        <f>ROUND(VLOOKUP(Y12,鋼筋號數!$A$3:$C$13,3,FALSE)*Z12/AB12/(N12-2*G12-VLOOKUP(Y12,鋼筋號數!$A$3:$C$13,2,FALSE))*100,2)</f>
        <v>0.35</v>
      </c>
      <c r="AJ12" s="11"/>
      <c r="AK12" s="11">
        <v>0.14000000000000001</v>
      </c>
      <c r="AL12" s="29">
        <v>1</v>
      </c>
      <c r="AM12" s="31">
        <v>0.75</v>
      </c>
      <c r="AN12" s="11">
        <v>0.3</v>
      </c>
      <c r="AO12" s="11">
        <v>0.9</v>
      </c>
      <c r="AP12" s="11">
        <v>5.0000000000000001E-4</v>
      </c>
      <c r="AQ12" s="11">
        <v>0.04</v>
      </c>
      <c r="AR12" s="11">
        <v>0</v>
      </c>
      <c r="AS12" s="11" t="str">
        <f t="shared" si="8"/>
        <v>None</v>
      </c>
      <c r="AT12" s="11" t="s">
        <v>130</v>
      </c>
      <c r="AU12" s="18"/>
    </row>
    <row r="13" spans="1:47" x14ac:dyDescent="0.3">
      <c r="A13" s="16" t="s">
        <v>67</v>
      </c>
      <c r="B13" s="23" t="s">
        <v>60</v>
      </c>
      <c r="C13" s="8" t="s">
        <v>69</v>
      </c>
      <c r="D13" s="9">
        <v>0</v>
      </c>
      <c r="E13" s="23" t="s">
        <v>54</v>
      </c>
      <c r="F13" s="23">
        <v>255</v>
      </c>
      <c r="G13" s="23">
        <v>4</v>
      </c>
      <c r="H13" s="23" t="s">
        <v>54</v>
      </c>
      <c r="I13" s="23">
        <v>0.3</v>
      </c>
      <c r="J13" s="23">
        <f t="shared" si="5"/>
        <v>191250</v>
      </c>
      <c r="K13" s="23">
        <v>50</v>
      </c>
      <c r="L13" s="23">
        <f t="shared" ref="L13" si="13">0.8*K13</f>
        <v>40</v>
      </c>
      <c r="M13" s="23">
        <f>K13-2*G13-VLOOKUP(Y13,鋼筋號數!$A$3:$C$13,2,FALSE)</f>
        <v>41.046999999999997</v>
      </c>
      <c r="N13" s="23">
        <v>50</v>
      </c>
      <c r="O13" s="23">
        <f t="shared" ref="O13" si="14">K13*N13</f>
        <v>2500</v>
      </c>
      <c r="P13" s="23">
        <v>150</v>
      </c>
      <c r="Q13" s="23">
        <v>150</v>
      </c>
      <c r="R13" s="4" t="s">
        <v>14</v>
      </c>
      <c r="S13" s="4"/>
      <c r="T13" s="23">
        <v>16</v>
      </c>
      <c r="U13" s="23">
        <v>4812</v>
      </c>
      <c r="V13" s="23">
        <v>7004</v>
      </c>
      <c r="W13" s="20">
        <f t="shared" si="3"/>
        <v>3.2</v>
      </c>
      <c r="X13" s="23">
        <f>VLOOKUP(R13,鋼筋號數!$A$3:$C$13,3,FALSE)*T13</f>
        <v>81.12</v>
      </c>
      <c r="Y13" s="4" t="s">
        <v>9</v>
      </c>
      <c r="Z13" s="23">
        <v>2</v>
      </c>
      <c r="AA13" s="23">
        <v>2</v>
      </c>
      <c r="AB13" s="23">
        <v>10</v>
      </c>
      <c r="AC13" s="27">
        <v>10</v>
      </c>
      <c r="AD13" s="23">
        <v>4570</v>
      </c>
      <c r="AE13" s="23"/>
      <c r="AF13" s="23" t="s">
        <v>55</v>
      </c>
      <c r="AG13" s="23">
        <v>90</v>
      </c>
      <c r="AH13" s="23">
        <f>VLOOKUP(Y13,鋼筋號數!$A$3:$C$13,3,FALSE)*Z13</f>
        <v>1.42</v>
      </c>
      <c r="AI13" s="20">
        <f>ROUND(VLOOKUP(Y13,鋼筋號數!$A$3:$C$13,3,FALSE)*Z13/AB13/(N13-2*G13-VLOOKUP(Y13,鋼筋號數!$A$3:$C$13,2,FALSE))*100,2)</f>
        <v>0.35</v>
      </c>
      <c r="AJ13" s="11"/>
      <c r="AK13" s="11">
        <v>0.1</v>
      </c>
      <c r="AL13" s="29">
        <v>1</v>
      </c>
      <c r="AM13" s="11">
        <v>0.7</v>
      </c>
      <c r="AN13" s="11">
        <v>0.3</v>
      </c>
      <c r="AO13" s="26">
        <v>0.9</v>
      </c>
      <c r="AP13" s="11">
        <v>8.0000000000000004E-4</v>
      </c>
      <c r="AQ13" s="11">
        <v>2.1999999999999999E-2</v>
      </c>
      <c r="AR13" s="11">
        <v>0</v>
      </c>
      <c r="AS13" s="11" t="str">
        <f t="shared" si="8"/>
        <v>None</v>
      </c>
      <c r="AT13" s="11" t="s">
        <v>130</v>
      </c>
      <c r="AU13" s="18"/>
    </row>
    <row r="14" spans="1:47" x14ac:dyDescent="0.3">
      <c r="A14" s="15" t="s">
        <v>51</v>
      </c>
      <c r="B14" s="23" t="s">
        <v>68</v>
      </c>
      <c r="C14" s="8" t="s">
        <v>69</v>
      </c>
      <c r="D14" s="23">
        <v>1</v>
      </c>
      <c r="E14" s="23" t="s">
        <v>53</v>
      </c>
      <c r="F14" s="23">
        <f>3100/9.81</f>
        <v>316.00407747196738</v>
      </c>
      <c r="G14" s="23">
        <v>4</v>
      </c>
      <c r="H14" s="23" t="s">
        <v>54</v>
      </c>
      <c r="I14" s="23">
        <v>0.2</v>
      </c>
      <c r="J14" s="23">
        <f t="shared" ref="J14:J17" si="15">I14*(O14)*F14</f>
        <v>39500.509683995922</v>
      </c>
      <c r="K14" s="23">
        <v>25</v>
      </c>
      <c r="L14" s="23">
        <f>0.8*K14</f>
        <v>20</v>
      </c>
      <c r="M14" s="23">
        <f>K14-2*G14-VLOOKUP(Y14,鋼筋號數!$A$3:$C$13,2,FALSE)</f>
        <v>16.047000000000001</v>
      </c>
      <c r="N14" s="23">
        <v>25</v>
      </c>
      <c r="O14" s="23">
        <f>K14*N14</f>
        <v>625</v>
      </c>
      <c r="P14" s="23">
        <v>135</v>
      </c>
      <c r="Q14" s="23">
        <v>135</v>
      </c>
      <c r="R14" s="4" t="s">
        <v>12</v>
      </c>
      <c r="S14" s="4"/>
      <c r="T14" s="23">
        <v>6</v>
      </c>
      <c r="U14" s="23">
        <f>46800/9.81</f>
        <v>4770.6422018348621</v>
      </c>
      <c r="V14" s="23"/>
      <c r="W14" s="20">
        <f t="shared" si="3"/>
        <v>2.8</v>
      </c>
      <c r="X14" s="23">
        <f>VLOOKUP(R14,鋼筋號數!$A$3:$C$13,3,FALSE)*T14</f>
        <v>17.22</v>
      </c>
      <c r="Y14" s="4" t="s">
        <v>9</v>
      </c>
      <c r="Z14" s="23">
        <v>2</v>
      </c>
      <c r="AA14" s="23">
        <v>2</v>
      </c>
      <c r="AB14" s="8">
        <v>10</v>
      </c>
      <c r="AC14" s="8">
        <v>12.5</v>
      </c>
      <c r="AD14" s="23">
        <f>39800/9.81</f>
        <v>4057.0846075433228</v>
      </c>
      <c r="AE14" s="23"/>
      <c r="AF14" s="23" t="s">
        <v>55</v>
      </c>
      <c r="AG14" s="23">
        <v>135</v>
      </c>
      <c r="AH14" s="23">
        <f>VLOOKUP(Y14,鋼筋號數!$A$3:$C$13,3,FALSE)*Z14</f>
        <v>1.42</v>
      </c>
      <c r="AI14" s="20">
        <f>ROUND(VLOOKUP(Y14,鋼筋號數!$A$3:$C$13,3,FALSE)*Z14/AB14/(N14-2*G14-VLOOKUP(Y14,鋼筋號數!$A$3:$C$13,2,FALSE))*100,2)</f>
        <v>0.88</v>
      </c>
      <c r="AJ14" s="11"/>
      <c r="AK14" s="11">
        <f>0.016*0.5</f>
        <v>8.0000000000000002E-3</v>
      </c>
      <c r="AL14" s="11">
        <v>0.95</v>
      </c>
      <c r="AM14" s="11">
        <v>1.5</v>
      </c>
      <c r="AN14" s="29">
        <v>0.95</v>
      </c>
      <c r="AO14" s="11">
        <v>0.7</v>
      </c>
      <c r="AP14" s="11">
        <v>7.0000000000000007E-2</v>
      </c>
      <c r="AQ14" s="11">
        <v>0.01</v>
      </c>
      <c r="AR14" s="11">
        <v>0</v>
      </c>
      <c r="AS14" s="11" t="str">
        <f t="shared" si="8"/>
        <v>None</v>
      </c>
      <c r="AT14" s="11" t="b">
        <v>1</v>
      </c>
      <c r="AU14" s="18"/>
    </row>
    <row r="15" spans="1:47" x14ac:dyDescent="0.3">
      <c r="A15" s="15" t="s">
        <v>56</v>
      </c>
      <c r="B15" s="23" t="s">
        <v>68</v>
      </c>
      <c r="C15" s="8" t="s">
        <v>69</v>
      </c>
      <c r="D15" s="28">
        <v>1</v>
      </c>
      <c r="E15" s="23" t="s">
        <v>54</v>
      </c>
      <c r="F15" s="23">
        <f>3100/9.81</f>
        <v>316.00407747196738</v>
      </c>
      <c r="G15" s="23">
        <v>4</v>
      </c>
      <c r="H15" s="23" t="s">
        <v>54</v>
      </c>
      <c r="I15" s="32">
        <v>0.2</v>
      </c>
      <c r="J15" s="23">
        <f t="shared" si="15"/>
        <v>39500.509683995922</v>
      </c>
      <c r="K15" s="23">
        <v>25</v>
      </c>
      <c r="L15" s="23">
        <f t="shared" ref="L15:L19" si="16">0.8*K15</f>
        <v>20</v>
      </c>
      <c r="M15" s="23">
        <f>K15-2*G15-VLOOKUP(Y15,鋼筋號數!$A$3:$C$13,2,FALSE)</f>
        <v>16.047000000000001</v>
      </c>
      <c r="N15" s="23">
        <v>25</v>
      </c>
      <c r="O15" s="23">
        <f t="shared" ref="O15:O19" si="17">K15*N15</f>
        <v>625</v>
      </c>
      <c r="P15" s="23">
        <v>135</v>
      </c>
      <c r="Q15" s="23">
        <v>135</v>
      </c>
      <c r="R15" s="4" t="s">
        <v>12</v>
      </c>
      <c r="S15" s="4"/>
      <c r="T15" s="23">
        <v>6</v>
      </c>
      <c r="U15" s="23">
        <f t="shared" ref="U15:U19" si="18">46800/9.81</f>
        <v>4770.6422018348621</v>
      </c>
      <c r="V15" s="23"/>
      <c r="W15" s="20">
        <f t="shared" si="3"/>
        <v>2.8</v>
      </c>
      <c r="X15" s="23">
        <f>VLOOKUP(R15,鋼筋號數!$A$3:$C$13,3,FALSE)*T15</f>
        <v>17.22</v>
      </c>
      <c r="Y15" s="4" t="s">
        <v>9</v>
      </c>
      <c r="Z15" s="23">
        <v>2</v>
      </c>
      <c r="AA15" s="23">
        <v>2</v>
      </c>
      <c r="AB15" s="8">
        <v>25</v>
      </c>
      <c r="AC15" s="8">
        <v>25</v>
      </c>
      <c r="AD15" s="23">
        <f t="shared" ref="AD15:AD19" si="19">39800/9.81</f>
        <v>4057.0846075433228</v>
      </c>
      <c r="AE15" s="23"/>
      <c r="AF15" s="23" t="s">
        <v>55</v>
      </c>
      <c r="AG15" s="23">
        <v>90</v>
      </c>
      <c r="AH15" s="23">
        <f>VLOOKUP(Y15,鋼筋號數!$A$3:$C$13,3,FALSE)*Z15</f>
        <v>1.42</v>
      </c>
      <c r="AI15" s="20">
        <f>ROUND(VLOOKUP(Y15,鋼筋號數!$A$3:$C$13,3,FALSE)*Z15/AB15/(N15-2*G15-VLOOKUP(Y15,鋼筋號數!$A$3:$C$13,2,FALSE))*100,2)</f>
        <v>0.35</v>
      </c>
      <c r="AJ15" s="11"/>
      <c r="AK15" s="11">
        <f>0.01*0.5</f>
        <v>5.0000000000000001E-3</v>
      </c>
      <c r="AL15" s="11">
        <v>0.95</v>
      </c>
      <c r="AM15" s="11">
        <v>1.5</v>
      </c>
      <c r="AN15" s="29">
        <v>0.95</v>
      </c>
      <c r="AO15" s="11">
        <v>0.65</v>
      </c>
      <c r="AP15" s="11">
        <v>0.05</v>
      </c>
      <c r="AQ15" s="11">
        <v>0.01</v>
      </c>
      <c r="AR15" s="11">
        <v>0</v>
      </c>
      <c r="AS15" s="11" t="str">
        <f t="shared" si="8"/>
        <v>None</v>
      </c>
      <c r="AT15" s="11" t="b">
        <v>1</v>
      </c>
      <c r="AU15" s="18"/>
    </row>
    <row r="16" spans="1:47" x14ac:dyDescent="0.3">
      <c r="A16" s="15" t="s">
        <v>58</v>
      </c>
      <c r="B16" s="23" t="s">
        <v>68</v>
      </c>
      <c r="C16" s="8" t="s">
        <v>69</v>
      </c>
      <c r="D16" s="28">
        <v>1</v>
      </c>
      <c r="E16" s="23" t="s">
        <v>54</v>
      </c>
      <c r="F16" s="23">
        <f>1200/9.81</f>
        <v>122.32415902140673</v>
      </c>
      <c r="G16" s="23">
        <v>4</v>
      </c>
      <c r="H16" s="23" t="s">
        <v>54</v>
      </c>
      <c r="I16" s="32">
        <v>0.2</v>
      </c>
      <c r="J16" s="23">
        <f t="shared" si="15"/>
        <v>15290.519877675841</v>
      </c>
      <c r="K16" s="23">
        <v>25</v>
      </c>
      <c r="L16" s="23">
        <f t="shared" si="16"/>
        <v>20</v>
      </c>
      <c r="M16" s="23">
        <f>K16-2*G16-VLOOKUP(Y16,鋼筋號數!$A$3:$C$13,2,FALSE)</f>
        <v>16.047000000000001</v>
      </c>
      <c r="N16" s="23">
        <v>25</v>
      </c>
      <c r="O16" s="23">
        <f t="shared" si="17"/>
        <v>625</v>
      </c>
      <c r="P16" s="23">
        <v>135</v>
      </c>
      <c r="Q16" s="23">
        <v>135</v>
      </c>
      <c r="R16" s="4" t="s">
        <v>12</v>
      </c>
      <c r="S16" s="4"/>
      <c r="T16" s="23">
        <v>6</v>
      </c>
      <c r="U16" s="23">
        <f t="shared" si="18"/>
        <v>4770.6422018348621</v>
      </c>
      <c r="V16" s="23"/>
      <c r="W16" s="20">
        <f t="shared" si="3"/>
        <v>2.8</v>
      </c>
      <c r="X16" s="23">
        <f>VLOOKUP(R16,鋼筋號數!$A$3:$C$13,3,FALSE)*T16</f>
        <v>17.22</v>
      </c>
      <c r="Y16" s="4" t="s">
        <v>9</v>
      </c>
      <c r="Z16" s="23">
        <v>2</v>
      </c>
      <c r="AA16" s="23">
        <v>2</v>
      </c>
      <c r="AB16" s="8">
        <v>25</v>
      </c>
      <c r="AC16" s="8">
        <v>25</v>
      </c>
      <c r="AD16" s="23">
        <f t="shared" si="19"/>
        <v>4057.0846075433228</v>
      </c>
      <c r="AE16" s="23"/>
      <c r="AF16" s="23" t="s">
        <v>55</v>
      </c>
      <c r="AG16" s="23">
        <v>90</v>
      </c>
      <c r="AH16" s="23">
        <f>VLOOKUP(Y16,鋼筋號數!$A$3:$C$13,3,FALSE)*Z16</f>
        <v>1.42</v>
      </c>
      <c r="AI16" s="20">
        <f>ROUND(VLOOKUP(Y16,鋼筋號數!$A$3:$C$13,3,FALSE)*Z16/AB16/(N16-2*G16-VLOOKUP(Y16,鋼筋號數!$A$3:$C$13,2,FALSE))*100,2)</f>
        <v>0.35</v>
      </c>
      <c r="AJ16" s="11"/>
      <c r="AK16" s="11">
        <v>6.7999999999999996E-3</v>
      </c>
      <c r="AL16" s="11">
        <v>0.67</v>
      </c>
      <c r="AM16" s="11">
        <v>0.9</v>
      </c>
      <c r="AN16" s="11">
        <v>0.55000000000000004</v>
      </c>
      <c r="AO16" s="11">
        <v>0.6</v>
      </c>
      <c r="AP16" s="11">
        <v>3.5000000000000003E-2</v>
      </c>
      <c r="AQ16" s="11">
        <v>0.03</v>
      </c>
      <c r="AR16" s="11">
        <v>0</v>
      </c>
      <c r="AS16" s="11" t="str">
        <f t="shared" si="8"/>
        <v>None</v>
      </c>
      <c r="AT16" s="11" t="s">
        <v>130</v>
      </c>
      <c r="AU16" s="18"/>
    </row>
    <row r="17" spans="1:47" x14ac:dyDescent="0.3">
      <c r="A17" s="15" t="s">
        <v>70</v>
      </c>
      <c r="B17" s="23" t="s">
        <v>68</v>
      </c>
      <c r="C17" s="8" t="s">
        <v>69</v>
      </c>
      <c r="D17" s="28">
        <v>1</v>
      </c>
      <c r="E17" s="23" t="s">
        <v>53</v>
      </c>
      <c r="F17" s="23">
        <f>1200/9.81</f>
        <v>122.32415902140673</v>
      </c>
      <c r="G17" s="23">
        <v>4</v>
      </c>
      <c r="H17" s="23" t="s">
        <v>54</v>
      </c>
      <c r="I17" s="32">
        <v>0.2</v>
      </c>
      <c r="J17" s="23">
        <f t="shared" si="15"/>
        <v>15290.519877675841</v>
      </c>
      <c r="K17" s="23">
        <v>25</v>
      </c>
      <c r="L17" s="23">
        <f t="shared" si="16"/>
        <v>20</v>
      </c>
      <c r="M17" s="23">
        <f>K17-2*G17-VLOOKUP(Y17,鋼筋號數!$A$3:$C$13,2,FALSE)</f>
        <v>16.047000000000001</v>
      </c>
      <c r="N17" s="23">
        <v>25</v>
      </c>
      <c r="O17" s="23">
        <f t="shared" si="17"/>
        <v>625</v>
      </c>
      <c r="P17" s="23">
        <v>135</v>
      </c>
      <c r="Q17" s="23">
        <v>135</v>
      </c>
      <c r="R17" s="4" t="s">
        <v>12</v>
      </c>
      <c r="S17" s="4"/>
      <c r="T17" s="23">
        <v>6</v>
      </c>
      <c r="U17" s="23">
        <f t="shared" si="18"/>
        <v>4770.6422018348621</v>
      </c>
      <c r="V17" s="23"/>
      <c r="W17" s="20">
        <f t="shared" si="3"/>
        <v>2.8</v>
      </c>
      <c r="X17" s="23">
        <f>VLOOKUP(R17,鋼筋號數!$A$3:$C$13,3,FALSE)*T17</f>
        <v>17.22</v>
      </c>
      <c r="Y17" s="4" t="s">
        <v>9</v>
      </c>
      <c r="Z17" s="23">
        <v>2</v>
      </c>
      <c r="AA17" s="23">
        <v>2</v>
      </c>
      <c r="AB17" s="8">
        <v>15</v>
      </c>
      <c r="AC17" s="8">
        <v>25</v>
      </c>
      <c r="AD17" s="23">
        <f t="shared" si="19"/>
        <v>4057.0846075433228</v>
      </c>
      <c r="AE17" s="23"/>
      <c r="AF17" s="23" t="s">
        <v>55</v>
      </c>
      <c r="AG17" s="23">
        <v>90</v>
      </c>
      <c r="AH17" s="23">
        <f>VLOOKUP(Y17,鋼筋號數!$A$3:$C$13,3,FALSE)*Z17</f>
        <v>1.42</v>
      </c>
      <c r="AI17" s="20">
        <f>ROUND(VLOOKUP(Y17,鋼筋號數!$A$3:$C$13,3,FALSE)*Z17/AB17/(N17-2*G17-VLOOKUP(Y17,鋼筋號數!$A$3:$C$13,2,FALSE))*100,2)</f>
        <v>0.59</v>
      </c>
      <c r="AJ17" s="11"/>
      <c r="AK17" s="11">
        <v>2.5000000000000001E-2</v>
      </c>
      <c r="AL17" s="29">
        <v>1</v>
      </c>
      <c r="AM17" s="11">
        <v>1</v>
      </c>
      <c r="AN17" s="29">
        <v>0.95</v>
      </c>
      <c r="AO17" s="11">
        <v>0.55000000000000004</v>
      </c>
      <c r="AP17" s="11">
        <v>7.9000000000000001E-2</v>
      </c>
      <c r="AQ17" s="11">
        <v>0.02</v>
      </c>
      <c r="AR17" s="11">
        <v>0</v>
      </c>
      <c r="AS17" s="11" t="str">
        <f t="shared" si="8"/>
        <v>None</v>
      </c>
      <c r="AT17" s="11" t="s">
        <v>130</v>
      </c>
      <c r="AU17" s="18"/>
    </row>
    <row r="18" spans="1:47" x14ac:dyDescent="0.3">
      <c r="A18" s="15" t="s">
        <v>71</v>
      </c>
      <c r="B18" s="23" t="s">
        <v>68</v>
      </c>
      <c r="C18" s="8" t="s">
        <v>69</v>
      </c>
      <c r="D18" s="28">
        <v>1</v>
      </c>
      <c r="E18" s="23" t="s">
        <v>54</v>
      </c>
      <c r="F18" s="23">
        <f>1510/9.81</f>
        <v>153.92456676860346</v>
      </c>
      <c r="G18" s="23">
        <v>4</v>
      </c>
      <c r="H18" s="23" t="s">
        <v>54</v>
      </c>
      <c r="I18" s="32">
        <v>0.2</v>
      </c>
      <c r="J18" s="23">
        <f>I18*(O18)*F18+25000</f>
        <v>44240.570846075432</v>
      </c>
      <c r="K18" s="23">
        <v>25</v>
      </c>
      <c r="L18" s="23">
        <f t="shared" si="16"/>
        <v>20</v>
      </c>
      <c r="M18" s="23">
        <f>K18-2*G18-VLOOKUP(Y18,鋼筋號數!$A$3:$C$13,2,FALSE)</f>
        <v>16.047000000000001</v>
      </c>
      <c r="N18" s="23">
        <v>25</v>
      </c>
      <c r="O18" s="23">
        <f t="shared" si="17"/>
        <v>625</v>
      </c>
      <c r="P18" s="23">
        <v>135</v>
      </c>
      <c r="Q18" s="23">
        <v>135</v>
      </c>
      <c r="R18" s="4" t="s">
        <v>12</v>
      </c>
      <c r="S18" s="4"/>
      <c r="T18" s="23">
        <v>6</v>
      </c>
      <c r="U18" s="23">
        <f t="shared" si="18"/>
        <v>4770.6422018348621</v>
      </c>
      <c r="V18" s="23"/>
      <c r="W18" s="20">
        <f t="shared" si="3"/>
        <v>2.8</v>
      </c>
      <c r="X18" s="23">
        <f>VLOOKUP(R18,鋼筋號數!$A$3:$C$13,3,FALSE)*T18</f>
        <v>17.22</v>
      </c>
      <c r="Y18" s="4" t="s">
        <v>9</v>
      </c>
      <c r="Z18" s="23">
        <v>2</v>
      </c>
      <c r="AA18" s="23">
        <v>2</v>
      </c>
      <c r="AB18" s="8">
        <v>25</v>
      </c>
      <c r="AC18" s="8">
        <v>25</v>
      </c>
      <c r="AD18" s="23">
        <f t="shared" si="19"/>
        <v>4057.0846075433228</v>
      </c>
      <c r="AE18" s="23"/>
      <c r="AF18" s="23" t="s">
        <v>55</v>
      </c>
      <c r="AG18" s="23">
        <v>90</v>
      </c>
      <c r="AH18" s="23">
        <f>VLOOKUP(Y18,鋼筋號數!$A$3:$C$13,3,FALSE)*Z18</f>
        <v>1.42</v>
      </c>
      <c r="AI18" s="20">
        <f>ROUND(VLOOKUP(Y18,鋼筋號數!$A$3:$C$13,3,FALSE)*Z18/AB18/(N18-2*G18-VLOOKUP(Y18,鋼筋號數!$A$3:$C$13,2,FALSE))*100,2)</f>
        <v>0.35</v>
      </c>
      <c r="AJ18" s="11"/>
      <c r="AK18" s="11">
        <v>2.8000000000000001E-2</v>
      </c>
      <c r="AL18" s="30">
        <v>0.9</v>
      </c>
      <c r="AM18" s="11">
        <v>1</v>
      </c>
      <c r="AN18" s="29">
        <v>0.95</v>
      </c>
      <c r="AO18" s="26">
        <v>0.9</v>
      </c>
      <c r="AP18" s="11">
        <v>1.6E-2</v>
      </c>
      <c r="AQ18" s="31">
        <v>0.01</v>
      </c>
      <c r="AR18" s="11">
        <v>0</v>
      </c>
      <c r="AS18" s="11" t="str">
        <f t="shared" si="8"/>
        <v>None</v>
      </c>
      <c r="AT18" s="11" t="s">
        <v>130</v>
      </c>
      <c r="AU18" s="18"/>
    </row>
    <row r="19" spans="1:47" x14ac:dyDescent="0.3">
      <c r="A19" s="15" t="s">
        <v>72</v>
      </c>
      <c r="B19" s="23" t="s">
        <v>68</v>
      </c>
      <c r="C19" s="8" t="s">
        <v>69</v>
      </c>
      <c r="D19" s="28">
        <v>1</v>
      </c>
      <c r="E19" s="23" t="s">
        <v>53</v>
      </c>
      <c r="F19" s="23">
        <f>1510/9.81</f>
        <v>153.92456676860346</v>
      </c>
      <c r="G19" s="23">
        <v>4</v>
      </c>
      <c r="H19" s="23" t="s">
        <v>54</v>
      </c>
      <c r="I19" s="32">
        <v>0.2</v>
      </c>
      <c r="J19" s="23">
        <f>I19*(O19)*F19+25000</f>
        <v>44240.570846075432</v>
      </c>
      <c r="K19" s="23">
        <v>25</v>
      </c>
      <c r="L19" s="23">
        <f t="shared" si="16"/>
        <v>20</v>
      </c>
      <c r="M19" s="23">
        <f>K19-2*G19-VLOOKUP(Y19,鋼筋號數!$A$3:$C$13,2,FALSE)</f>
        <v>16.047000000000001</v>
      </c>
      <c r="N19" s="23">
        <v>25</v>
      </c>
      <c r="O19" s="23">
        <f t="shared" si="17"/>
        <v>625</v>
      </c>
      <c r="P19" s="23">
        <v>135</v>
      </c>
      <c r="Q19" s="23">
        <v>135</v>
      </c>
      <c r="R19" s="4" t="s">
        <v>12</v>
      </c>
      <c r="S19" s="4"/>
      <c r="T19" s="23">
        <v>6</v>
      </c>
      <c r="U19" s="23">
        <f t="shared" si="18"/>
        <v>4770.6422018348621</v>
      </c>
      <c r="V19" s="23"/>
      <c r="W19" s="20">
        <f t="shared" si="3"/>
        <v>2.8</v>
      </c>
      <c r="X19" s="23">
        <f>VLOOKUP(R19,鋼筋號數!$A$3:$C$13,3,FALSE)*T19</f>
        <v>17.22</v>
      </c>
      <c r="Y19" s="4" t="s">
        <v>9</v>
      </c>
      <c r="Z19" s="23">
        <v>2</v>
      </c>
      <c r="AA19" s="23">
        <v>2</v>
      </c>
      <c r="AB19" s="8">
        <v>10</v>
      </c>
      <c r="AC19" s="8">
        <v>15</v>
      </c>
      <c r="AD19" s="23">
        <f t="shared" si="19"/>
        <v>4057.0846075433228</v>
      </c>
      <c r="AE19" s="23"/>
      <c r="AF19" s="23" t="s">
        <v>55</v>
      </c>
      <c r="AG19" s="23">
        <v>90</v>
      </c>
      <c r="AH19" s="23">
        <f>VLOOKUP(Y19,鋼筋號數!$A$3:$C$13,3,FALSE)*Z19</f>
        <v>1.42</v>
      </c>
      <c r="AI19" s="20">
        <f>ROUND(VLOOKUP(Y19,鋼筋號數!$A$3:$C$13,3,FALSE)*Z19/AB19/(N19-2*G19-VLOOKUP(Y19,鋼筋號數!$A$3:$C$13,2,FALSE))*100,2)</f>
        <v>0.88</v>
      </c>
      <c r="AJ19" s="11"/>
      <c r="AK19" s="11">
        <v>1.0999999999999999E-2</v>
      </c>
      <c r="AL19" s="29">
        <v>1</v>
      </c>
      <c r="AM19" s="11">
        <v>1</v>
      </c>
      <c r="AN19" s="29">
        <v>0.95</v>
      </c>
      <c r="AO19" s="26">
        <v>0.9</v>
      </c>
      <c r="AP19" s="11">
        <v>1.4E-2</v>
      </c>
      <c r="AQ19" s="11">
        <v>5.0000000000000001E-3</v>
      </c>
      <c r="AR19" s="11">
        <v>0</v>
      </c>
      <c r="AS19" s="11" t="str">
        <f>IF(OR(F19&gt;=700,AD19&gt;=5000,AH19&gt;=3),TRUE,"None")</f>
        <v>None</v>
      </c>
      <c r="AT19" s="11" t="s">
        <v>130</v>
      </c>
      <c r="AU19" s="18"/>
    </row>
    <row r="20" spans="1:47" x14ac:dyDescent="0.3">
      <c r="A20" s="12" t="s">
        <v>73</v>
      </c>
      <c r="B20" s="23" t="s">
        <v>68</v>
      </c>
      <c r="C20" s="8" t="s">
        <v>69</v>
      </c>
      <c r="D20" s="28">
        <v>1</v>
      </c>
      <c r="E20" s="23" t="s">
        <v>53</v>
      </c>
      <c r="F20" s="23">
        <f>7300/9.81</f>
        <v>744.13863404689084</v>
      </c>
      <c r="G20" s="23">
        <v>4</v>
      </c>
      <c r="H20" s="23" t="s">
        <v>54</v>
      </c>
      <c r="I20" s="23">
        <v>0.3</v>
      </c>
      <c r="J20" s="23">
        <f>I20*(O20)*F20</f>
        <v>803669.72477064212</v>
      </c>
      <c r="K20" s="23">
        <v>60</v>
      </c>
      <c r="L20" s="23">
        <f>K20*0.8</f>
        <v>48</v>
      </c>
      <c r="M20" s="23">
        <f>K20-2*G20-VLOOKUP(Y20,鋼筋號數!$A$3:$C$13,2,FALSE)</f>
        <v>50.73</v>
      </c>
      <c r="N20" s="23">
        <v>60</v>
      </c>
      <c r="O20" s="23">
        <f>K20*N20</f>
        <v>3600</v>
      </c>
      <c r="P20" s="23">
        <v>180</v>
      </c>
      <c r="Q20" s="23">
        <v>180</v>
      </c>
      <c r="R20" s="23" t="s">
        <v>15</v>
      </c>
      <c r="S20" s="23"/>
      <c r="T20" s="23">
        <v>16</v>
      </c>
      <c r="U20" s="23">
        <f>69800/9.81</f>
        <v>7115.1885830784913</v>
      </c>
      <c r="V20" s="23"/>
      <c r="W20" s="20">
        <f t="shared" si="3"/>
        <v>2.9</v>
      </c>
      <c r="X20" s="23">
        <f>VLOOKUP(R20,鋼筋號數!$A$3:$C$13,3,FALSE)*T20</f>
        <v>103.52</v>
      </c>
      <c r="Y20" s="4" t="s">
        <v>10</v>
      </c>
      <c r="Z20" s="23">
        <v>4</v>
      </c>
      <c r="AA20" s="23">
        <v>4</v>
      </c>
      <c r="AB20" s="23">
        <v>10</v>
      </c>
      <c r="AC20" s="27">
        <v>10</v>
      </c>
      <c r="AD20" s="23">
        <f>88600/9.81</f>
        <v>9031.6004077471971</v>
      </c>
      <c r="AE20" s="23">
        <v>1095</v>
      </c>
      <c r="AF20" s="23" t="s">
        <v>74</v>
      </c>
      <c r="AG20" s="23">
        <v>135</v>
      </c>
      <c r="AH20" s="23">
        <f>VLOOKUP(Y20,鋼筋號數!$A$3:$C$13,3,FALSE)*Z20</f>
        <v>5.08</v>
      </c>
      <c r="AI20" s="20">
        <f>ROUND(VLOOKUP(Y20,鋼筋號數!$A$3:$C$13,3,FALSE)*Z20/AB20/(N20-2*G20-VLOOKUP(Y20,鋼筋號數!$A$3:$C$13,2,FALSE))*100,2)</f>
        <v>1</v>
      </c>
      <c r="AJ20" s="11"/>
      <c r="AK20" s="11">
        <v>5.0000000000000001E-3</v>
      </c>
      <c r="AL20" s="11">
        <v>0.45</v>
      </c>
      <c r="AM20" s="11">
        <v>1</v>
      </c>
      <c r="AN20" s="11">
        <v>0.8</v>
      </c>
      <c r="AO20" s="11">
        <v>0.3</v>
      </c>
      <c r="AP20" s="11">
        <v>0.02</v>
      </c>
      <c r="AQ20" s="11">
        <v>0.03</v>
      </c>
      <c r="AR20" s="11">
        <v>0</v>
      </c>
      <c r="AS20" s="11" t="b">
        <f>IF(OR(F20&gt;=700,AD20&gt;=5000,AH20&gt;=3),TRUE,"None")</f>
        <v>1</v>
      </c>
      <c r="AT20" s="11" t="s">
        <v>130</v>
      </c>
      <c r="AU20" s="18"/>
    </row>
    <row r="21" spans="1:47" x14ac:dyDescent="0.3">
      <c r="A21" s="12" t="s">
        <v>75</v>
      </c>
      <c r="B21" s="23" t="s">
        <v>68</v>
      </c>
      <c r="C21" s="8" t="s">
        <v>69</v>
      </c>
      <c r="D21" s="28">
        <v>1</v>
      </c>
      <c r="E21" s="23" t="s">
        <v>53</v>
      </c>
      <c r="F21" s="23">
        <f>7200/9.81</f>
        <v>733.94495412844037</v>
      </c>
      <c r="G21" s="23">
        <v>4</v>
      </c>
      <c r="H21" s="23" t="s">
        <v>54</v>
      </c>
      <c r="I21" s="23">
        <v>0.3</v>
      </c>
      <c r="J21" s="23">
        <f>I21*(O21)*F21</f>
        <v>792660.55045871565</v>
      </c>
      <c r="K21" s="23">
        <v>60</v>
      </c>
      <c r="L21" s="23">
        <f t="shared" ref="L21:L22" si="20">K21*0.8</f>
        <v>48</v>
      </c>
      <c r="M21" s="23">
        <f>K21-2*G21-VLOOKUP(Y21,鋼筋號數!$A$3:$C$13,2,FALSE)</f>
        <v>50.73</v>
      </c>
      <c r="N21" s="23">
        <v>60</v>
      </c>
      <c r="O21" s="23">
        <f t="shared" ref="O21:O22" si="21">K21*N21</f>
        <v>3600</v>
      </c>
      <c r="P21" s="23">
        <v>180</v>
      </c>
      <c r="Q21" s="23">
        <v>180</v>
      </c>
      <c r="R21" s="23" t="s">
        <v>15</v>
      </c>
      <c r="S21" s="23"/>
      <c r="T21" s="23">
        <v>16</v>
      </c>
      <c r="U21" s="23">
        <f t="shared" ref="U21:U22" si="22">69800/9.81</f>
        <v>7115.1885830784913</v>
      </c>
      <c r="V21" s="23"/>
      <c r="W21" s="20">
        <f t="shared" si="3"/>
        <v>2.9</v>
      </c>
      <c r="X21" s="23">
        <f>VLOOKUP(R21,鋼筋號數!$A$3:$C$13,3,FALSE)*T21</f>
        <v>103.52</v>
      </c>
      <c r="Y21" s="4" t="s">
        <v>76</v>
      </c>
      <c r="Z21" s="23">
        <v>4</v>
      </c>
      <c r="AA21" s="23">
        <v>4</v>
      </c>
      <c r="AB21" s="23">
        <v>10</v>
      </c>
      <c r="AC21" s="27">
        <v>10</v>
      </c>
      <c r="AD21" s="23">
        <f t="shared" ref="AD21:AD22" si="23">88600/9.81</f>
        <v>9031.6004077471971</v>
      </c>
      <c r="AE21" s="23">
        <v>1104</v>
      </c>
      <c r="AF21" s="23" t="s">
        <v>77</v>
      </c>
      <c r="AG21" s="23">
        <v>90</v>
      </c>
      <c r="AH21" s="23">
        <f>VLOOKUP(Y21,鋼筋號數!$A$3:$C$13,3,FALSE)*Z21</f>
        <v>5.08</v>
      </c>
      <c r="AI21" s="20">
        <f>ROUND(VLOOKUP(Y21,鋼筋號數!$A$3:$C$13,3,FALSE)*Z21/AB21/(N21-2*G21-VLOOKUP(Y21,鋼筋號數!$A$3:$C$13,2,FALSE))*100,2)</f>
        <v>1</v>
      </c>
      <c r="AJ21" s="11"/>
      <c r="AK21" s="11">
        <v>8.9999999999999993E-3</v>
      </c>
      <c r="AL21" s="11">
        <v>0.25</v>
      </c>
      <c r="AM21" s="11">
        <v>1</v>
      </c>
      <c r="AN21" s="29">
        <v>0.95</v>
      </c>
      <c r="AO21" s="11">
        <v>0.7</v>
      </c>
      <c r="AP21" s="11">
        <v>5.0000000000000001E-3</v>
      </c>
      <c r="AQ21" s="11">
        <v>6.8000000000000005E-2</v>
      </c>
      <c r="AR21" s="11">
        <v>0</v>
      </c>
      <c r="AS21" s="11" t="b">
        <f t="shared" ref="AS21:AS22" si="24">IF(OR(F21&gt;=700,AD21&gt;=5000,AH21&gt;=3),TRUE,"None")</f>
        <v>1</v>
      </c>
      <c r="AT21" s="11" t="s">
        <v>130</v>
      </c>
      <c r="AU21" s="18"/>
    </row>
    <row r="22" spans="1:47" x14ac:dyDescent="0.3">
      <c r="A22" s="12" t="s">
        <v>78</v>
      </c>
      <c r="B22" s="23" t="s">
        <v>68</v>
      </c>
      <c r="C22" s="8" t="s">
        <v>69</v>
      </c>
      <c r="D22" s="28">
        <v>1</v>
      </c>
      <c r="E22" s="23" t="s">
        <v>53</v>
      </c>
      <c r="F22" s="23">
        <f>6700/9.81</f>
        <v>682.97655453618756</v>
      </c>
      <c r="G22" s="23">
        <v>4</v>
      </c>
      <c r="H22" s="23" t="s">
        <v>54</v>
      </c>
      <c r="I22" s="23">
        <v>0.3</v>
      </c>
      <c r="J22" s="23">
        <f>I22*(O22)*F22</f>
        <v>737614.67889908259</v>
      </c>
      <c r="K22" s="23">
        <v>60</v>
      </c>
      <c r="L22" s="23">
        <f t="shared" si="20"/>
        <v>48</v>
      </c>
      <c r="M22" s="23">
        <f>K22-2*G22-VLOOKUP(Y22,鋼筋號數!$A$3:$C$13,2,FALSE)</f>
        <v>50.73</v>
      </c>
      <c r="N22" s="23">
        <v>60</v>
      </c>
      <c r="O22" s="23">
        <f t="shared" si="21"/>
        <v>3600</v>
      </c>
      <c r="P22" s="23">
        <v>180</v>
      </c>
      <c r="Q22" s="23">
        <v>180</v>
      </c>
      <c r="R22" s="23" t="s">
        <v>15</v>
      </c>
      <c r="S22" s="23"/>
      <c r="T22" s="23">
        <v>16</v>
      </c>
      <c r="U22" s="23">
        <f t="shared" si="22"/>
        <v>7115.1885830784913</v>
      </c>
      <c r="V22" s="23"/>
      <c r="W22" s="20">
        <f t="shared" si="3"/>
        <v>2.9</v>
      </c>
      <c r="X22" s="23">
        <f>VLOOKUP(R22,鋼筋號數!$A$3:$C$13,3,FALSE)*T22</f>
        <v>103.52</v>
      </c>
      <c r="Y22" s="4" t="s">
        <v>76</v>
      </c>
      <c r="Z22" s="23">
        <v>4</v>
      </c>
      <c r="AA22" s="23">
        <v>4</v>
      </c>
      <c r="AB22" s="23">
        <v>10</v>
      </c>
      <c r="AC22" s="27">
        <v>10</v>
      </c>
      <c r="AD22" s="23">
        <f t="shared" si="23"/>
        <v>9031.6004077471971</v>
      </c>
      <c r="AE22" s="23">
        <v>1095</v>
      </c>
      <c r="AF22" s="23" t="s">
        <v>79</v>
      </c>
      <c r="AG22" s="23">
        <v>135</v>
      </c>
      <c r="AH22" s="23">
        <f>VLOOKUP(Y22,鋼筋號數!$A$3:$C$13,3,FALSE)*Z22</f>
        <v>5.08</v>
      </c>
      <c r="AI22" s="20">
        <f>ROUND(VLOOKUP(Y22,鋼筋號數!$A$3:$C$13,3,FALSE)*Z22/AB22/(N22-2*G22-VLOOKUP(Y22,鋼筋號數!$A$3:$C$13,2,FALSE))*100,2)</f>
        <v>1</v>
      </c>
      <c r="AJ22" s="11"/>
      <c r="AK22" s="11">
        <v>1.2E-2</v>
      </c>
      <c r="AL22" s="11">
        <v>0.3</v>
      </c>
      <c r="AM22" s="11">
        <v>1</v>
      </c>
      <c r="AN22" s="29">
        <v>0.95</v>
      </c>
      <c r="AO22" s="11">
        <v>0.5</v>
      </c>
      <c r="AP22" s="11">
        <v>8.0000000000000002E-3</v>
      </c>
      <c r="AQ22" s="11">
        <v>0.04</v>
      </c>
      <c r="AR22" s="11">
        <v>0</v>
      </c>
      <c r="AS22" s="11" t="b">
        <f t="shared" si="24"/>
        <v>1</v>
      </c>
      <c r="AT22" s="11" t="s">
        <v>130</v>
      </c>
      <c r="AU22" s="18"/>
    </row>
    <row r="23" spans="1:47" x14ac:dyDescent="0.3">
      <c r="A23" s="12" t="s">
        <v>80</v>
      </c>
      <c r="B23" s="23" t="s">
        <v>81</v>
      </c>
      <c r="C23" s="8" t="s">
        <v>69</v>
      </c>
      <c r="D23" s="28">
        <v>1</v>
      </c>
      <c r="E23" s="23" t="s">
        <v>53</v>
      </c>
      <c r="F23" s="23">
        <f>8510/9.81</f>
        <v>867.48216106014263</v>
      </c>
      <c r="G23" s="23">
        <v>4</v>
      </c>
      <c r="H23" s="23" t="s">
        <v>54</v>
      </c>
      <c r="I23" s="23">
        <v>0.56000000000000005</v>
      </c>
      <c r="J23" s="23">
        <f>I23*(O23)*F23</f>
        <v>1748844.0366972478</v>
      </c>
      <c r="K23" s="23">
        <v>60</v>
      </c>
      <c r="L23" s="23">
        <f>K23*0.8</f>
        <v>48</v>
      </c>
      <c r="M23" s="23">
        <f>K23-2*G23-VLOOKUP(Y23,鋼筋號數!$A$3:$C$13,2,FALSE)</f>
        <v>50.73</v>
      </c>
      <c r="N23" s="23">
        <v>60</v>
      </c>
      <c r="O23" s="23">
        <f>K23*N23</f>
        <v>3600</v>
      </c>
      <c r="P23" s="23">
        <v>180</v>
      </c>
      <c r="Q23" s="23">
        <v>180</v>
      </c>
      <c r="R23" s="4" t="s">
        <v>14</v>
      </c>
      <c r="S23" s="4"/>
      <c r="T23" s="23">
        <v>16</v>
      </c>
      <c r="U23" s="23">
        <f>74400/9.81</f>
        <v>7584.0978593272166</v>
      </c>
      <c r="V23" s="23"/>
      <c r="W23" s="20">
        <f t="shared" si="3"/>
        <v>2.2999999999999998</v>
      </c>
      <c r="X23" s="23">
        <f>VLOOKUP(R23,鋼筋號數!$A$3:$C$13,3,FALSE)*T23</f>
        <v>81.12</v>
      </c>
      <c r="Y23" s="4" t="s">
        <v>10</v>
      </c>
      <c r="Z23" s="23">
        <v>4</v>
      </c>
      <c r="AA23" s="23">
        <v>4</v>
      </c>
      <c r="AB23" s="23">
        <v>11</v>
      </c>
      <c r="AC23" s="27">
        <v>11</v>
      </c>
      <c r="AD23" s="23">
        <f>81700/9.81</f>
        <v>8328.2364933741082</v>
      </c>
      <c r="AE23" s="23"/>
      <c r="AF23" s="23" t="s">
        <v>55</v>
      </c>
      <c r="AG23" s="23">
        <v>135</v>
      </c>
      <c r="AH23" s="23">
        <f>VLOOKUP(Y23,鋼筋號數!$A$3:$C$13,3,FALSE)*Z23</f>
        <v>5.08</v>
      </c>
      <c r="AI23" s="20">
        <f>ROUND(VLOOKUP(Y23,鋼筋號數!$A$3:$C$13,3,FALSE)*Z23/AB23/(N23-2*G23-VLOOKUP(Y23,鋼筋號數!$A$3:$C$13,2,FALSE))*100,2)</f>
        <v>0.91</v>
      </c>
      <c r="AJ23" s="11"/>
      <c r="AK23" s="11">
        <v>8.9999999999999993E-3</v>
      </c>
      <c r="AL23" s="11">
        <v>0.38</v>
      </c>
      <c r="AM23" s="11">
        <v>1</v>
      </c>
      <c r="AN23" s="29">
        <v>0.95</v>
      </c>
      <c r="AO23" s="26">
        <v>0.9</v>
      </c>
      <c r="AP23" s="11">
        <v>5.0000000000000001E-3</v>
      </c>
      <c r="AQ23" s="11">
        <v>0.01</v>
      </c>
      <c r="AR23" s="11">
        <v>0</v>
      </c>
      <c r="AS23" s="11" t="b">
        <f>IF(OR(F23&gt;=700,AD23&gt;=5000,AH23&gt;=3),TRUE,"None")</f>
        <v>1</v>
      </c>
      <c r="AT23" s="11" t="s">
        <v>130</v>
      </c>
      <c r="AU23" s="18"/>
    </row>
    <row r="24" spans="1:47" x14ac:dyDescent="0.3">
      <c r="A24" s="12" t="s">
        <v>82</v>
      </c>
      <c r="B24" s="23" t="s">
        <v>81</v>
      </c>
      <c r="C24" s="8" t="s">
        <v>69</v>
      </c>
      <c r="D24" s="28">
        <v>1</v>
      </c>
      <c r="E24" s="23" t="s">
        <v>53</v>
      </c>
      <c r="F24" s="23">
        <f>11180/9.81</f>
        <v>1139.6534148827727</v>
      </c>
      <c r="G24" s="23">
        <v>4</v>
      </c>
      <c r="H24" s="23" t="s">
        <v>54</v>
      </c>
      <c r="I24" s="23">
        <v>0.53</v>
      </c>
      <c r="J24" s="23">
        <f t="shared" ref="J24:J27" si="25">I24*(O24)*F24</f>
        <v>2174458.7155963304</v>
      </c>
      <c r="K24" s="23">
        <v>60</v>
      </c>
      <c r="L24" s="23">
        <f t="shared" ref="L24:L27" si="26">K24*0.8</f>
        <v>48</v>
      </c>
      <c r="M24" s="23">
        <f>K24-2*G24-VLOOKUP(Y24,鋼筋號數!$A$3:$C$13,2,FALSE)</f>
        <v>50.73</v>
      </c>
      <c r="N24" s="23">
        <v>60</v>
      </c>
      <c r="O24" s="23">
        <f t="shared" ref="O24:O27" si="27">K24*N24</f>
        <v>3600</v>
      </c>
      <c r="P24" s="23">
        <v>180</v>
      </c>
      <c r="Q24" s="23">
        <v>180</v>
      </c>
      <c r="R24" s="4" t="s">
        <v>14</v>
      </c>
      <c r="S24" s="4"/>
      <c r="T24" s="23">
        <v>16</v>
      </c>
      <c r="U24" s="23">
        <f t="shared" ref="U24:U27" si="28">74400/9.81</f>
        <v>7584.0978593272166</v>
      </c>
      <c r="V24" s="23"/>
      <c r="W24" s="20">
        <f t="shared" si="3"/>
        <v>2.2999999999999998</v>
      </c>
      <c r="X24" s="23">
        <f>VLOOKUP(R24,鋼筋號數!$A$3:$C$13,3,FALSE)*T24</f>
        <v>81.12</v>
      </c>
      <c r="Y24" s="4" t="s">
        <v>76</v>
      </c>
      <c r="Z24" s="23">
        <v>4</v>
      </c>
      <c r="AA24" s="23">
        <v>4</v>
      </c>
      <c r="AB24" s="23">
        <v>8</v>
      </c>
      <c r="AC24" s="27">
        <v>8</v>
      </c>
      <c r="AD24" s="23">
        <f t="shared" ref="AD24:AD27" si="29">81700/9.81</f>
        <v>8328.2364933741082</v>
      </c>
      <c r="AE24" s="23"/>
      <c r="AF24" s="23" t="s">
        <v>55</v>
      </c>
      <c r="AG24" s="23">
        <v>135</v>
      </c>
      <c r="AH24" s="23">
        <f>VLOOKUP(Y24,鋼筋號數!$A$3:$C$13,3,FALSE)*Z24</f>
        <v>5.08</v>
      </c>
      <c r="AI24" s="20">
        <f>ROUND(VLOOKUP(Y24,鋼筋號數!$A$3:$C$13,3,FALSE)*Z24/AB24/(N24-2*G24-VLOOKUP(Y24,鋼筋號數!$A$3:$C$13,2,FALSE))*100,2)</f>
        <v>1.25</v>
      </c>
      <c r="AJ24" s="11"/>
      <c r="AK24" s="11">
        <v>8.9999999999999993E-3</v>
      </c>
      <c r="AL24" s="11">
        <v>0.4</v>
      </c>
      <c r="AM24" s="11">
        <v>1</v>
      </c>
      <c r="AN24" s="29">
        <v>0.95</v>
      </c>
      <c r="AO24" s="26">
        <v>0.9</v>
      </c>
      <c r="AP24" s="11">
        <v>7.0000000000000001E-3</v>
      </c>
      <c r="AQ24" s="11">
        <v>4.0000000000000001E-3</v>
      </c>
      <c r="AR24" s="11">
        <v>0</v>
      </c>
      <c r="AS24" s="11" t="b">
        <f t="shared" ref="AS24:AS25" si="30">IF(OR(F24&gt;=700,AD24&gt;=5000,AH24&gt;=3),TRUE,"None")</f>
        <v>1</v>
      </c>
      <c r="AT24" s="11" t="s">
        <v>130</v>
      </c>
      <c r="AU24" s="18"/>
    </row>
    <row r="25" spans="1:47" x14ac:dyDescent="0.3">
      <c r="A25" s="12" t="s">
        <v>83</v>
      </c>
      <c r="B25" s="23" t="s">
        <v>81</v>
      </c>
      <c r="C25" s="8" t="s">
        <v>69</v>
      </c>
      <c r="D25" s="28">
        <v>1</v>
      </c>
      <c r="E25" s="23" t="s">
        <v>53</v>
      </c>
      <c r="F25" s="23">
        <f>8310/9.81</f>
        <v>847.09480122324157</v>
      </c>
      <c r="G25" s="23">
        <v>4</v>
      </c>
      <c r="H25" s="23" t="s">
        <v>54</v>
      </c>
      <c r="I25" s="23">
        <v>0.56999999999999995</v>
      </c>
      <c r="J25" s="23">
        <f t="shared" si="25"/>
        <v>1738238.5321100918</v>
      </c>
      <c r="K25" s="23">
        <v>60</v>
      </c>
      <c r="L25" s="23">
        <f t="shared" si="26"/>
        <v>48</v>
      </c>
      <c r="M25" s="23">
        <f>K25-2*G25-VLOOKUP(Y25,鋼筋號數!$A$3:$C$13,2,FALSE)</f>
        <v>50.73</v>
      </c>
      <c r="N25" s="23">
        <v>60</v>
      </c>
      <c r="O25" s="23">
        <f t="shared" si="27"/>
        <v>3600</v>
      </c>
      <c r="P25" s="23">
        <v>180</v>
      </c>
      <c r="Q25" s="23">
        <v>180</v>
      </c>
      <c r="R25" s="4" t="s">
        <v>14</v>
      </c>
      <c r="S25" s="4"/>
      <c r="T25" s="23">
        <v>16</v>
      </c>
      <c r="U25" s="23">
        <f t="shared" si="28"/>
        <v>7584.0978593272166</v>
      </c>
      <c r="V25" s="23"/>
      <c r="W25" s="20">
        <f t="shared" si="3"/>
        <v>2.2999999999999998</v>
      </c>
      <c r="X25" s="23">
        <f>VLOOKUP(R25,鋼筋號數!$A$3:$C$13,3,FALSE)*T25</f>
        <v>81.12</v>
      </c>
      <c r="Y25" s="4" t="s">
        <v>76</v>
      </c>
      <c r="Z25" s="23">
        <v>4</v>
      </c>
      <c r="AA25" s="23">
        <v>4</v>
      </c>
      <c r="AB25" s="23">
        <v>11</v>
      </c>
      <c r="AC25" s="27">
        <v>11</v>
      </c>
      <c r="AD25" s="23">
        <f t="shared" si="29"/>
        <v>8328.2364933741082</v>
      </c>
      <c r="AE25" s="23"/>
      <c r="AF25" s="23" t="s">
        <v>55</v>
      </c>
      <c r="AG25" s="23">
        <v>180</v>
      </c>
      <c r="AH25" s="23">
        <f>VLOOKUP(Y25,鋼筋號數!$A$3:$C$13,3,FALSE)*Z25</f>
        <v>5.08</v>
      </c>
      <c r="AI25" s="20">
        <f>ROUND(VLOOKUP(Y25,鋼筋號數!$A$3:$C$13,3,FALSE)*Z25/AB25/(N25-2*G25-VLOOKUP(Y25,鋼筋號數!$A$3:$C$13,2,FALSE))*100,2)</f>
        <v>0.91</v>
      </c>
      <c r="AJ25" s="11"/>
      <c r="AK25" s="11">
        <v>0.01</v>
      </c>
      <c r="AL25" s="11">
        <v>0.28000000000000003</v>
      </c>
      <c r="AM25" s="11">
        <v>1</v>
      </c>
      <c r="AN25" s="29">
        <v>0.95</v>
      </c>
      <c r="AO25" s="26">
        <v>0.9</v>
      </c>
      <c r="AP25" s="11">
        <v>5.4999999999999997E-3</v>
      </c>
      <c r="AQ25" s="11">
        <v>0.01</v>
      </c>
      <c r="AR25" s="11">
        <v>0</v>
      </c>
      <c r="AS25" s="11" t="b">
        <f t="shared" si="30"/>
        <v>1</v>
      </c>
      <c r="AT25" s="11" t="s">
        <v>130</v>
      </c>
      <c r="AU25" s="18"/>
    </row>
    <row r="26" spans="1:47" x14ac:dyDescent="0.3">
      <c r="A26" s="12" t="s">
        <v>84</v>
      </c>
      <c r="B26" s="23" t="s">
        <v>81</v>
      </c>
      <c r="C26" s="8" t="s">
        <v>69</v>
      </c>
      <c r="D26" s="28">
        <v>1</v>
      </c>
      <c r="E26" s="23" t="s">
        <v>53</v>
      </c>
      <c r="F26" s="23">
        <f>11390/9.81</f>
        <v>1161.0601427115189</v>
      </c>
      <c r="G26" s="23">
        <v>4</v>
      </c>
      <c r="H26" s="23" t="s">
        <v>54</v>
      </c>
      <c r="I26" s="23">
        <v>0.52</v>
      </c>
      <c r="J26" s="23">
        <f t="shared" si="25"/>
        <v>2173504.5871559633</v>
      </c>
      <c r="K26" s="23">
        <v>60</v>
      </c>
      <c r="L26" s="23">
        <f t="shared" si="26"/>
        <v>48</v>
      </c>
      <c r="M26" s="23">
        <f>K26-2*G26-VLOOKUP(Y26,鋼筋號數!$A$3:$C$13,2,FALSE)</f>
        <v>50.73</v>
      </c>
      <c r="N26" s="23">
        <v>60</v>
      </c>
      <c r="O26" s="23">
        <f t="shared" si="27"/>
        <v>3600</v>
      </c>
      <c r="P26" s="23">
        <v>180</v>
      </c>
      <c r="Q26" s="23">
        <v>180</v>
      </c>
      <c r="R26" s="4" t="s">
        <v>14</v>
      </c>
      <c r="S26" s="4"/>
      <c r="T26" s="23">
        <v>16</v>
      </c>
      <c r="U26" s="23">
        <f t="shared" si="28"/>
        <v>7584.0978593272166</v>
      </c>
      <c r="V26" s="23"/>
      <c r="W26" s="20">
        <f t="shared" si="3"/>
        <v>2.2999999999999998</v>
      </c>
      <c r="X26" s="23">
        <f>VLOOKUP(R26,鋼筋號數!$A$3:$C$13,3,FALSE)*T26</f>
        <v>81.12</v>
      </c>
      <c r="Y26" s="4" t="s">
        <v>10</v>
      </c>
      <c r="Z26" s="23">
        <v>4</v>
      </c>
      <c r="AA26" s="23">
        <v>4</v>
      </c>
      <c r="AB26" s="23">
        <v>8</v>
      </c>
      <c r="AC26" s="27">
        <v>8</v>
      </c>
      <c r="AD26" s="23">
        <f t="shared" si="29"/>
        <v>8328.2364933741082</v>
      </c>
      <c r="AE26" s="23"/>
      <c r="AF26" s="23" t="s">
        <v>55</v>
      </c>
      <c r="AG26" s="23">
        <v>180</v>
      </c>
      <c r="AH26" s="23">
        <f>VLOOKUP(Y26,鋼筋號數!$A$3:$C$13,3,FALSE)*Z26</f>
        <v>5.08</v>
      </c>
      <c r="AI26" s="20">
        <f>ROUND(VLOOKUP(Y26,鋼筋號數!$A$3:$C$13,3,FALSE)*Z26/AB26/(N26-2*G26-VLOOKUP(Y26,鋼筋號數!$A$3:$C$13,2,FALSE))*100,2)</f>
        <v>1.25</v>
      </c>
      <c r="AJ26" s="11"/>
      <c r="AK26" s="11">
        <v>5.0000000000000001E-3</v>
      </c>
      <c r="AL26" s="11">
        <v>0.4</v>
      </c>
      <c r="AM26" s="11">
        <v>0.55000000000000004</v>
      </c>
      <c r="AN26" s="29">
        <v>0.95</v>
      </c>
      <c r="AO26" s="11">
        <v>0.5</v>
      </c>
      <c r="AP26" s="11">
        <v>6.0000000000000001E-3</v>
      </c>
      <c r="AQ26" s="11">
        <v>1.2E-2</v>
      </c>
      <c r="AR26" s="11">
        <v>0</v>
      </c>
      <c r="AS26" s="11" t="b">
        <f>IF(OR(F26&gt;=700,AD26&gt;=5000,AH26&gt;=3),TRUE,"None")</f>
        <v>1</v>
      </c>
      <c r="AT26" s="11" t="s">
        <v>130</v>
      </c>
      <c r="AU26" s="18"/>
    </row>
    <row r="27" spans="1:47" x14ac:dyDescent="0.3">
      <c r="A27" s="12" t="s">
        <v>85</v>
      </c>
      <c r="B27" s="23" t="s">
        <v>81</v>
      </c>
      <c r="C27" s="8" t="s">
        <v>69</v>
      </c>
      <c r="D27" s="28">
        <v>1</v>
      </c>
      <c r="E27" s="23" t="s">
        <v>53</v>
      </c>
      <c r="F27" s="23">
        <f>8340/9.81</f>
        <v>850.15290519877669</v>
      </c>
      <c r="G27" s="23">
        <v>4</v>
      </c>
      <c r="H27" s="23" t="s">
        <v>54</v>
      </c>
      <c r="I27" s="23">
        <v>0.56999999999999995</v>
      </c>
      <c r="J27" s="23">
        <f t="shared" si="25"/>
        <v>1744513.7614678899</v>
      </c>
      <c r="K27" s="23">
        <v>60</v>
      </c>
      <c r="L27" s="23">
        <f t="shared" si="26"/>
        <v>48</v>
      </c>
      <c r="M27" s="23">
        <f>K27-2*G27-VLOOKUP(Y27,鋼筋號數!$A$3:$C$13,2,FALSE)</f>
        <v>50.73</v>
      </c>
      <c r="N27" s="23">
        <v>60</v>
      </c>
      <c r="O27" s="23">
        <f t="shared" si="27"/>
        <v>3600</v>
      </c>
      <c r="P27" s="23">
        <v>180</v>
      </c>
      <c r="Q27" s="23">
        <v>180</v>
      </c>
      <c r="R27" s="4" t="s">
        <v>14</v>
      </c>
      <c r="S27" s="4"/>
      <c r="T27" s="23">
        <v>16</v>
      </c>
      <c r="U27" s="23">
        <f t="shared" si="28"/>
        <v>7584.0978593272166</v>
      </c>
      <c r="V27" s="23"/>
      <c r="W27" s="20">
        <f t="shared" si="3"/>
        <v>2.2999999999999998</v>
      </c>
      <c r="X27" s="23">
        <f>VLOOKUP(R27,鋼筋號數!$A$3:$C$13,3,FALSE)*T27</f>
        <v>81.12</v>
      </c>
      <c r="Y27" s="4" t="s">
        <v>10</v>
      </c>
      <c r="Z27" s="23">
        <v>5</v>
      </c>
      <c r="AA27" s="23">
        <v>5</v>
      </c>
      <c r="AB27" s="23">
        <v>14</v>
      </c>
      <c r="AC27" s="27">
        <v>14</v>
      </c>
      <c r="AD27" s="23">
        <f t="shared" si="29"/>
        <v>8328.2364933741082</v>
      </c>
      <c r="AE27" s="23"/>
      <c r="AF27" s="23" t="s">
        <v>55</v>
      </c>
      <c r="AG27" s="23">
        <v>135</v>
      </c>
      <c r="AH27" s="23">
        <f>VLOOKUP(Y27,鋼筋號數!$A$3:$C$13,3,FALSE)*Z27</f>
        <v>6.35</v>
      </c>
      <c r="AI27" s="20">
        <f>ROUND(VLOOKUP(Y27,鋼筋號數!$A$3:$C$13,3,FALSE)*Z27/AB27/(N27-2*G27-VLOOKUP(Y27,鋼筋號數!$A$3:$C$13,2,FALSE))*100,2)</f>
        <v>0.89</v>
      </c>
      <c r="AJ27" s="11"/>
      <c r="AK27" s="11">
        <v>5.0000000000000001E-3</v>
      </c>
      <c r="AL27" s="11">
        <v>0.9</v>
      </c>
      <c r="AM27" s="11">
        <v>1</v>
      </c>
      <c r="AN27" s="29">
        <v>0.95</v>
      </c>
      <c r="AO27" s="11">
        <v>0.6</v>
      </c>
      <c r="AP27" s="11">
        <v>5.0000000000000001E-3</v>
      </c>
      <c r="AQ27" s="11">
        <v>6.0000000000000001E-3</v>
      </c>
      <c r="AR27" s="11">
        <v>0</v>
      </c>
      <c r="AS27" s="11" t="b">
        <f t="shared" ref="AS27:AS31" si="31">IF(OR(F27&gt;=700,AD27&gt;=5000,AH27&gt;=3),TRUE,"None")</f>
        <v>1</v>
      </c>
      <c r="AT27" s="11" t="s">
        <v>130</v>
      </c>
      <c r="AU27" s="18"/>
    </row>
    <row r="28" spans="1:47" x14ac:dyDescent="0.3">
      <c r="A28" s="12" t="s">
        <v>86</v>
      </c>
      <c r="B28" s="23" t="s">
        <v>87</v>
      </c>
      <c r="C28" s="8" t="s">
        <v>69</v>
      </c>
      <c r="D28" s="28">
        <v>1</v>
      </c>
      <c r="E28" s="23" t="s">
        <v>53</v>
      </c>
      <c r="F28" s="23">
        <f>8800/9.81</f>
        <v>897.04383282364927</v>
      </c>
      <c r="G28" s="23">
        <v>4</v>
      </c>
      <c r="H28" s="23" t="s">
        <v>54</v>
      </c>
      <c r="I28" s="23">
        <v>0.28999999999999998</v>
      </c>
      <c r="J28" s="23">
        <f>I28*(O28)*F28</f>
        <v>936513.76146788988</v>
      </c>
      <c r="K28" s="23">
        <v>60</v>
      </c>
      <c r="L28" s="23">
        <f>K28*0.8</f>
        <v>48</v>
      </c>
      <c r="M28" s="23">
        <f>K28-2*G28-VLOOKUP(Y28,鋼筋號數!$A$3:$C$13,2,FALSE)</f>
        <v>50.73</v>
      </c>
      <c r="N28" s="23">
        <v>60</v>
      </c>
      <c r="O28" s="23">
        <f>K28*N28</f>
        <v>3600</v>
      </c>
      <c r="P28" s="23">
        <v>180</v>
      </c>
      <c r="Q28" s="23">
        <v>180</v>
      </c>
      <c r="R28" s="4" t="s">
        <v>14</v>
      </c>
      <c r="S28" s="4"/>
      <c r="T28" s="23">
        <v>16</v>
      </c>
      <c r="U28" s="23">
        <f>73500/9.81</f>
        <v>7492.3547400611615</v>
      </c>
      <c r="V28" s="23"/>
      <c r="W28" s="20">
        <f t="shared" si="3"/>
        <v>2.2999999999999998</v>
      </c>
      <c r="X28" s="23">
        <f>VLOOKUP(R28,鋼筋號數!$A$3:$C$13,3,FALSE)*T28</f>
        <v>81.12</v>
      </c>
      <c r="Y28" s="4" t="s">
        <v>10</v>
      </c>
      <c r="Z28" s="23">
        <v>5</v>
      </c>
      <c r="AA28" s="23">
        <v>5</v>
      </c>
      <c r="AB28" s="23">
        <v>10</v>
      </c>
      <c r="AC28" s="27">
        <v>10</v>
      </c>
      <c r="AD28" s="23">
        <f>81700/9.81</f>
        <v>8328.2364933741082</v>
      </c>
      <c r="AE28" s="23"/>
      <c r="AF28" s="23" t="s">
        <v>55</v>
      </c>
      <c r="AG28" s="23">
        <v>180</v>
      </c>
      <c r="AH28" s="23">
        <f>VLOOKUP(Y28,鋼筋號數!$A$3:$C$13,3,FALSE)*Z28</f>
        <v>6.35</v>
      </c>
      <c r="AI28" s="20">
        <f>ROUND(VLOOKUP(Y28,鋼筋號數!$A$3:$C$13,3,FALSE)*Z28/AB28/(N28-2*G28-VLOOKUP(Y28,鋼筋號數!$A$3:$C$13,2,FALSE))*100,2)</f>
        <v>1.25</v>
      </c>
      <c r="AJ28" s="11"/>
      <c r="AK28" s="11">
        <v>5.5E-2</v>
      </c>
      <c r="AL28" s="11">
        <v>0.7</v>
      </c>
      <c r="AM28" s="11">
        <v>1.1000000000000001</v>
      </c>
      <c r="AN28" s="11">
        <v>0.65</v>
      </c>
      <c r="AO28" s="11">
        <v>0.3</v>
      </c>
      <c r="AP28" s="11">
        <v>0.03</v>
      </c>
      <c r="AQ28" s="11">
        <v>0.01</v>
      </c>
      <c r="AR28" s="11">
        <v>0</v>
      </c>
      <c r="AS28" s="11" t="b">
        <f t="shared" si="31"/>
        <v>1</v>
      </c>
      <c r="AT28" s="11" t="s">
        <v>130</v>
      </c>
      <c r="AU28" s="18"/>
    </row>
    <row r="29" spans="1:47" x14ac:dyDescent="0.3">
      <c r="A29" s="12" t="s">
        <v>88</v>
      </c>
      <c r="B29" s="23" t="s">
        <v>87</v>
      </c>
      <c r="C29" s="8" t="s">
        <v>69</v>
      </c>
      <c r="D29" s="28">
        <v>1</v>
      </c>
      <c r="E29" s="23" t="s">
        <v>53</v>
      </c>
      <c r="F29" s="23">
        <f>9510/9.81</f>
        <v>969.41896024464825</v>
      </c>
      <c r="G29" s="23">
        <v>4</v>
      </c>
      <c r="H29" s="23" t="s">
        <v>54</v>
      </c>
      <c r="I29" s="23">
        <v>0.42</v>
      </c>
      <c r="J29" s="23">
        <f t="shared" ref="J29:J31" si="32">I29*(O29)*F29</f>
        <v>1465761.4678899082</v>
      </c>
      <c r="K29" s="23">
        <v>60</v>
      </c>
      <c r="L29" s="23">
        <f t="shared" ref="L29:L31" si="33">K29*0.8</f>
        <v>48</v>
      </c>
      <c r="M29" s="23">
        <f>K29-2*G29-VLOOKUP(Y29,鋼筋號數!$A$3:$C$13,2,FALSE)</f>
        <v>50.411999999999999</v>
      </c>
      <c r="N29" s="23">
        <v>60</v>
      </c>
      <c r="O29" s="23">
        <f t="shared" ref="O29:O31" si="34">K29*N29</f>
        <v>3600</v>
      </c>
      <c r="P29" s="23">
        <v>180</v>
      </c>
      <c r="Q29" s="23">
        <v>180</v>
      </c>
      <c r="R29" s="4" t="s">
        <v>14</v>
      </c>
      <c r="S29" s="4"/>
      <c r="T29" s="23">
        <v>16</v>
      </c>
      <c r="U29" s="23">
        <f t="shared" ref="U29:U31" si="35">73500/9.81</f>
        <v>7492.3547400611615</v>
      </c>
      <c r="V29" s="23"/>
      <c r="W29" s="20">
        <f t="shared" si="3"/>
        <v>2.2999999999999998</v>
      </c>
      <c r="X29" s="23">
        <f>VLOOKUP(R29,鋼筋號數!$A$3:$C$13,3,FALSE)*T29</f>
        <v>81.12</v>
      </c>
      <c r="Y29" s="4" t="s">
        <v>11</v>
      </c>
      <c r="Z29" s="23">
        <v>5</v>
      </c>
      <c r="AA29" s="23">
        <v>5</v>
      </c>
      <c r="AB29" s="23">
        <v>10</v>
      </c>
      <c r="AC29" s="27">
        <v>10</v>
      </c>
      <c r="AD29" s="23">
        <f t="shared" ref="AD29:AD31" si="36">81700/9.81</f>
        <v>8328.2364933741082</v>
      </c>
      <c r="AE29" s="23"/>
      <c r="AF29" s="23" t="s">
        <v>55</v>
      </c>
      <c r="AG29" s="23">
        <v>180</v>
      </c>
      <c r="AH29" s="23">
        <f>VLOOKUP(Y29,鋼筋號數!$A$3:$C$13,3,FALSE)*Z29</f>
        <v>9.9499999999999993</v>
      </c>
      <c r="AI29" s="20">
        <f>ROUND(VLOOKUP(Y29,鋼筋號數!$A$3:$C$13,3,FALSE)*Z29/AB29/(N29-2*G29-VLOOKUP(Y29,鋼筋號數!$A$3:$C$13,2,FALSE))*100,2)</f>
        <v>1.97</v>
      </c>
      <c r="AJ29" s="11"/>
      <c r="AK29" s="11">
        <v>2E-3</v>
      </c>
      <c r="AL29" s="11">
        <v>0.7</v>
      </c>
      <c r="AM29" s="11">
        <v>1</v>
      </c>
      <c r="AN29" s="11">
        <v>0.35</v>
      </c>
      <c r="AO29" s="11">
        <v>0.3</v>
      </c>
      <c r="AP29" s="11">
        <v>2.5000000000000001E-2</v>
      </c>
      <c r="AQ29" s="11">
        <v>2.3E-2</v>
      </c>
      <c r="AR29" s="11">
        <v>0</v>
      </c>
      <c r="AS29" s="11" t="b">
        <f t="shared" si="31"/>
        <v>1</v>
      </c>
      <c r="AT29" s="11" t="s">
        <v>130</v>
      </c>
      <c r="AU29" s="18"/>
    </row>
    <row r="30" spans="1:47" x14ac:dyDescent="0.3">
      <c r="A30" s="12" t="s">
        <v>89</v>
      </c>
      <c r="B30" s="23" t="s">
        <v>87</v>
      </c>
      <c r="C30" s="8" t="s">
        <v>69</v>
      </c>
      <c r="D30" s="28">
        <v>1</v>
      </c>
      <c r="E30" s="23" t="s">
        <v>53</v>
      </c>
      <c r="F30" s="23">
        <f>8850/9.81</f>
        <v>902.14067278287462</v>
      </c>
      <c r="G30" s="23">
        <v>4</v>
      </c>
      <c r="H30" s="23" t="s">
        <v>54</v>
      </c>
      <c r="I30" s="23">
        <v>0.46</v>
      </c>
      <c r="J30" s="23">
        <f t="shared" si="32"/>
        <v>1493944.9541284405</v>
      </c>
      <c r="K30" s="23">
        <v>60</v>
      </c>
      <c r="L30" s="23">
        <f t="shared" si="33"/>
        <v>48</v>
      </c>
      <c r="M30" s="23">
        <f>K30-2*G30-VLOOKUP(Y30,鋼筋號數!$A$3:$C$13,2,FALSE)</f>
        <v>50.411999999999999</v>
      </c>
      <c r="N30" s="23">
        <v>60</v>
      </c>
      <c r="O30" s="23">
        <f t="shared" si="34"/>
        <v>3600</v>
      </c>
      <c r="P30" s="23">
        <v>180</v>
      </c>
      <c r="Q30" s="23">
        <v>180</v>
      </c>
      <c r="R30" s="4" t="s">
        <v>14</v>
      </c>
      <c r="S30" s="4"/>
      <c r="T30" s="23">
        <v>16</v>
      </c>
      <c r="U30" s="23">
        <f t="shared" si="35"/>
        <v>7492.3547400611615</v>
      </c>
      <c r="V30" s="23"/>
      <c r="W30" s="20">
        <f t="shared" si="3"/>
        <v>2.2999999999999998</v>
      </c>
      <c r="X30" s="23">
        <f>VLOOKUP(R30,鋼筋號數!$A$3:$C$13,3,FALSE)*T30</f>
        <v>81.12</v>
      </c>
      <c r="Y30" s="4" t="s">
        <v>11</v>
      </c>
      <c r="Z30" s="23">
        <v>5</v>
      </c>
      <c r="AA30" s="23">
        <v>5</v>
      </c>
      <c r="AB30" s="23">
        <v>10</v>
      </c>
      <c r="AC30" s="27">
        <v>10</v>
      </c>
      <c r="AD30" s="23">
        <f t="shared" si="36"/>
        <v>8328.2364933741082</v>
      </c>
      <c r="AE30" s="23"/>
      <c r="AF30" s="23" t="s">
        <v>55</v>
      </c>
      <c r="AG30" s="23">
        <v>135</v>
      </c>
      <c r="AH30" s="23">
        <f>VLOOKUP(Y30,鋼筋號數!$A$3:$C$13,3,FALSE)*Z30</f>
        <v>9.9499999999999993</v>
      </c>
      <c r="AI30" s="20">
        <f>ROUND(VLOOKUP(Y30,鋼筋號數!$A$3:$C$13,3,FALSE)*Z30/AB30/(N30-2*G30-VLOOKUP(Y30,鋼筋號數!$A$3:$C$13,2,FALSE))*100,2)</f>
        <v>1.97</v>
      </c>
      <c r="AJ30" s="11"/>
      <c r="AK30" s="11">
        <v>2E-3</v>
      </c>
      <c r="AL30" s="11">
        <v>0.8</v>
      </c>
      <c r="AM30" s="11">
        <v>1</v>
      </c>
      <c r="AN30" s="11">
        <v>0.5</v>
      </c>
      <c r="AO30" s="11">
        <v>0.3</v>
      </c>
      <c r="AP30" s="11">
        <v>0.02</v>
      </c>
      <c r="AQ30" s="11">
        <v>0.01</v>
      </c>
      <c r="AR30" s="11">
        <v>0</v>
      </c>
      <c r="AS30" s="11" t="b">
        <f t="shared" si="31"/>
        <v>1</v>
      </c>
      <c r="AT30" s="11" t="s">
        <v>130</v>
      </c>
      <c r="AU30" s="18"/>
    </row>
    <row r="31" spans="1:47" x14ac:dyDescent="0.3">
      <c r="A31" s="12" t="s">
        <v>90</v>
      </c>
      <c r="B31" s="23" t="s">
        <v>87</v>
      </c>
      <c r="C31" s="8" t="s">
        <v>69</v>
      </c>
      <c r="D31" s="28">
        <v>1</v>
      </c>
      <c r="E31" s="23" t="s">
        <v>53</v>
      </c>
      <c r="F31" s="23">
        <f>9340/9.81</f>
        <v>952.08970438328231</v>
      </c>
      <c r="G31" s="23">
        <v>4</v>
      </c>
      <c r="H31" s="23" t="s">
        <v>54</v>
      </c>
      <c r="I31" s="23">
        <v>0.43</v>
      </c>
      <c r="J31" s="23">
        <f t="shared" si="32"/>
        <v>1473834.8623853209</v>
      </c>
      <c r="K31" s="23">
        <v>60</v>
      </c>
      <c r="L31" s="23">
        <f t="shared" si="33"/>
        <v>48</v>
      </c>
      <c r="M31" s="23">
        <f>K31-2*G31-VLOOKUP(Y31,鋼筋號數!$A$3:$C$13,2,FALSE)</f>
        <v>50.411999999999999</v>
      </c>
      <c r="N31" s="23">
        <v>60</v>
      </c>
      <c r="O31" s="23">
        <f t="shared" si="34"/>
        <v>3600</v>
      </c>
      <c r="P31" s="23">
        <v>180</v>
      </c>
      <c r="Q31" s="23">
        <v>180</v>
      </c>
      <c r="R31" s="4" t="s">
        <v>14</v>
      </c>
      <c r="S31" s="4"/>
      <c r="T31" s="23">
        <v>16</v>
      </c>
      <c r="U31" s="23">
        <f t="shared" si="35"/>
        <v>7492.3547400611615</v>
      </c>
      <c r="V31" s="23"/>
      <c r="W31" s="20">
        <f t="shared" si="3"/>
        <v>2.2999999999999998</v>
      </c>
      <c r="X31" s="23">
        <f>VLOOKUP(R31,鋼筋號數!$A$3:$C$13,3,FALSE)*T31</f>
        <v>81.12</v>
      </c>
      <c r="Y31" s="4" t="s">
        <v>11</v>
      </c>
      <c r="Z31" s="23">
        <v>5</v>
      </c>
      <c r="AA31" s="23">
        <v>5</v>
      </c>
      <c r="AB31" s="23">
        <v>10</v>
      </c>
      <c r="AC31" s="27">
        <v>10</v>
      </c>
      <c r="AD31" s="23">
        <f t="shared" si="36"/>
        <v>8328.2364933741082</v>
      </c>
      <c r="AE31" s="23"/>
      <c r="AF31" s="23" t="s">
        <v>55</v>
      </c>
      <c r="AG31" s="23">
        <v>180</v>
      </c>
      <c r="AH31" s="23">
        <f>VLOOKUP(Y31,鋼筋號數!$A$3:$C$13,3,FALSE)*Z31</f>
        <v>9.9499999999999993</v>
      </c>
      <c r="AI31" s="20">
        <f>ROUND(VLOOKUP(Y31,鋼筋號數!$A$3:$C$13,3,FALSE)*Z31/AB31/(N31-2*G31-VLOOKUP(Y31,鋼筋號數!$A$3:$C$13,2,FALSE))*100,2)</f>
        <v>1.97</v>
      </c>
      <c r="AJ31" s="11"/>
      <c r="AK31" s="11">
        <v>2.5000000000000001E-3</v>
      </c>
      <c r="AL31" s="11">
        <v>0.75</v>
      </c>
      <c r="AM31" s="11">
        <v>1</v>
      </c>
      <c r="AN31" s="11">
        <v>0.75</v>
      </c>
      <c r="AO31" s="11">
        <v>0.4</v>
      </c>
      <c r="AP31" s="11">
        <v>3.1E-2</v>
      </c>
      <c r="AQ31" s="11">
        <v>1.4999999999999999E-2</v>
      </c>
      <c r="AR31" s="11">
        <v>0</v>
      </c>
      <c r="AS31" s="11" t="b">
        <f t="shared" si="31"/>
        <v>1</v>
      </c>
      <c r="AT31" s="11" t="s">
        <v>130</v>
      </c>
      <c r="AU31" s="18"/>
    </row>
    <row r="32" spans="1:47" x14ac:dyDescent="0.3">
      <c r="A32" s="12" t="s">
        <v>91</v>
      </c>
      <c r="B32" s="23" t="s">
        <v>92</v>
      </c>
      <c r="C32" s="8" t="s">
        <v>69</v>
      </c>
      <c r="D32" s="28">
        <v>1</v>
      </c>
      <c r="E32" s="23" t="s">
        <v>53</v>
      </c>
      <c r="F32" s="23">
        <f>11400/9.81</f>
        <v>1162.0795107033639</v>
      </c>
      <c r="G32" s="23">
        <v>4</v>
      </c>
      <c r="H32" s="23" t="s">
        <v>54</v>
      </c>
      <c r="I32" s="23">
        <v>0.36</v>
      </c>
      <c r="J32" s="23">
        <f>I32*(O32)*F32</f>
        <v>1506055.0458715595</v>
      </c>
      <c r="K32" s="23">
        <v>60</v>
      </c>
      <c r="L32" s="23">
        <f>K32*0.8</f>
        <v>48</v>
      </c>
      <c r="M32" s="23">
        <f>K32-2*G32-VLOOKUP(Y32,鋼筋號數!$A$3:$C$13,2,FALSE)</f>
        <v>50.411999999999999</v>
      </c>
      <c r="N32" s="23">
        <v>60</v>
      </c>
      <c r="O32" s="23">
        <f>K32*N32</f>
        <v>3600</v>
      </c>
      <c r="P32" s="23">
        <v>180</v>
      </c>
      <c r="Q32" s="23">
        <v>180</v>
      </c>
      <c r="R32" s="4" t="s">
        <v>14</v>
      </c>
      <c r="S32" s="4" t="s">
        <v>16</v>
      </c>
      <c r="T32" s="4">
        <v>16</v>
      </c>
      <c r="U32" s="23">
        <f>74400/9.81</f>
        <v>7584.0978593272166</v>
      </c>
      <c r="V32" s="23"/>
      <c r="W32" s="20">
        <f t="shared" si="3"/>
        <v>2.9</v>
      </c>
      <c r="X32" s="23">
        <f>VLOOKUP(R32,鋼筋號數!$A$3:$C$13,3,FALSE)*8+VLOOKUP(S32,鋼筋號數!$A$3:$C$13,3,FALSE)*8</f>
        <v>105.68</v>
      </c>
      <c r="Y32" s="4" t="s">
        <v>11</v>
      </c>
      <c r="Z32" s="23">
        <v>4</v>
      </c>
      <c r="AA32" s="23">
        <v>4</v>
      </c>
      <c r="AB32" s="23">
        <v>9</v>
      </c>
      <c r="AC32" s="27">
        <v>9</v>
      </c>
      <c r="AD32" s="23">
        <f>81600/9.81</f>
        <v>8318.0428134556569</v>
      </c>
      <c r="AE32" s="23"/>
      <c r="AF32" s="23" t="s">
        <v>118</v>
      </c>
      <c r="AG32" s="23">
        <v>135</v>
      </c>
      <c r="AH32" s="23">
        <f>VLOOKUP(Y32,鋼筋號數!$A$3:$C$13,3,FALSE)*Z32</f>
        <v>7.96</v>
      </c>
      <c r="AI32" s="20">
        <f>ROUND(VLOOKUP(Y32,鋼筋號數!$A$3:$C$13,3,FALSE)*Z32/AB32/(N32-2*G32-VLOOKUP(Y32,鋼筋號數!$A$3:$C$13,2,FALSE))*100,2)</f>
        <v>1.75</v>
      </c>
      <c r="AJ32" s="11"/>
      <c r="AK32" s="11">
        <v>6.0000000000000001E-3</v>
      </c>
      <c r="AL32" s="11">
        <v>0.7</v>
      </c>
      <c r="AM32" s="11">
        <v>1.2</v>
      </c>
      <c r="AN32" s="11">
        <v>0.6</v>
      </c>
      <c r="AO32" s="11">
        <v>0.6</v>
      </c>
      <c r="AP32" s="11">
        <v>2.8000000000000001E-2</v>
      </c>
      <c r="AQ32" s="11">
        <v>1.8E-3</v>
      </c>
      <c r="AR32" s="11">
        <v>0</v>
      </c>
      <c r="AS32" s="11" t="b">
        <f>IF(OR(F32&gt;=700,AD32&gt;=5000,AH32&gt;=3),TRUE,"None")</f>
        <v>1</v>
      </c>
      <c r="AT32" s="11" t="s">
        <v>130</v>
      </c>
      <c r="AU32" s="18"/>
    </row>
    <row r="33" spans="1:47" x14ac:dyDescent="0.3">
      <c r="A33" s="12" t="s">
        <v>93</v>
      </c>
      <c r="B33" s="23" t="s">
        <v>92</v>
      </c>
      <c r="C33" s="8" t="s">
        <v>69</v>
      </c>
      <c r="D33" s="28">
        <v>1</v>
      </c>
      <c r="E33" s="23" t="s">
        <v>53</v>
      </c>
      <c r="F33" s="23">
        <f>11400/9.81</f>
        <v>1162.0795107033639</v>
      </c>
      <c r="G33" s="23">
        <v>4</v>
      </c>
      <c r="H33" s="23" t="s">
        <v>54</v>
      </c>
      <c r="I33" s="23">
        <v>0.36</v>
      </c>
      <c r="J33" s="23">
        <f t="shared" ref="J33:J34" si="37">I33*(O33)*F33</f>
        <v>1506055.0458715595</v>
      </c>
      <c r="K33" s="23">
        <v>60</v>
      </c>
      <c r="L33" s="23">
        <f t="shared" ref="L33:L34" si="38">K33*0.8</f>
        <v>48</v>
      </c>
      <c r="M33" s="23">
        <f>K33-2*G33-VLOOKUP(Y33,鋼筋號數!$A$3:$C$13,2,FALSE)</f>
        <v>50.411999999999999</v>
      </c>
      <c r="N33" s="23">
        <v>60</v>
      </c>
      <c r="O33" s="23">
        <f t="shared" ref="O33:O34" si="39">K33*N33</f>
        <v>3600</v>
      </c>
      <c r="P33" s="23">
        <v>180</v>
      </c>
      <c r="Q33" s="23">
        <v>180</v>
      </c>
      <c r="R33" s="4" t="s">
        <v>14</v>
      </c>
      <c r="S33" s="4" t="s">
        <v>16</v>
      </c>
      <c r="T33" s="4">
        <v>16</v>
      </c>
      <c r="U33" s="23">
        <f t="shared" ref="U33:U34" si="40">74400/9.81</f>
        <v>7584.0978593272166</v>
      </c>
      <c r="V33" s="23"/>
      <c r="W33" s="20">
        <f t="shared" si="3"/>
        <v>2.9</v>
      </c>
      <c r="X33" s="23">
        <f>VLOOKUP(R33,鋼筋號數!$A$3:$C$13,3,FALSE)*8+VLOOKUP(S33,鋼筋號數!$A$3:$C$13,3,FALSE)*8</f>
        <v>105.68</v>
      </c>
      <c r="Y33" s="4" t="s">
        <v>94</v>
      </c>
      <c r="Z33" s="23">
        <v>4</v>
      </c>
      <c r="AA33" s="23">
        <v>4</v>
      </c>
      <c r="AB33" s="23">
        <v>9</v>
      </c>
      <c r="AC33" s="27">
        <v>9</v>
      </c>
      <c r="AD33" s="23">
        <f t="shared" ref="AD33:AD34" si="41">81600/9.81</f>
        <v>8318.0428134556569</v>
      </c>
      <c r="AE33" s="23"/>
      <c r="AF33" s="23" t="s">
        <v>114</v>
      </c>
      <c r="AG33" s="23">
        <v>135</v>
      </c>
      <c r="AH33" s="23">
        <f>VLOOKUP(Y33,鋼筋號數!$A$3:$C$13,3,FALSE)*Z33</f>
        <v>7.96</v>
      </c>
      <c r="AI33" s="20">
        <f>ROUND(VLOOKUP(Y33,鋼筋號數!$A$3:$C$13,3,FALSE)*Z33/AB33/(N33-2*G33-VLOOKUP(Y33,鋼筋號數!$A$3:$C$13,2,FALSE))*100,2)</f>
        <v>1.75</v>
      </c>
      <c r="AJ33" s="11"/>
      <c r="AK33" s="11">
        <v>6.0000000000000001E-3</v>
      </c>
      <c r="AL33" s="11">
        <v>0.65</v>
      </c>
      <c r="AM33" s="31">
        <v>1.1000000000000001</v>
      </c>
      <c r="AN33" s="31">
        <v>0.7</v>
      </c>
      <c r="AO33" s="31">
        <v>0.4</v>
      </c>
      <c r="AP33" s="11">
        <v>0.03</v>
      </c>
      <c r="AQ33" s="11">
        <v>1.4999999999999999E-2</v>
      </c>
      <c r="AR33" s="11">
        <v>0</v>
      </c>
      <c r="AS33" s="11" t="b">
        <f t="shared" ref="AS33:AS34" si="42">IF(OR(F33&gt;=700,AD33&gt;=5000,AH33&gt;=3),TRUE,"None")</f>
        <v>1</v>
      </c>
      <c r="AT33" s="11" t="s">
        <v>130</v>
      </c>
      <c r="AU33" s="18"/>
    </row>
    <row r="34" spans="1:47" x14ac:dyDescent="0.3">
      <c r="A34" s="12" t="s">
        <v>95</v>
      </c>
      <c r="B34" s="23" t="s">
        <v>92</v>
      </c>
      <c r="C34" s="8" t="s">
        <v>69</v>
      </c>
      <c r="D34" s="28">
        <v>1</v>
      </c>
      <c r="E34" s="23" t="s">
        <v>53</v>
      </c>
      <c r="F34" s="23">
        <f>11700/9.81</f>
        <v>1192.6605504587155</v>
      </c>
      <c r="G34" s="23">
        <v>4</v>
      </c>
      <c r="H34" s="23" t="s">
        <v>54</v>
      </c>
      <c r="I34" s="23">
        <v>0.35</v>
      </c>
      <c r="J34" s="23">
        <f t="shared" si="37"/>
        <v>1502752.2935779816</v>
      </c>
      <c r="K34" s="23">
        <v>60</v>
      </c>
      <c r="L34" s="23">
        <f t="shared" si="38"/>
        <v>48</v>
      </c>
      <c r="M34" s="23">
        <f>K34-2*G34-VLOOKUP(Y34,鋼筋號數!$A$3:$C$13,2,FALSE)</f>
        <v>50.411999999999999</v>
      </c>
      <c r="N34" s="23">
        <v>60</v>
      </c>
      <c r="O34" s="23">
        <f t="shared" si="39"/>
        <v>3600</v>
      </c>
      <c r="P34" s="23">
        <v>180</v>
      </c>
      <c r="Q34" s="23">
        <v>180</v>
      </c>
      <c r="R34" s="4" t="s">
        <v>14</v>
      </c>
      <c r="S34" s="4" t="s">
        <v>16</v>
      </c>
      <c r="T34" s="4">
        <v>16</v>
      </c>
      <c r="U34" s="23">
        <f t="shared" si="40"/>
        <v>7584.0978593272166</v>
      </c>
      <c r="V34" s="23"/>
      <c r="W34" s="20">
        <f t="shared" si="3"/>
        <v>2.9</v>
      </c>
      <c r="X34" s="23">
        <f>VLOOKUP(R34,鋼筋號數!$A$3:$C$13,3,FALSE)*8+VLOOKUP(S34,鋼筋號數!$A$3:$C$13,3,FALSE)*8</f>
        <v>105.68</v>
      </c>
      <c r="Y34" s="4" t="s">
        <v>94</v>
      </c>
      <c r="Z34" s="23">
        <v>4</v>
      </c>
      <c r="AA34" s="23">
        <v>4</v>
      </c>
      <c r="AB34" s="23">
        <v>9</v>
      </c>
      <c r="AC34" s="27">
        <v>9</v>
      </c>
      <c r="AD34" s="23">
        <f t="shared" si="41"/>
        <v>8318.0428134556569</v>
      </c>
      <c r="AE34" s="23"/>
      <c r="AF34" s="23" t="s">
        <v>114</v>
      </c>
      <c r="AG34" s="23">
        <v>180</v>
      </c>
      <c r="AH34" s="23">
        <f>VLOOKUP(Y34,鋼筋號數!$A$3:$C$13,3,FALSE)*Z34</f>
        <v>7.96</v>
      </c>
      <c r="AI34" s="20">
        <f>ROUND(VLOOKUP(Y34,鋼筋號數!$A$3:$C$13,3,FALSE)*Z34/AB34/(N34-2*G34-VLOOKUP(Y34,鋼筋號數!$A$3:$C$13,2,FALSE))*100,2)</f>
        <v>1.75</v>
      </c>
      <c r="AJ34" s="11"/>
      <c r="AK34" s="11">
        <v>6.0000000000000001E-3</v>
      </c>
      <c r="AL34" s="11">
        <v>0.7</v>
      </c>
      <c r="AM34" s="11">
        <v>1</v>
      </c>
      <c r="AN34" s="11">
        <v>0.8</v>
      </c>
      <c r="AO34" s="11">
        <v>0.3</v>
      </c>
      <c r="AP34" s="11">
        <v>2.8000000000000001E-2</v>
      </c>
      <c r="AQ34" s="11">
        <v>1.7999999999999999E-2</v>
      </c>
      <c r="AR34" s="11">
        <v>0</v>
      </c>
      <c r="AS34" s="11" t="b">
        <f t="shared" si="42"/>
        <v>1</v>
      </c>
      <c r="AT34" s="11" t="s">
        <v>130</v>
      </c>
      <c r="AU34" s="18"/>
    </row>
    <row r="35" spans="1:47" x14ac:dyDescent="0.3">
      <c r="A35" s="12" t="s">
        <v>96</v>
      </c>
      <c r="B35" s="23" t="s">
        <v>97</v>
      </c>
      <c r="C35" s="8" t="s">
        <v>69</v>
      </c>
      <c r="D35" s="28">
        <v>1</v>
      </c>
      <c r="E35" s="23" t="s">
        <v>53</v>
      </c>
      <c r="F35" s="23">
        <f>7540/9.81</f>
        <v>768.60346585117225</v>
      </c>
      <c r="G35" s="23">
        <v>4</v>
      </c>
      <c r="H35" s="23" t="s">
        <v>54</v>
      </c>
      <c r="I35" s="23">
        <v>0.46</v>
      </c>
      <c r="J35" s="23">
        <f>I35*(O35)*F35</f>
        <v>1272807.3394495412</v>
      </c>
      <c r="K35" s="23">
        <v>60</v>
      </c>
      <c r="L35" s="23">
        <f>K35*0.8</f>
        <v>48</v>
      </c>
      <c r="M35" s="23">
        <f>K35-2*G35-VLOOKUP(Y35,鋼筋號數!$A$3:$C$13,2,FALSE)</f>
        <v>50.73</v>
      </c>
      <c r="N35" s="23">
        <v>60</v>
      </c>
      <c r="O35" s="23">
        <f>K35*N35</f>
        <v>3600</v>
      </c>
      <c r="P35" s="23">
        <v>180</v>
      </c>
      <c r="Q35" s="23">
        <v>180</v>
      </c>
      <c r="R35" s="4" t="s">
        <v>14</v>
      </c>
      <c r="S35" s="4" t="s">
        <v>16</v>
      </c>
      <c r="T35" s="4">
        <v>16</v>
      </c>
      <c r="U35" s="23">
        <f>(71200/9.81+71600/9.81)/2</f>
        <v>7278.2874617736998</v>
      </c>
      <c r="V35" s="23"/>
      <c r="W35" s="20">
        <f t="shared" si="3"/>
        <v>2.6</v>
      </c>
      <c r="X35" s="23">
        <f>VLOOKUP(R35,鋼筋號數!$A$3:$C$13,3,FALSE)*12+VLOOKUP(S35,鋼筋號數!$A$3:$C$13,3,FALSE)*4</f>
        <v>93.4</v>
      </c>
      <c r="Y35" s="4" t="s">
        <v>10</v>
      </c>
      <c r="Z35" s="23">
        <v>5</v>
      </c>
      <c r="AA35" s="23">
        <v>5</v>
      </c>
      <c r="AB35" s="23">
        <v>9</v>
      </c>
      <c r="AC35" s="27">
        <v>9</v>
      </c>
      <c r="AD35" s="23">
        <f>83200/9.81</f>
        <v>8481.1416921508662</v>
      </c>
      <c r="AE35" s="23"/>
      <c r="AF35" s="23" t="s">
        <v>55</v>
      </c>
      <c r="AG35" s="23">
        <v>180</v>
      </c>
      <c r="AH35" s="23">
        <f>VLOOKUP(Y35,鋼筋號數!$A$3:$C$13,3,FALSE)*Z35</f>
        <v>6.35</v>
      </c>
      <c r="AI35" s="20">
        <f>ROUND(VLOOKUP(Y35,鋼筋號數!$A$3:$C$13,3,FALSE)*Z35/AB35/(N35-2*G35-VLOOKUP(Y35,鋼筋號數!$A$3:$C$13,2,FALSE))*100,2)</f>
        <v>1.39</v>
      </c>
      <c r="AJ35" s="11"/>
      <c r="AK35" s="11">
        <v>3.0000000000000001E-3</v>
      </c>
      <c r="AL35" s="11">
        <v>0.7</v>
      </c>
      <c r="AM35" s="11">
        <v>1.2</v>
      </c>
      <c r="AN35" s="11">
        <v>0.7</v>
      </c>
      <c r="AO35" s="11">
        <v>0.4</v>
      </c>
      <c r="AP35" s="11">
        <v>2.8000000000000001E-2</v>
      </c>
      <c r="AQ35" s="11">
        <v>0.02</v>
      </c>
      <c r="AR35" s="11">
        <v>0</v>
      </c>
      <c r="AS35" s="11" t="b">
        <f>IF(OR(F35&gt;=700,AD35&gt;=5000,AH35&gt;=3),TRUE,"None")</f>
        <v>1</v>
      </c>
      <c r="AT35" s="11" t="s">
        <v>130</v>
      </c>
      <c r="AU35" s="18"/>
    </row>
    <row r="36" spans="1:47" x14ac:dyDescent="0.3">
      <c r="A36" s="12" t="s">
        <v>98</v>
      </c>
      <c r="B36" s="23" t="s">
        <v>97</v>
      </c>
      <c r="C36" s="8" t="s">
        <v>69</v>
      </c>
      <c r="D36" s="28">
        <v>1</v>
      </c>
      <c r="E36" s="23" t="s">
        <v>53</v>
      </c>
      <c r="F36" s="23">
        <f>7550/9.81</f>
        <v>769.62283384301725</v>
      </c>
      <c r="G36" s="23">
        <v>4</v>
      </c>
      <c r="H36" s="23" t="s">
        <v>54</v>
      </c>
      <c r="I36" s="23">
        <v>0.46</v>
      </c>
      <c r="J36" s="23">
        <f t="shared" ref="J36:J45" si="43">I36*(O36)*F36</f>
        <v>1274495.4128440365</v>
      </c>
      <c r="K36" s="23">
        <v>60</v>
      </c>
      <c r="L36" s="23">
        <f t="shared" ref="L36:L38" si="44">K36*0.8</f>
        <v>48</v>
      </c>
      <c r="M36" s="23">
        <f>K36-2*G36-VLOOKUP(Y36,鋼筋號數!$A$3:$C$13,2,FALSE)</f>
        <v>50.73</v>
      </c>
      <c r="N36" s="23">
        <v>60</v>
      </c>
      <c r="O36" s="23">
        <f t="shared" ref="O36:O37" si="45">K36*N36</f>
        <v>3600</v>
      </c>
      <c r="P36" s="23">
        <v>180</v>
      </c>
      <c r="Q36" s="23">
        <v>180</v>
      </c>
      <c r="R36" s="4" t="s">
        <v>14</v>
      </c>
      <c r="S36" s="4" t="s">
        <v>16</v>
      </c>
      <c r="T36" s="4">
        <v>16</v>
      </c>
      <c r="U36" s="23">
        <f t="shared" ref="U36:U38" si="46">(71200/9.81+71600/9.81)/2</f>
        <v>7278.2874617736998</v>
      </c>
      <c r="V36" s="23"/>
      <c r="W36" s="20">
        <f t="shared" si="3"/>
        <v>2.6</v>
      </c>
      <c r="X36" s="23">
        <f>VLOOKUP(R36,鋼筋號數!$A$3:$C$13,3,FALSE)*12+VLOOKUP(S36,鋼筋號數!$A$3:$C$13,3,FALSE)*4</f>
        <v>93.4</v>
      </c>
      <c r="Y36" s="4" t="s">
        <v>10</v>
      </c>
      <c r="Z36" s="23">
        <v>5</v>
      </c>
      <c r="AA36" s="23">
        <v>5</v>
      </c>
      <c r="AB36" s="23">
        <v>9</v>
      </c>
      <c r="AC36" s="27">
        <v>9</v>
      </c>
      <c r="AD36" s="23">
        <f t="shared" ref="AD36:AD38" si="47">83200/9.81</f>
        <v>8481.1416921508662</v>
      </c>
      <c r="AE36" s="23"/>
      <c r="AF36" s="23" t="s">
        <v>114</v>
      </c>
      <c r="AG36" s="23">
        <v>180</v>
      </c>
      <c r="AH36" s="23">
        <f>VLOOKUP(Y36,鋼筋號數!$A$3:$C$13,3,FALSE)*Z36</f>
        <v>6.35</v>
      </c>
      <c r="AI36" s="20">
        <f>ROUND(VLOOKUP(Y36,鋼筋號數!$A$3:$C$13,3,FALSE)*Z36/AB36/(N36-2*G36-VLOOKUP(Y36,鋼筋號數!$A$3:$C$13,2,FALSE))*100,2)</f>
        <v>1.39</v>
      </c>
      <c r="AJ36" s="11" t="s">
        <v>116</v>
      </c>
      <c r="AK36" s="11">
        <v>3.0000000000000001E-3</v>
      </c>
      <c r="AL36" s="11">
        <v>0.7</v>
      </c>
      <c r="AM36" s="11">
        <v>1.1000000000000001</v>
      </c>
      <c r="AN36" s="11">
        <v>0.4</v>
      </c>
      <c r="AO36" s="11">
        <v>0.35</v>
      </c>
      <c r="AP36" s="11">
        <v>2.7E-2</v>
      </c>
      <c r="AQ36" s="11">
        <v>0.02</v>
      </c>
      <c r="AR36" s="11">
        <v>0</v>
      </c>
      <c r="AS36" s="11" t="b">
        <f t="shared" ref="AS36:AS38" si="48">IF(OR(F36&gt;=700,AD36&gt;=5000,AH36&gt;=3),TRUE,"None")</f>
        <v>1</v>
      </c>
      <c r="AT36" s="11" t="s">
        <v>130</v>
      </c>
      <c r="AU36" s="18"/>
    </row>
    <row r="37" spans="1:47" x14ac:dyDescent="0.3">
      <c r="A37" s="12" t="s">
        <v>99</v>
      </c>
      <c r="B37" s="23" t="s">
        <v>97</v>
      </c>
      <c r="C37" s="8" t="s">
        <v>69</v>
      </c>
      <c r="D37" s="28">
        <v>1</v>
      </c>
      <c r="E37" s="23" t="s">
        <v>53</v>
      </c>
      <c r="F37" s="23">
        <f>7690/9.81</f>
        <v>783.89398572884807</v>
      </c>
      <c r="G37" s="23">
        <v>4</v>
      </c>
      <c r="H37" s="23" t="s">
        <v>54</v>
      </c>
      <c r="I37" s="23">
        <v>0.45</v>
      </c>
      <c r="J37" s="23">
        <f t="shared" si="43"/>
        <v>1269908.2568807339</v>
      </c>
      <c r="K37" s="23">
        <v>60</v>
      </c>
      <c r="L37" s="23">
        <f t="shared" si="44"/>
        <v>48</v>
      </c>
      <c r="M37" s="23">
        <f>K37-2*G37-VLOOKUP(Y37,鋼筋號數!$A$3:$C$13,2,FALSE)</f>
        <v>50.73</v>
      </c>
      <c r="N37" s="23">
        <v>60</v>
      </c>
      <c r="O37" s="23">
        <f t="shared" si="45"/>
        <v>3600</v>
      </c>
      <c r="P37" s="23">
        <v>180</v>
      </c>
      <c r="Q37" s="23">
        <v>180</v>
      </c>
      <c r="R37" s="4" t="s">
        <v>14</v>
      </c>
      <c r="S37" s="4" t="s">
        <v>16</v>
      </c>
      <c r="T37" s="4">
        <v>16</v>
      </c>
      <c r="U37" s="23">
        <f t="shared" si="46"/>
        <v>7278.2874617736998</v>
      </c>
      <c r="V37" s="23"/>
      <c r="W37" s="20">
        <f t="shared" si="3"/>
        <v>2.6</v>
      </c>
      <c r="X37" s="23">
        <f>VLOOKUP(R37,鋼筋號數!$A$3:$C$13,3,FALSE)*12+VLOOKUP(S37,鋼筋號數!$A$3:$C$13,3,FALSE)*4</f>
        <v>93.4</v>
      </c>
      <c r="Y37" s="4" t="s">
        <v>10</v>
      </c>
      <c r="Z37" s="23">
        <v>5</v>
      </c>
      <c r="AA37" s="23">
        <v>5</v>
      </c>
      <c r="AB37" s="23">
        <v>9</v>
      </c>
      <c r="AC37" s="27">
        <v>9</v>
      </c>
      <c r="AD37" s="23">
        <f t="shared" si="47"/>
        <v>8481.1416921508662</v>
      </c>
      <c r="AE37" s="23"/>
      <c r="AF37" s="23" t="s">
        <v>55</v>
      </c>
      <c r="AG37" s="23">
        <v>180</v>
      </c>
      <c r="AH37" s="23">
        <f>VLOOKUP(Y37,鋼筋號數!$A$3:$C$13,3,FALSE)*Z37</f>
        <v>6.35</v>
      </c>
      <c r="AI37" s="20">
        <f>ROUND(VLOOKUP(Y37,鋼筋號數!$A$3:$C$13,3,FALSE)*Z37/AB37/(N37-2*G37-VLOOKUP(Y37,鋼筋號數!$A$3:$C$13,2,FALSE))*100,2)</f>
        <v>1.39</v>
      </c>
      <c r="AJ37" s="11"/>
      <c r="AK37" s="11">
        <v>3.5000000000000001E-3</v>
      </c>
      <c r="AL37" s="11">
        <v>0.7</v>
      </c>
      <c r="AM37" s="11">
        <v>1.1000000000000001</v>
      </c>
      <c r="AN37" s="11">
        <v>0.4</v>
      </c>
      <c r="AO37" s="11">
        <v>0.35</v>
      </c>
      <c r="AP37" s="11">
        <v>2.7E-2</v>
      </c>
      <c r="AQ37" s="11">
        <v>0.02</v>
      </c>
      <c r="AR37" s="11">
        <v>0</v>
      </c>
      <c r="AS37" s="11" t="b">
        <f t="shared" si="48"/>
        <v>1</v>
      </c>
      <c r="AT37" s="11" t="s">
        <v>130</v>
      </c>
      <c r="AU37" s="18"/>
    </row>
    <row r="38" spans="1:47" x14ac:dyDescent="0.3">
      <c r="A38" s="12" t="s">
        <v>100</v>
      </c>
      <c r="B38" s="23" t="s">
        <v>97</v>
      </c>
      <c r="C38" s="8" t="s">
        <v>69</v>
      </c>
      <c r="D38" s="28">
        <v>1</v>
      </c>
      <c r="E38" s="23" t="s">
        <v>53</v>
      </c>
      <c r="F38" s="23">
        <f>7590/9.81</f>
        <v>773.70030581039748</v>
      </c>
      <c r="G38" s="23">
        <v>4</v>
      </c>
      <c r="H38" s="23" t="s">
        <v>54</v>
      </c>
      <c r="I38" s="23">
        <v>0.45</v>
      </c>
      <c r="J38" s="23">
        <f t="shared" si="43"/>
        <v>1253394.495412844</v>
      </c>
      <c r="K38" s="23">
        <v>60</v>
      </c>
      <c r="L38" s="23">
        <f t="shared" si="44"/>
        <v>48</v>
      </c>
      <c r="M38" s="23">
        <f>K38-2*G38-VLOOKUP(Y38,鋼筋號數!$A$3:$C$13,2,FALSE)</f>
        <v>50.73</v>
      </c>
      <c r="N38" s="23">
        <v>60</v>
      </c>
      <c r="O38" s="23">
        <f>K38*N38</f>
        <v>3600</v>
      </c>
      <c r="P38" s="23">
        <v>180</v>
      </c>
      <c r="Q38" s="23">
        <v>180</v>
      </c>
      <c r="R38" s="4" t="s">
        <v>14</v>
      </c>
      <c r="S38" s="4" t="s">
        <v>16</v>
      </c>
      <c r="T38" s="4">
        <v>16</v>
      </c>
      <c r="U38" s="23">
        <f t="shared" si="46"/>
        <v>7278.2874617736998</v>
      </c>
      <c r="V38" s="23"/>
      <c r="W38" s="20">
        <f t="shared" si="3"/>
        <v>2.6</v>
      </c>
      <c r="X38" s="23">
        <f>VLOOKUP(R38,鋼筋號數!$A$3:$C$13,3,FALSE)*12+VLOOKUP(S38,鋼筋號數!$A$3:$C$13,3,FALSE)*4</f>
        <v>93.4</v>
      </c>
      <c r="Y38" s="4" t="s">
        <v>10</v>
      </c>
      <c r="Z38" s="23">
        <v>5</v>
      </c>
      <c r="AA38" s="23">
        <v>5</v>
      </c>
      <c r="AB38" s="23">
        <v>9</v>
      </c>
      <c r="AC38" s="27">
        <v>9</v>
      </c>
      <c r="AD38" s="23">
        <f t="shared" si="47"/>
        <v>8481.1416921508662</v>
      </c>
      <c r="AE38" s="23"/>
      <c r="AF38" s="23" t="s">
        <v>114</v>
      </c>
      <c r="AG38" s="23">
        <v>180</v>
      </c>
      <c r="AH38" s="23">
        <f>VLOOKUP(Y38,鋼筋號數!$A$3:$C$13,3,FALSE)*Z38</f>
        <v>6.35</v>
      </c>
      <c r="AI38" s="20">
        <f>ROUND(VLOOKUP(Y38,鋼筋號數!$A$3:$C$13,3,FALSE)*Z38/AB38/(N38-2*G38-VLOOKUP(Y38,鋼筋號數!$A$3:$C$13,2,FALSE))*100,2)</f>
        <v>1.39</v>
      </c>
      <c r="AJ38" s="11" t="s">
        <v>117</v>
      </c>
      <c r="AK38" s="11">
        <v>3.0000000000000001E-3</v>
      </c>
      <c r="AL38" s="11">
        <v>0.6</v>
      </c>
      <c r="AM38" s="11">
        <v>1</v>
      </c>
      <c r="AN38" s="11">
        <v>0.5</v>
      </c>
      <c r="AO38" s="11">
        <v>0.28000000000000003</v>
      </c>
      <c r="AP38" s="11">
        <v>1.7999999999999999E-2</v>
      </c>
      <c r="AQ38" s="11">
        <v>1.4999999999999999E-2</v>
      </c>
      <c r="AR38" s="11">
        <v>0</v>
      </c>
      <c r="AS38" s="11" t="b">
        <f t="shared" si="48"/>
        <v>1</v>
      </c>
      <c r="AT38" s="11" t="s">
        <v>130</v>
      </c>
      <c r="AU38" s="18"/>
    </row>
    <row r="39" spans="1:47" x14ac:dyDescent="0.3">
      <c r="A39" s="13" t="s">
        <v>103</v>
      </c>
      <c r="B39" s="8" t="s">
        <v>104</v>
      </c>
      <c r="C39" s="8" t="s">
        <v>69</v>
      </c>
      <c r="D39" s="28">
        <v>1</v>
      </c>
      <c r="E39" s="8" t="s">
        <v>53</v>
      </c>
      <c r="F39" s="8">
        <v>370</v>
      </c>
      <c r="G39" s="8">
        <v>4</v>
      </c>
      <c r="H39" s="8" t="s">
        <v>54</v>
      </c>
      <c r="I39" s="8">
        <v>0.1</v>
      </c>
      <c r="J39" s="8">
        <f t="shared" si="43"/>
        <v>59200</v>
      </c>
      <c r="K39" s="8">
        <v>40</v>
      </c>
      <c r="L39" s="8">
        <f>0.8*K39</f>
        <v>32</v>
      </c>
      <c r="M39" s="23">
        <f>K39-2*G39-VLOOKUP(Y39,鋼筋號數!$A$3:$C$13,2,FALSE)</f>
        <v>31.047000000000001</v>
      </c>
      <c r="N39" s="8">
        <v>40</v>
      </c>
      <c r="O39" s="8">
        <f>K39*N39</f>
        <v>1600</v>
      </c>
      <c r="P39" s="8">
        <v>180</v>
      </c>
      <c r="Q39" s="8">
        <v>180</v>
      </c>
      <c r="R39" s="1" t="s">
        <v>13</v>
      </c>
      <c r="S39" s="1"/>
      <c r="T39" s="8">
        <v>12</v>
      </c>
      <c r="U39" s="8">
        <v>4941</v>
      </c>
      <c r="V39" s="8">
        <v>7084.81</v>
      </c>
      <c r="W39" s="20">
        <f t="shared" si="3"/>
        <v>2.9</v>
      </c>
      <c r="X39" s="23">
        <f>VLOOKUP(R39,鋼筋號數!$A$3:$C$13,3,FALSE)*T39</f>
        <v>46.44</v>
      </c>
      <c r="Y39" s="1" t="s">
        <v>9</v>
      </c>
      <c r="Z39" s="8">
        <v>4</v>
      </c>
      <c r="AA39" s="8">
        <v>2</v>
      </c>
      <c r="AB39" s="8">
        <v>15</v>
      </c>
      <c r="AC39" s="8">
        <v>15</v>
      </c>
      <c r="AD39" s="8">
        <v>3582.89</v>
      </c>
      <c r="AE39" s="8">
        <v>4713.1099999999997</v>
      </c>
      <c r="AF39" s="8" t="s">
        <v>55</v>
      </c>
      <c r="AG39" s="8">
        <v>135</v>
      </c>
      <c r="AH39" s="23">
        <f>VLOOKUP(Y39,鋼筋號數!$A$3:$C$13,3,FALSE)*Z39</f>
        <v>2.84</v>
      </c>
      <c r="AI39" s="20">
        <f>ROUND(VLOOKUP(Y39,鋼筋號數!$A$3:$C$13,3,FALSE)*Z39/AB39/(N39-2*G39-VLOOKUP(Y39,鋼筋號數!$A$3:$C$13,2,FALSE))*100,2)</f>
        <v>0.61</v>
      </c>
      <c r="AJ39" s="11"/>
      <c r="AK39" s="11">
        <v>3.5000000000000001E-3</v>
      </c>
      <c r="AL39" s="11">
        <v>0.9</v>
      </c>
      <c r="AM39" s="11">
        <v>1.3</v>
      </c>
      <c r="AN39" s="11">
        <v>0.5</v>
      </c>
      <c r="AO39" s="11">
        <v>0.7</v>
      </c>
      <c r="AP39" s="11">
        <v>5.5E-2</v>
      </c>
      <c r="AQ39" s="11">
        <v>0.03</v>
      </c>
      <c r="AR39" s="11">
        <v>0</v>
      </c>
      <c r="AS39" s="11" t="str">
        <f>IF(OR(F39&gt;=700,AD39&gt;=5000,AH39&gt;=3),TRUE,"None")</f>
        <v>None</v>
      </c>
      <c r="AT39" s="11" t="b">
        <v>1</v>
      </c>
      <c r="AU39" s="18"/>
    </row>
    <row r="40" spans="1:47" x14ac:dyDescent="0.3">
      <c r="A40" s="13" t="s">
        <v>105</v>
      </c>
      <c r="B40" s="8" t="s">
        <v>104</v>
      </c>
      <c r="C40" s="8" t="s">
        <v>69</v>
      </c>
      <c r="D40" s="28">
        <v>1</v>
      </c>
      <c r="E40" s="8" t="s">
        <v>53</v>
      </c>
      <c r="F40" s="8">
        <v>346</v>
      </c>
      <c r="G40" s="8">
        <v>4</v>
      </c>
      <c r="H40" s="8" t="s">
        <v>54</v>
      </c>
      <c r="I40" s="8">
        <v>0.1</v>
      </c>
      <c r="J40" s="8">
        <f t="shared" si="43"/>
        <v>55360</v>
      </c>
      <c r="K40" s="8">
        <v>40</v>
      </c>
      <c r="L40" s="8">
        <f t="shared" ref="L40:L44" si="49">0.8*K40</f>
        <v>32</v>
      </c>
      <c r="M40" s="23">
        <f>K40-2*G40-VLOOKUP(Y40,鋼筋號數!$A$3:$C$13,2,FALSE)</f>
        <v>31.047000000000001</v>
      </c>
      <c r="N40" s="8">
        <v>40</v>
      </c>
      <c r="O40" s="8">
        <f t="shared" ref="O40:O44" si="50">K40*N40</f>
        <v>1600</v>
      </c>
      <c r="P40" s="8">
        <v>180</v>
      </c>
      <c r="Q40" s="8">
        <v>180</v>
      </c>
      <c r="R40" s="1" t="s">
        <v>13</v>
      </c>
      <c r="S40" s="1"/>
      <c r="T40" s="8">
        <v>12</v>
      </c>
      <c r="U40" s="8">
        <v>4941</v>
      </c>
      <c r="V40" s="8">
        <v>7084.81</v>
      </c>
      <c r="W40" s="20">
        <f t="shared" si="3"/>
        <v>2.9</v>
      </c>
      <c r="X40" s="23">
        <f>VLOOKUP(R40,鋼筋號數!$A$3:$C$13,3,FALSE)*T40</f>
        <v>46.44</v>
      </c>
      <c r="Y40" s="1" t="s">
        <v>9</v>
      </c>
      <c r="Z40" s="8">
        <v>2</v>
      </c>
      <c r="AA40" s="8">
        <v>2</v>
      </c>
      <c r="AB40" s="8">
        <v>15</v>
      </c>
      <c r="AC40" s="8">
        <v>15</v>
      </c>
      <c r="AD40" s="8">
        <v>3582.89</v>
      </c>
      <c r="AE40" s="8">
        <v>4713.1099999999997</v>
      </c>
      <c r="AF40" s="8" t="s">
        <v>55</v>
      </c>
      <c r="AG40" s="8">
        <v>135</v>
      </c>
      <c r="AH40" s="23">
        <f>VLOOKUP(Y40,鋼筋號數!$A$3:$C$13,3,FALSE)*Z40</f>
        <v>1.42</v>
      </c>
      <c r="AI40" s="20">
        <f>ROUND(VLOOKUP(Y40,鋼筋號數!$A$3:$C$13,3,FALSE)*Z40/AB40/(N40-2*G40-VLOOKUP(Y40,鋼筋號數!$A$3:$C$13,2,FALSE))*100,2)</f>
        <v>0.3</v>
      </c>
      <c r="AJ40" s="11"/>
      <c r="AK40" s="11">
        <f>0.01*0.3</f>
        <v>3.0000000000000001E-3</v>
      </c>
      <c r="AL40" s="11">
        <v>0.8</v>
      </c>
      <c r="AM40" s="11">
        <v>1</v>
      </c>
      <c r="AN40" s="11">
        <v>0.7</v>
      </c>
      <c r="AO40" s="11">
        <v>0.6</v>
      </c>
      <c r="AP40" s="11">
        <v>4.8000000000000001E-2</v>
      </c>
      <c r="AQ40" s="11">
        <v>1.4999999999999999E-2</v>
      </c>
      <c r="AR40" s="11">
        <v>0</v>
      </c>
      <c r="AS40" s="11" t="str">
        <f t="shared" ref="AS40:AS41" si="51">IF(OR(F40&gt;=700,AD40&gt;=5000,AH40&gt;=3),TRUE,"None")</f>
        <v>None</v>
      </c>
      <c r="AT40" s="11" t="b">
        <v>1</v>
      </c>
      <c r="AU40" s="18"/>
    </row>
    <row r="41" spans="1:47" x14ac:dyDescent="0.3">
      <c r="A41" s="13" t="s">
        <v>106</v>
      </c>
      <c r="B41" s="8" t="s">
        <v>104</v>
      </c>
      <c r="C41" s="8" t="s">
        <v>69</v>
      </c>
      <c r="D41" s="10">
        <v>0</v>
      </c>
      <c r="E41" s="8" t="s">
        <v>54</v>
      </c>
      <c r="F41" s="8">
        <v>341</v>
      </c>
      <c r="G41" s="8">
        <v>4</v>
      </c>
      <c r="H41" s="8" t="s">
        <v>54</v>
      </c>
      <c r="I41" s="8">
        <v>0.1</v>
      </c>
      <c r="J41" s="8">
        <f t="shared" si="43"/>
        <v>54560</v>
      </c>
      <c r="K41" s="8">
        <v>40</v>
      </c>
      <c r="L41" s="8">
        <f t="shared" si="49"/>
        <v>32</v>
      </c>
      <c r="M41" s="23">
        <f>K41-2*G41-VLOOKUP(Y41,鋼筋號數!$A$3:$C$13,2,FALSE)</f>
        <v>31.047000000000001</v>
      </c>
      <c r="N41" s="8">
        <v>40</v>
      </c>
      <c r="O41" s="8">
        <f t="shared" si="50"/>
        <v>1600</v>
      </c>
      <c r="P41" s="8">
        <v>180</v>
      </c>
      <c r="Q41" s="8">
        <v>180</v>
      </c>
      <c r="R41" s="1" t="s">
        <v>13</v>
      </c>
      <c r="S41" s="1"/>
      <c r="T41" s="8">
        <v>12</v>
      </c>
      <c r="U41" s="8">
        <v>4941</v>
      </c>
      <c r="V41" s="8">
        <v>7084.81</v>
      </c>
      <c r="W41" s="20">
        <f t="shared" si="3"/>
        <v>2.9</v>
      </c>
      <c r="X41" s="23">
        <f>VLOOKUP(R41,鋼筋號數!$A$3:$C$13,3,FALSE)*T41</f>
        <v>46.44</v>
      </c>
      <c r="Y41" s="1" t="s">
        <v>9</v>
      </c>
      <c r="Z41" s="8">
        <v>2</v>
      </c>
      <c r="AA41" s="8">
        <v>2</v>
      </c>
      <c r="AB41" s="8">
        <v>30</v>
      </c>
      <c r="AC41" s="8">
        <v>30</v>
      </c>
      <c r="AD41" s="8">
        <v>3582.89</v>
      </c>
      <c r="AE41" s="8">
        <v>4713.1099999999997</v>
      </c>
      <c r="AF41" s="8" t="s">
        <v>55</v>
      </c>
      <c r="AG41" s="8">
        <v>135</v>
      </c>
      <c r="AH41" s="23">
        <f>VLOOKUP(Y41,鋼筋號數!$A$3:$C$13,3,FALSE)*Z41</f>
        <v>1.42</v>
      </c>
      <c r="AI41" s="20">
        <f>ROUND(VLOOKUP(Y41,鋼筋號數!$A$3:$C$13,3,FALSE)*Z41/AB41/(N41-2*G41-VLOOKUP(Y41,鋼筋號數!$A$3:$C$13,2,FALSE))*100,2)</f>
        <v>0.15</v>
      </c>
      <c r="AJ41" s="11"/>
      <c r="AK41" s="11">
        <f>0.06*0.3</f>
        <v>1.7999999999999999E-2</v>
      </c>
      <c r="AL41" s="11">
        <v>0.7</v>
      </c>
      <c r="AM41" s="11">
        <v>1</v>
      </c>
      <c r="AN41" s="11">
        <v>0.5</v>
      </c>
      <c r="AO41" s="11">
        <v>0.5</v>
      </c>
      <c r="AP41" s="11">
        <v>2.3E-2</v>
      </c>
      <c r="AQ41" s="11">
        <v>0.02</v>
      </c>
      <c r="AR41" s="11">
        <v>0</v>
      </c>
      <c r="AS41" s="11" t="str">
        <f t="shared" si="51"/>
        <v>None</v>
      </c>
      <c r="AT41" s="11" t="b">
        <v>1</v>
      </c>
      <c r="AU41" s="18"/>
    </row>
    <row r="42" spans="1:47" x14ac:dyDescent="0.3">
      <c r="A42" s="13" t="s">
        <v>107</v>
      </c>
      <c r="B42" s="8" t="s">
        <v>104</v>
      </c>
      <c r="C42" s="8" t="s">
        <v>69</v>
      </c>
      <c r="D42" s="17">
        <v>1</v>
      </c>
      <c r="E42" s="8" t="s">
        <v>53</v>
      </c>
      <c r="F42" s="8">
        <v>331</v>
      </c>
      <c r="G42" s="8">
        <v>4</v>
      </c>
      <c r="H42" s="8" t="s">
        <v>54</v>
      </c>
      <c r="I42" s="8">
        <v>0.2</v>
      </c>
      <c r="J42" s="8">
        <f t="shared" si="43"/>
        <v>105920</v>
      </c>
      <c r="K42" s="8">
        <v>40</v>
      </c>
      <c r="L42" s="8">
        <f t="shared" si="49"/>
        <v>32</v>
      </c>
      <c r="M42" s="23">
        <f>K42-2*G42-VLOOKUP(Y42,鋼筋號數!$A$3:$C$13,2,FALSE)</f>
        <v>31.047000000000001</v>
      </c>
      <c r="N42" s="8">
        <v>40</v>
      </c>
      <c r="O42" s="8">
        <f t="shared" si="50"/>
        <v>1600</v>
      </c>
      <c r="P42" s="8">
        <v>180</v>
      </c>
      <c r="Q42" s="8">
        <v>180</v>
      </c>
      <c r="R42" s="1" t="s">
        <v>13</v>
      </c>
      <c r="S42" s="1"/>
      <c r="T42" s="8">
        <v>12</v>
      </c>
      <c r="U42" s="8">
        <v>4941</v>
      </c>
      <c r="V42" s="8">
        <v>7084.81</v>
      </c>
      <c r="W42" s="20">
        <f t="shared" si="3"/>
        <v>2.9</v>
      </c>
      <c r="X42" s="23">
        <f>VLOOKUP(R42,鋼筋號數!$A$3:$C$13,3,FALSE)*T42</f>
        <v>46.44</v>
      </c>
      <c r="Y42" s="1" t="s">
        <v>9</v>
      </c>
      <c r="Z42" s="8">
        <v>4</v>
      </c>
      <c r="AA42" s="8">
        <v>2</v>
      </c>
      <c r="AB42" s="8">
        <v>15</v>
      </c>
      <c r="AC42" s="8">
        <v>15</v>
      </c>
      <c r="AD42" s="8">
        <v>3582.89</v>
      </c>
      <c r="AE42" s="8">
        <v>4713.1099999999997</v>
      </c>
      <c r="AF42" s="8" t="s">
        <v>55</v>
      </c>
      <c r="AG42" s="8">
        <v>135</v>
      </c>
      <c r="AH42" s="23">
        <f>VLOOKUP(Y42,鋼筋號數!$A$3:$C$13,3,FALSE)*Z42</f>
        <v>2.84</v>
      </c>
      <c r="AI42" s="20">
        <f>ROUND(VLOOKUP(Y42,鋼筋號數!$A$3:$C$13,3,FALSE)*Z42/AB42/(N42-2*G42-VLOOKUP(Y42,鋼筋號數!$A$3:$C$13,2,FALSE))*100,2)</f>
        <v>0.61</v>
      </c>
      <c r="AJ42" s="11"/>
      <c r="AK42" s="11">
        <v>8.0000000000000002E-3</v>
      </c>
      <c r="AL42" s="11">
        <v>0.65</v>
      </c>
      <c r="AM42" s="11">
        <v>1</v>
      </c>
      <c r="AN42" s="11">
        <v>0.8</v>
      </c>
      <c r="AO42" s="31">
        <v>0.55000000000000004</v>
      </c>
      <c r="AP42" s="11">
        <v>4.9000000000000002E-2</v>
      </c>
      <c r="AQ42" s="11">
        <v>1.4999999999999999E-2</v>
      </c>
      <c r="AR42" s="11">
        <v>0</v>
      </c>
      <c r="AS42" s="11" t="str">
        <f>IF(OR(F42&gt;=700,AD42&gt;=5000,AH42&gt;=3),TRUE,"None")</f>
        <v>None</v>
      </c>
      <c r="AT42" s="11" t="b">
        <v>1</v>
      </c>
      <c r="AU42" s="18"/>
    </row>
    <row r="43" spans="1:47" x14ac:dyDescent="0.3">
      <c r="A43" s="13" t="s">
        <v>108</v>
      </c>
      <c r="B43" s="8" t="s">
        <v>104</v>
      </c>
      <c r="C43" s="8" t="s">
        <v>69</v>
      </c>
      <c r="D43" s="8">
        <v>1</v>
      </c>
      <c r="E43" s="8" t="s">
        <v>53</v>
      </c>
      <c r="F43" s="8">
        <v>308</v>
      </c>
      <c r="G43" s="8">
        <v>4</v>
      </c>
      <c r="H43" s="8" t="s">
        <v>54</v>
      </c>
      <c r="I43" s="8">
        <v>0.2</v>
      </c>
      <c r="J43" s="8">
        <f t="shared" si="43"/>
        <v>98560</v>
      </c>
      <c r="K43" s="8">
        <v>40</v>
      </c>
      <c r="L43" s="8">
        <f t="shared" si="49"/>
        <v>32</v>
      </c>
      <c r="M43" s="23">
        <f>K43-2*G43-VLOOKUP(Y43,鋼筋號數!$A$3:$C$13,2,FALSE)</f>
        <v>31.047000000000001</v>
      </c>
      <c r="N43" s="8">
        <v>40</v>
      </c>
      <c r="O43" s="8">
        <f t="shared" si="50"/>
        <v>1600</v>
      </c>
      <c r="P43" s="8">
        <v>180</v>
      </c>
      <c r="Q43" s="8">
        <v>180</v>
      </c>
      <c r="R43" s="1" t="s">
        <v>13</v>
      </c>
      <c r="S43" s="1"/>
      <c r="T43" s="8">
        <v>12</v>
      </c>
      <c r="U43" s="8">
        <v>4941</v>
      </c>
      <c r="V43" s="8">
        <v>7084.81</v>
      </c>
      <c r="W43" s="20">
        <f t="shared" si="3"/>
        <v>2.9</v>
      </c>
      <c r="X43" s="23">
        <f>VLOOKUP(R43,鋼筋號數!$A$3:$C$13,3,FALSE)*T43</f>
        <v>46.44</v>
      </c>
      <c r="Y43" s="1" t="s">
        <v>9</v>
      </c>
      <c r="Z43" s="8">
        <v>2</v>
      </c>
      <c r="AA43" s="8">
        <v>2</v>
      </c>
      <c r="AB43" s="8">
        <v>15</v>
      </c>
      <c r="AC43" s="8">
        <v>15</v>
      </c>
      <c r="AD43" s="8">
        <v>3582.89</v>
      </c>
      <c r="AE43" s="8">
        <v>4713.1099999999997</v>
      </c>
      <c r="AF43" s="8" t="s">
        <v>55</v>
      </c>
      <c r="AG43" s="8">
        <v>135</v>
      </c>
      <c r="AH43" s="23">
        <f>VLOOKUP(Y43,鋼筋號數!$A$3:$C$13,3,FALSE)*Z43</f>
        <v>1.42</v>
      </c>
      <c r="AI43" s="20">
        <f>ROUND(VLOOKUP(Y43,鋼筋號數!$A$3:$C$13,3,FALSE)*Z43/AB43/(N43-2*G43-VLOOKUP(Y43,鋼筋號數!$A$3:$C$13,2,FALSE))*100,2)</f>
        <v>0.3</v>
      </c>
      <c r="AJ43" s="11"/>
      <c r="AK43" s="11">
        <f>0.0125*0.4</f>
        <v>5.000000000000001E-3</v>
      </c>
      <c r="AL43" s="11">
        <v>0.78</v>
      </c>
      <c r="AM43" s="11">
        <v>1</v>
      </c>
      <c r="AN43" s="11">
        <v>0.6</v>
      </c>
      <c r="AO43" s="11">
        <v>0.5</v>
      </c>
      <c r="AP43" s="11">
        <v>0.03</v>
      </c>
      <c r="AQ43" s="11">
        <v>1.2E-2</v>
      </c>
      <c r="AR43" s="11">
        <v>0</v>
      </c>
      <c r="AS43" s="11" t="str">
        <f t="shared" ref="AS43:AS44" si="52">IF(OR(F43&gt;=700,AD43&gt;=5000,AH43&gt;=3),TRUE,"None")</f>
        <v>None</v>
      </c>
      <c r="AT43" s="11" t="b">
        <v>1</v>
      </c>
      <c r="AU43" s="18"/>
    </row>
    <row r="44" spans="1:47" x14ac:dyDescent="0.3">
      <c r="A44" s="13" t="s">
        <v>109</v>
      </c>
      <c r="B44" s="8" t="s">
        <v>104</v>
      </c>
      <c r="C44" s="8" t="s">
        <v>69</v>
      </c>
      <c r="D44" s="10">
        <v>0</v>
      </c>
      <c r="E44" s="8" t="s">
        <v>54</v>
      </c>
      <c r="F44" s="8">
        <v>332</v>
      </c>
      <c r="G44" s="8">
        <v>4</v>
      </c>
      <c r="H44" s="8" t="s">
        <v>54</v>
      </c>
      <c r="I44" s="8">
        <v>0.2</v>
      </c>
      <c r="J44" s="8">
        <f t="shared" si="43"/>
        <v>106240</v>
      </c>
      <c r="K44" s="8">
        <v>40</v>
      </c>
      <c r="L44" s="8">
        <f t="shared" si="49"/>
        <v>32</v>
      </c>
      <c r="M44" s="23">
        <f>K44-2*G44-VLOOKUP(Y44,鋼筋號數!$A$3:$C$13,2,FALSE)</f>
        <v>31.047000000000001</v>
      </c>
      <c r="N44" s="8">
        <v>40</v>
      </c>
      <c r="O44" s="8">
        <f t="shared" si="50"/>
        <v>1600</v>
      </c>
      <c r="P44" s="8">
        <v>180</v>
      </c>
      <c r="Q44" s="8">
        <v>180</v>
      </c>
      <c r="R44" s="1" t="s">
        <v>13</v>
      </c>
      <c r="S44" s="1"/>
      <c r="T44" s="8">
        <v>12</v>
      </c>
      <c r="U44" s="8">
        <v>4941</v>
      </c>
      <c r="V44" s="8">
        <v>7084.81</v>
      </c>
      <c r="W44" s="20">
        <f t="shared" si="3"/>
        <v>2.9</v>
      </c>
      <c r="X44" s="23">
        <f>VLOOKUP(R44,鋼筋號數!$A$3:$C$13,3,FALSE)*T44</f>
        <v>46.44</v>
      </c>
      <c r="Y44" s="1" t="s">
        <v>9</v>
      </c>
      <c r="Z44" s="8">
        <v>2</v>
      </c>
      <c r="AA44" s="8">
        <v>2</v>
      </c>
      <c r="AB44" s="8">
        <v>30</v>
      </c>
      <c r="AC44" s="8">
        <v>30</v>
      </c>
      <c r="AD44" s="8">
        <v>3582.89</v>
      </c>
      <c r="AE44" s="8">
        <v>4713.1099999999997</v>
      </c>
      <c r="AF44" s="8" t="s">
        <v>55</v>
      </c>
      <c r="AG44" s="8">
        <v>135</v>
      </c>
      <c r="AH44" s="23">
        <f>VLOOKUP(Y44,鋼筋號數!$A$3:$C$13,3,FALSE)*Z44</f>
        <v>1.42</v>
      </c>
      <c r="AI44" s="20">
        <f>ROUND(VLOOKUP(Y44,鋼筋號數!$A$3:$C$13,3,FALSE)*Z44/AB44/(N44-2*G44-VLOOKUP(Y44,鋼筋號數!$A$3:$C$13,2,FALSE))*100,2)</f>
        <v>0.15</v>
      </c>
      <c r="AJ44" s="11"/>
      <c r="AK44" s="11">
        <f>0.3*0.4</f>
        <v>0.12</v>
      </c>
      <c r="AL44" s="29">
        <v>1</v>
      </c>
      <c r="AM44" s="11">
        <v>1</v>
      </c>
      <c r="AN44" s="29">
        <v>0.95</v>
      </c>
      <c r="AO44" s="26">
        <v>0.9</v>
      </c>
      <c r="AP44" s="11">
        <v>8.0000000000000002E-3</v>
      </c>
      <c r="AQ44" s="11">
        <v>0.02</v>
      </c>
      <c r="AR44" s="11">
        <v>0</v>
      </c>
      <c r="AS44" s="11" t="str">
        <f t="shared" si="52"/>
        <v>None</v>
      </c>
      <c r="AT44" s="11" t="b">
        <v>1</v>
      </c>
      <c r="AU44" s="18"/>
    </row>
    <row r="45" spans="1:47" x14ac:dyDescent="0.3">
      <c r="A45" s="14" t="s">
        <v>112</v>
      </c>
      <c r="B45" s="8" t="s">
        <v>113</v>
      </c>
      <c r="C45" s="8" t="s">
        <v>69</v>
      </c>
      <c r="D45" s="8">
        <v>1</v>
      </c>
      <c r="E45" s="8" t="s">
        <v>53</v>
      </c>
      <c r="F45" s="8">
        <v>150</v>
      </c>
      <c r="G45" s="8">
        <v>4</v>
      </c>
      <c r="H45" s="8" t="s">
        <v>54</v>
      </c>
      <c r="I45" s="8">
        <v>0.3</v>
      </c>
      <c r="J45" s="8">
        <f t="shared" si="43"/>
        <v>54000</v>
      </c>
      <c r="K45" s="8">
        <v>40</v>
      </c>
      <c r="L45" s="8">
        <f>0.8*K45</f>
        <v>32</v>
      </c>
      <c r="M45" s="23">
        <f>K45-2*G45-VLOOKUP(Y45,鋼筋號數!$A$3:$C$13,2,FALSE)</f>
        <v>31.047000000000001</v>
      </c>
      <c r="N45" s="8">
        <v>30</v>
      </c>
      <c r="O45" s="8">
        <f>K45*N45</f>
        <v>1200</v>
      </c>
      <c r="P45" s="8">
        <v>180</v>
      </c>
      <c r="Q45" s="8">
        <v>180</v>
      </c>
      <c r="R45" s="1" t="s">
        <v>11</v>
      </c>
      <c r="S45" s="8"/>
      <c r="T45" s="8">
        <v>14</v>
      </c>
      <c r="U45" s="8">
        <v>2800</v>
      </c>
      <c r="V45" s="11"/>
      <c r="W45" s="20">
        <f t="shared" si="3"/>
        <v>2.2999999999999998</v>
      </c>
      <c r="X45" s="23">
        <f>VLOOKUP(R45,鋼筋號數!$A$3:$C$13,3,FALSE)*T45</f>
        <v>27.86</v>
      </c>
      <c r="Y45" s="1" t="s">
        <v>9</v>
      </c>
      <c r="Z45" s="8">
        <v>2</v>
      </c>
      <c r="AA45" s="8">
        <v>2</v>
      </c>
      <c r="AB45" s="8">
        <v>25</v>
      </c>
      <c r="AC45" s="8">
        <v>25</v>
      </c>
      <c r="AD45" s="8">
        <v>2800</v>
      </c>
      <c r="AE45" s="11"/>
      <c r="AF45" s="8" t="s">
        <v>55</v>
      </c>
      <c r="AG45" s="8">
        <v>90</v>
      </c>
      <c r="AH45" s="23">
        <f>VLOOKUP(Y45,鋼筋號數!$A$3:$C$13,3,FALSE)*Z45</f>
        <v>1.42</v>
      </c>
      <c r="AI45" s="20">
        <f>ROUND(VLOOKUP(Y45,鋼筋號數!$A$3:$C$13,3,FALSE)*Z45/AB45/(N45-2*G45-VLOOKUP(Y45,鋼筋號數!$A$3:$C$13,2,FALSE))*100,2)</f>
        <v>0.27</v>
      </c>
      <c r="AJ45" s="11"/>
      <c r="AK45" s="11">
        <f>0.07*0.5</f>
        <v>3.5000000000000003E-2</v>
      </c>
      <c r="AL45" s="11">
        <v>0.7</v>
      </c>
      <c r="AM45" s="11">
        <v>1.5</v>
      </c>
      <c r="AN45" s="11">
        <v>0.6</v>
      </c>
      <c r="AO45" s="11">
        <v>0.55000000000000004</v>
      </c>
      <c r="AP45" s="11">
        <v>1.2999999999999999E-2</v>
      </c>
      <c r="AQ45" s="11">
        <v>0.04</v>
      </c>
      <c r="AR45" s="11">
        <v>0</v>
      </c>
      <c r="AS45" s="11" t="str">
        <f>IF(OR(F45&gt;=700,AD45&gt;=5000,AH45&gt;=3),TRUE,"None")</f>
        <v>None</v>
      </c>
      <c r="AT45" s="11" t="b">
        <v>1</v>
      </c>
      <c r="AU45" s="18"/>
    </row>
    <row r="46" spans="1:47" x14ac:dyDescent="0.3">
      <c r="A46" s="25" t="s">
        <v>133</v>
      </c>
      <c r="B46" s="8" t="s">
        <v>92</v>
      </c>
      <c r="C46" s="8"/>
      <c r="D46" s="8">
        <v>1</v>
      </c>
      <c r="E46" s="8"/>
      <c r="F46" s="8">
        <v>320.19</v>
      </c>
      <c r="G46" s="8">
        <v>4</v>
      </c>
      <c r="H46" s="8"/>
      <c r="I46" s="8">
        <f>ROUND(J46/F46/O46,1)</f>
        <v>0.6</v>
      </c>
      <c r="J46" s="8">
        <v>668424</v>
      </c>
      <c r="K46" s="8">
        <v>60</v>
      </c>
      <c r="L46" s="8">
        <f>0.8*K46</f>
        <v>48</v>
      </c>
      <c r="M46" s="23">
        <f>K46-2*G46-VLOOKUP(Y46,鋼筋號數!$A$3:$C$13,2,FALSE)</f>
        <v>50.73</v>
      </c>
      <c r="N46" s="8">
        <v>60</v>
      </c>
      <c r="O46" s="8">
        <f>K46*N46</f>
        <v>3600</v>
      </c>
      <c r="P46" s="8">
        <v>180</v>
      </c>
      <c r="Q46" s="8">
        <v>180</v>
      </c>
      <c r="R46" s="8" t="s">
        <v>14</v>
      </c>
      <c r="S46" s="8"/>
      <c r="T46" s="8">
        <v>16</v>
      </c>
      <c r="U46" s="8">
        <v>4650</v>
      </c>
      <c r="V46" s="8"/>
      <c r="W46" s="20">
        <f t="shared" si="3"/>
        <v>2.2999999999999998</v>
      </c>
      <c r="X46" s="23">
        <f>VLOOKUP(R46,鋼筋號數!$A$3:$C$13,3,FALSE)*T46</f>
        <v>81.12</v>
      </c>
      <c r="Y46" s="4" t="s">
        <v>10</v>
      </c>
      <c r="Z46" s="8">
        <v>3</v>
      </c>
      <c r="AA46" s="8">
        <v>3</v>
      </c>
      <c r="AB46" s="8">
        <v>10</v>
      </c>
      <c r="AC46" s="8">
        <v>10</v>
      </c>
      <c r="AD46" s="8">
        <v>4793</v>
      </c>
      <c r="AE46" s="8"/>
      <c r="AF46" s="8" t="s">
        <v>55</v>
      </c>
      <c r="AG46" s="8">
        <v>135</v>
      </c>
      <c r="AH46" s="23">
        <f>VLOOKUP(Y46,鋼筋號數!$A$3:$C$13,3,FALSE)*Z46</f>
        <v>3.81</v>
      </c>
      <c r="AI46" s="20">
        <f>ROUND(VLOOKUP(Y46,鋼筋號數!$A$3:$C$13,3,FALSE)*Z46/AB46/(N46-2*G46-VLOOKUP(Y46,鋼筋號數!$A$3:$C$13,2,FALSE))*100,2)</f>
        <v>0.75</v>
      </c>
      <c r="AJ46" s="11"/>
      <c r="AK46" s="11">
        <f>0.00015*10</f>
        <v>1.4999999999999998E-3</v>
      </c>
      <c r="AL46" s="11">
        <v>0.6</v>
      </c>
      <c r="AM46" s="11">
        <v>0.9</v>
      </c>
      <c r="AN46" s="11">
        <v>0.3</v>
      </c>
      <c r="AO46" s="11">
        <v>0.6</v>
      </c>
      <c r="AP46" s="11">
        <v>6.0000000000000001E-3</v>
      </c>
      <c r="AQ46" s="11">
        <v>0.04</v>
      </c>
      <c r="AR46" s="11">
        <v>0</v>
      </c>
      <c r="AS46" s="11" t="b">
        <f t="shared" ref="AS46:AS47" si="53">IF(OR(F46&gt;=700,AD46&gt;=5000,AH46&gt;=3),TRUE,"None")</f>
        <v>1</v>
      </c>
      <c r="AT46" s="11" t="s">
        <v>130</v>
      </c>
    </row>
    <row r="47" spans="1:47" x14ac:dyDescent="0.3">
      <c r="A47" s="25" t="s">
        <v>134</v>
      </c>
      <c r="B47" s="8" t="s">
        <v>92</v>
      </c>
      <c r="C47" s="8"/>
      <c r="D47" s="8">
        <v>1</v>
      </c>
      <c r="E47" s="8"/>
      <c r="F47" s="8">
        <v>318.14999999999998</v>
      </c>
      <c r="G47" s="8">
        <v>4</v>
      </c>
      <c r="H47" s="8"/>
      <c r="I47" s="8">
        <f>ROUND(J47/F47/O47,1)</f>
        <v>0.6</v>
      </c>
      <c r="J47" s="8">
        <v>668424</v>
      </c>
      <c r="K47" s="8">
        <v>60</v>
      </c>
      <c r="L47" s="8">
        <f>0.8*K47</f>
        <v>48</v>
      </c>
      <c r="M47" s="23">
        <f>K47-2*G47-VLOOKUP(Y47,鋼筋號數!$A$3:$C$13,2,FALSE)</f>
        <v>50.73</v>
      </c>
      <c r="N47" s="8">
        <v>60</v>
      </c>
      <c r="O47" s="8">
        <f>K47*N47</f>
        <v>3600</v>
      </c>
      <c r="P47" s="8">
        <v>180</v>
      </c>
      <c r="Q47" s="8">
        <v>180</v>
      </c>
      <c r="R47" s="8" t="s">
        <v>14</v>
      </c>
      <c r="S47" s="8"/>
      <c r="T47" s="8">
        <v>16</v>
      </c>
      <c r="U47" s="8">
        <v>4650</v>
      </c>
      <c r="V47" s="8"/>
      <c r="W47" s="20">
        <f t="shared" si="3"/>
        <v>2.2999999999999998</v>
      </c>
      <c r="X47" s="23">
        <f>VLOOKUP(R47,鋼筋號數!$A$3:$C$13,3,FALSE)*T47</f>
        <v>81.12</v>
      </c>
      <c r="Y47" s="4" t="s">
        <v>10</v>
      </c>
      <c r="Z47" s="8">
        <v>5</v>
      </c>
      <c r="AA47" s="8">
        <v>5</v>
      </c>
      <c r="AB47" s="8">
        <v>12</v>
      </c>
      <c r="AC47" s="8">
        <v>12</v>
      </c>
      <c r="AD47" s="8">
        <v>4793</v>
      </c>
      <c r="AE47" s="8"/>
      <c r="AF47" s="8" t="s">
        <v>55</v>
      </c>
      <c r="AG47" s="8">
        <v>135</v>
      </c>
      <c r="AH47" s="23">
        <f>VLOOKUP(Y47,鋼筋號數!$A$3:$C$13,3,FALSE)*Z47</f>
        <v>6.35</v>
      </c>
      <c r="AI47" s="20">
        <f>ROUND(VLOOKUP(Y47,鋼筋號數!$A$3:$C$13,3,FALSE)*Z47/AB47/(N47-2*G47-VLOOKUP(Y47,鋼筋號數!$A$3:$C$13,2,FALSE))*100,2)</f>
        <v>1.04</v>
      </c>
      <c r="AJ47" s="11"/>
      <c r="AK47" s="11">
        <f>0.012*10</f>
        <v>0.12</v>
      </c>
      <c r="AL47" s="11">
        <v>0.6</v>
      </c>
      <c r="AM47" s="11">
        <v>1.3</v>
      </c>
      <c r="AN47" s="11">
        <v>0.4</v>
      </c>
      <c r="AO47" s="11">
        <v>0.5</v>
      </c>
      <c r="AP47" s="11">
        <v>8.0000000000000002E-3</v>
      </c>
      <c r="AQ47" s="11">
        <v>0.08</v>
      </c>
      <c r="AR47" s="11">
        <v>0</v>
      </c>
      <c r="AS47" s="11" t="b">
        <f t="shared" si="53"/>
        <v>1</v>
      </c>
      <c r="AT47" s="11" t="s">
        <v>130</v>
      </c>
    </row>
  </sheetData>
  <mergeCells count="5">
    <mergeCell ref="AK1:AR1"/>
    <mergeCell ref="A1:J1"/>
    <mergeCell ref="R1:X1"/>
    <mergeCell ref="Y1:AJ1"/>
    <mergeCell ref="AS1:AT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684-6E5A-4208-8888-B0F5317E84F0}">
  <sheetPr>
    <tabColor rgb="FFFFFF00"/>
  </sheetPr>
  <dimension ref="A1:D13"/>
  <sheetViews>
    <sheetView workbookViewId="0">
      <selection activeCell="A3" sqref="A3:D13"/>
    </sheetView>
  </sheetViews>
  <sheetFormatPr defaultRowHeight="15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t="16.2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132</v>
      </c>
      <c r="B3" s="2">
        <v>0.318</v>
      </c>
      <c r="C3" s="1">
        <v>7.9399999999999998E-2</v>
      </c>
      <c r="D3" s="2">
        <v>6.2399999999999997E-2</v>
      </c>
    </row>
    <row r="4" spans="1:4" x14ac:dyDescent="0.3">
      <c r="A4" s="1" t="s">
        <v>8</v>
      </c>
      <c r="B4" s="2">
        <v>0.63500000000000001</v>
      </c>
      <c r="C4" s="1">
        <v>0.31669999999999998</v>
      </c>
      <c r="D4" s="2">
        <v>0.249</v>
      </c>
    </row>
    <row r="5" spans="1:4" x14ac:dyDescent="0.3">
      <c r="A5" s="1" t="s">
        <v>9</v>
      </c>
      <c r="B5" s="2">
        <v>0.95299999999999996</v>
      </c>
      <c r="C5" s="1">
        <v>0.71</v>
      </c>
      <c r="D5" s="2">
        <v>0.56000000000000005</v>
      </c>
    </row>
    <row r="6" spans="1:4" x14ac:dyDescent="0.3">
      <c r="A6" s="1" t="s">
        <v>10</v>
      </c>
      <c r="B6" s="1">
        <v>1.27</v>
      </c>
      <c r="C6" s="1">
        <v>1.27</v>
      </c>
      <c r="D6" s="1">
        <v>0.99399999999999999</v>
      </c>
    </row>
    <row r="7" spans="1:4" x14ac:dyDescent="0.3">
      <c r="A7" s="1" t="s">
        <v>11</v>
      </c>
      <c r="B7" s="2">
        <v>1.5880000000000001</v>
      </c>
      <c r="C7" s="2">
        <v>1.99</v>
      </c>
      <c r="D7" s="2">
        <v>1.56</v>
      </c>
    </row>
    <row r="8" spans="1:4" x14ac:dyDescent="0.3">
      <c r="A8" s="1" t="s">
        <v>12</v>
      </c>
      <c r="B8" s="3">
        <v>1.905</v>
      </c>
      <c r="C8" s="3">
        <v>2.87</v>
      </c>
      <c r="D8" s="3">
        <v>2.25</v>
      </c>
    </row>
    <row r="9" spans="1:4" x14ac:dyDescent="0.3">
      <c r="A9" s="1" t="s">
        <v>13</v>
      </c>
      <c r="B9" s="2">
        <v>2.2229999999999999</v>
      </c>
      <c r="C9" s="2">
        <v>3.87</v>
      </c>
      <c r="D9" s="2">
        <v>3.04</v>
      </c>
    </row>
    <row r="10" spans="1:4" x14ac:dyDescent="0.3">
      <c r="A10" s="1" t="s">
        <v>14</v>
      </c>
      <c r="B10" s="3">
        <v>2.54</v>
      </c>
      <c r="C10" s="3">
        <v>5.07</v>
      </c>
      <c r="D10" s="3">
        <v>3.98</v>
      </c>
    </row>
    <row r="11" spans="1:4" x14ac:dyDescent="0.3">
      <c r="A11" s="1" t="s">
        <v>15</v>
      </c>
      <c r="B11" s="2">
        <v>2.8650000000000002</v>
      </c>
      <c r="C11" s="2">
        <v>6.47</v>
      </c>
      <c r="D11" s="2">
        <v>5.08</v>
      </c>
    </row>
    <row r="12" spans="1:4" x14ac:dyDescent="0.3">
      <c r="A12" s="1" t="s">
        <v>16</v>
      </c>
      <c r="B12" s="3">
        <v>3.226</v>
      </c>
      <c r="C12" s="3">
        <v>8.14</v>
      </c>
      <c r="D12" s="3">
        <v>6.39</v>
      </c>
    </row>
    <row r="13" spans="1:4" x14ac:dyDescent="0.3">
      <c r="A13" s="1" t="s">
        <v>17</v>
      </c>
      <c r="B13" s="2">
        <v>3.581</v>
      </c>
      <c r="C13" s="2">
        <v>10.07</v>
      </c>
      <c r="D13" s="2">
        <v>7.9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鋼筋號數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</dc:creator>
  <cp:lastModifiedBy>KUN</cp:lastModifiedBy>
  <dcterms:created xsi:type="dcterms:W3CDTF">2015-06-05T18:17:20Z</dcterms:created>
  <dcterms:modified xsi:type="dcterms:W3CDTF">2023-05-18T18:41:35Z</dcterms:modified>
</cp:coreProperties>
</file>