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KT01\Desktop\밸류포인트\DCF_Basic_firmValuation\"/>
    </mc:Choice>
  </mc:AlternateContent>
  <xr:revisionPtr revIDLastSave="0" documentId="13_ncr:1_{CAA85599-9911-4611-A283-28D7B34AF920}" xr6:coauthVersionLast="47" xr6:coauthVersionMax="47" xr10:uidLastSave="{00000000-0000-0000-0000-000000000000}"/>
  <bookViews>
    <workbookView xWindow="12710" yWindow="0" windowWidth="12980" windowHeight="15370" xr2:uid="{00000000-000D-0000-FFFF-FFFF00000000}"/>
  </bookViews>
  <sheets>
    <sheet name="삼성전자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H15" i="1" s="1"/>
  <c r="E15" i="1"/>
  <c r="D15" i="1"/>
  <c r="C15" i="1"/>
  <c r="K15" i="1"/>
  <c r="K11" i="1"/>
  <c r="F11" i="1"/>
  <c r="E11" i="1"/>
  <c r="D11" i="1"/>
  <c r="C11" i="1"/>
  <c r="J11" i="1"/>
  <c r="I11" i="1"/>
  <c r="K16" i="1"/>
  <c r="K12" i="1"/>
  <c r="J16" i="1"/>
  <c r="J12" i="1"/>
  <c r="I16" i="1"/>
  <c r="I12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K17" i="1"/>
  <c r="K13" i="1"/>
  <c r="J17" i="1"/>
  <c r="J13" i="1"/>
  <c r="I17" i="1"/>
  <c r="I13" i="1"/>
  <c r="M4" i="1"/>
  <c r="M5" i="1"/>
  <c r="M6" i="1"/>
  <c r="M10" i="1"/>
  <c r="M20" i="1"/>
  <c r="L4" i="1"/>
  <c r="L5" i="1"/>
  <c r="L6" i="1"/>
  <c r="L10" i="1"/>
  <c r="L16" i="1"/>
  <c r="L17" i="1"/>
  <c r="L20" i="1"/>
  <c r="L21" i="1"/>
  <c r="L22" i="1"/>
  <c r="L23" i="1"/>
  <c r="P4" i="1"/>
  <c r="L3" i="1" s="1"/>
  <c r="P5" i="1"/>
  <c r="P6" i="1"/>
  <c r="P7" i="1"/>
  <c r="P8" i="1"/>
  <c r="L7" i="1" s="1"/>
  <c r="M7" i="1" s="1"/>
  <c r="P9" i="1"/>
  <c r="L8" i="1" s="1"/>
  <c r="M8" i="1" s="1"/>
  <c r="P10" i="1"/>
  <c r="P11" i="1"/>
  <c r="P12" i="1"/>
  <c r="L11" i="1" s="1"/>
  <c r="M11" i="1" s="1"/>
  <c r="P13" i="1"/>
  <c r="P14" i="1"/>
  <c r="L13" i="1" s="1"/>
  <c r="P15" i="1"/>
  <c r="L15" i="1" s="1"/>
  <c r="P16" i="1"/>
  <c r="P17" i="1"/>
  <c r="P18" i="1"/>
  <c r="P19" i="1"/>
  <c r="L18" i="1" s="1"/>
  <c r="H4" i="1"/>
  <c r="H5" i="1"/>
  <c r="H6" i="1"/>
  <c r="H7" i="1"/>
  <c r="H8" i="1"/>
  <c r="H9" i="1"/>
  <c r="H10" i="1"/>
  <c r="H11" i="1"/>
  <c r="H12" i="1"/>
  <c r="H13" i="1"/>
  <c r="H14" i="1"/>
  <c r="M16" i="1"/>
  <c r="H3" i="1"/>
  <c r="F3" i="1"/>
  <c r="F7" i="1"/>
  <c r="E7" i="1"/>
  <c r="D7" i="1"/>
  <c r="C7" i="1"/>
  <c r="E3" i="1"/>
  <c r="D3" i="1"/>
  <c r="C3" i="1"/>
  <c r="K7" i="1"/>
  <c r="K3" i="1"/>
  <c r="J7" i="1"/>
  <c r="J3" i="1"/>
  <c r="I7" i="1"/>
  <c r="I3" i="1"/>
  <c r="K8" i="1"/>
  <c r="K4" i="1"/>
  <c r="J4" i="1"/>
  <c r="J8" i="1"/>
  <c r="I8" i="1"/>
  <c r="I4" i="1"/>
  <c r="P3" i="1"/>
  <c r="K9" i="1"/>
  <c r="K5" i="1"/>
  <c r="J9" i="1"/>
  <c r="J5" i="1"/>
  <c r="I9" i="1"/>
  <c r="I5" i="1"/>
  <c r="M18" i="1" l="1"/>
  <c r="L12" i="1"/>
  <c r="M12" i="1" s="1"/>
  <c r="M17" i="1"/>
  <c r="L19" i="1"/>
  <c r="M19" i="1" s="1"/>
  <c r="M15" i="1"/>
  <c r="M13" i="1"/>
  <c r="L14" i="1"/>
  <c r="M14" i="1" s="1"/>
  <c r="L9" i="1"/>
  <c r="M9" i="1" s="1"/>
  <c r="M3" i="1"/>
</calcChain>
</file>

<file path=xl/sharedStrings.xml><?xml version="1.0" encoding="utf-8"?>
<sst xmlns="http://schemas.openxmlformats.org/spreadsheetml/2006/main" count="34" uniqueCount="34">
  <si>
    <t>23-1</t>
    <phoneticPr fontId="1" type="noConversion"/>
  </si>
  <si>
    <t>23-2</t>
    <phoneticPr fontId="1" type="noConversion"/>
  </si>
  <si>
    <t>23-3</t>
    <phoneticPr fontId="1" type="noConversion"/>
  </si>
  <si>
    <t>23-4</t>
    <phoneticPr fontId="1" type="noConversion"/>
  </si>
  <si>
    <t>22-4</t>
    <phoneticPr fontId="1" type="noConversion"/>
  </si>
  <si>
    <t>매출액</t>
    <phoneticPr fontId="1" type="noConversion"/>
  </si>
  <si>
    <t>매출원가</t>
    <phoneticPr fontId="1" type="noConversion"/>
  </si>
  <si>
    <t>22-3</t>
    <phoneticPr fontId="1" type="noConversion"/>
  </si>
  <si>
    <t>22-2</t>
    <phoneticPr fontId="1" type="noConversion"/>
  </si>
  <si>
    <t>22-1</t>
    <phoneticPr fontId="1" type="noConversion"/>
  </si>
  <si>
    <t>영업이익</t>
    <phoneticPr fontId="1" type="noConversion"/>
  </si>
  <si>
    <t>세후영업이익</t>
    <phoneticPr fontId="1" type="noConversion"/>
  </si>
  <si>
    <t>판매관리비</t>
    <phoneticPr fontId="1" type="noConversion"/>
  </si>
  <si>
    <t>유형자산감가상각비</t>
    <phoneticPr fontId="1" type="noConversion"/>
  </si>
  <si>
    <t>무형자산감가상각비</t>
    <phoneticPr fontId="1" type="noConversion"/>
  </si>
  <si>
    <t>자본적지출</t>
    <phoneticPr fontId="1" type="noConversion"/>
  </si>
  <si>
    <t>순운전자본증감</t>
    <phoneticPr fontId="1" type="noConversion"/>
  </si>
  <si>
    <t>FCFF</t>
    <phoneticPr fontId="1" type="noConversion"/>
  </si>
  <si>
    <t>순운전자본</t>
    <phoneticPr fontId="1" type="noConversion"/>
  </si>
  <si>
    <t>유동자산</t>
    <phoneticPr fontId="1" type="noConversion"/>
  </si>
  <si>
    <t>유동부채</t>
    <phoneticPr fontId="1" type="noConversion"/>
  </si>
  <si>
    <t>21-4</t>
    <phoneticPr fontId="1" type="noConversion"/>
  </si>
  <si>
    <t>21-3</t>
    <phoneticPr fontId="1" type="noConversion"/>
  </si>
  <si>
    <t>21-2</t>
    <phoneticPr fontId="1" type="noConversion"/>
  </si>
  <si>
    <t>21-1</t>
    <phoneticPr fontId="1" type="noConversion"/>
  </si>
  <si>
    <t>20-4</t>
    <phoneticPr fontId="1" type="noConversion"/>
  </si>
  <si>
    <t>20-3</t>
    <phoneticPr fontId="1" type="noConversion"/>
  </si>
  <si>
    <t>20-2</t>
    <phoneticPr fontId="1" type="noConversion"/>
  </si>
  <si>
    <t>20-1</t>
    <phoneticPr fontId="1" type="noConversion"/>
  </si>
  <si>
    <t>19-4</t>
    <phoneticPr fontId="1" type="noConversion"/>
  </si>
  <si>
    <t>19-3</t>
    <phoneticPr fontId="1" type="noConversion"/>
  </si>
  <si>
    <t>19-2</t>
    <phoneticPr fontId="1" type="noConversion"/>
  </si>
  <si>
    <t>19-1</t>
    <phoneticPr fontId="1" type="noConversion"/>
  </si>
  <si>
    <t>법인세율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</si>
</sst>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#,##0.000_ "/>
  </numFmts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7"/>
      <color rgb="FF000000"/>
      <name val="굴림"/>
      <family val="3"/>
      <charset val="129"/>
    </font>
    <font>
      <sz val="11"/>
      <color rgb="FF000000"/>
      <name val="맑은 고딕"/>
      <family val="3"/>
      <charset val="129"/>
      <scheme val="major"/>
    </font>
    <font>
      <sz val="11"/>
      <color rgb="FF000000"/>
      <name val="굴림"/>
      <family val="3"/>
      <charset val="129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808080"/>
      </right>
      <top style="thin">
        <color rgb="FF000000"/>
      </top>
      <bottom style="thin">
        <color rgb="FF000000"/>
      </bottom>
      <diagonal/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3" fontId="0" fillId="0" borderId="0" xfId="0" applyNumberFormat="1"/>
    <xf numFmtId="3" fontId="2" fillId="0" borderId="0" xfId="0" applyNumberFormat="1" applyFont="1"/>
    <xf numFmtId="3" fontId="3" fillId="0" borderId="0" xfId="0" applyNumberFormat="1" applyFont="1"/>
    <xf numFmtId="3" fontId="4" fillId="0" borderId="1" xfId="0" applyNumberFormat="1" applyFont="1" applyBorder="1" applyAlignment="1">
      <alignment horizontal="right" vertical="top" wrapText="1"/>
    </xf>
    <xf numFmtId="3" fontId="4" fillId="0" borderId="2" xfId="0" applyNumberFormat="1" applyFont="1" applyBorder="1" applyAlignment="1">
      <alignment horizontal="right" vertical="center" wrapText="1"/>
    </xf>
    <xf numFmtId="0" fontId="4" fillId="0" borderId="3" xfId="0" applyFont="1" applyBorder="1" applyAlignment="1">
      <alignment horizontal="right" vertical="center" wrapText="1"/>
    </xf>
    <xf numFmtId="3" fontId="0" fillId="0" borderId="0" xfId="0" applyNumberFormat="1" applyFill="1"/>
    <xf numFmtId="181" fontId="2" fillId="0" borderId="0" xfId="0" applyNumberFormat="1" applyFont="1"/>
    <xf numFmtId="3" fontId="4" fillId="0" borderId="4" xfId="0" applyNumberFormat="1" applyFont="1" applyBorder="1" applyAlignment="1">
      <alignment horizontal="right" vertical="top" wrapText="1"/>
    </xf>
    <xf numFmtId="0" fontId="0" fillId="0" borderId="5" xfId="0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28"/>
  <sheetViews>
    <sheetView tabSelected="1" topLeftCell="K1" workbookViewId="0">
      <selection activeCell="N11" sqref="N11"/>
    </sheetView>
  </sheetViews>
  <sheetFormatPr defaultRowHeight="17" x14ac:dyDescent="0.45"/>
  <cols>
    <col min="2" max="2" width="9.5" bestFit="1" customWidth="1"/>
    <col min="3" max="4" width="10" bestFit="1" customWidth="1"/>
    <col min="5" max="5" width="10.58203125" bestFit="1" customWidth="1"/>
    <col min="6" max="6" width="10" bestFit="1" customWidth="1"/>
    <col min="7" max="7" width="10.83203125" bestFit="1" customWidth="1"/>
    <col min="8" max="8" width="12.33203125" bestFit="1" customWidth="1"/>
    <col min="9" max="10" width="18.25" bestFit="1" customWidth="1"/>
    <col min="11" max="11" width="10.4140625" bestFit="1" customWidth="1"/>
    <col min="12" max="12" width="14.33203125" bestFit="1" customWidth="1"/>
    <col min="13" max="13" width="11.9140625" bestFit="1" customWidth="1"/>
    <col min="14" max="15" width="9.5" bestFit="1" customWidth="1"/>
    <col min="16" max="16" width="12.33203125" bestFit="1" customWidth="1"/>
    <col min="18" max="18" width="12.33203125" bestFit="1" customWidth="1"/>
  </cols>
  <sheetData>
    <row r="2" spans="2:17" x14ac:dyDescent="0.45">
      <c r="B2" s="1"/>
      <c r="C2" t="s">
        <v>5</v>
      </c>
      <c r="D2" t="s">
        <v>6</v>
      </c>
      <c r="E2" t="s">
        <v>12</v>
      </c>
      <c r="F2" t="s">
        <v>10</v>
      </c>
      <c r="G2" t="s">
        <v>33</v>
      </c>
      <c r="H2" t="s">
        <v>11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19</v>
      </c>
      <c r="O2" t="s">
        <v>20</v>
      </c>
      <c r="P2" t="s">
        <v>18</v>
      </c>
    </row>
    <row r="3" spans="2:17" x14ac:dyDescent="0.45">
      <c r="B3" s="1" t="s">
        <v>3</v>
      </c>
      <c r="C3" s="8">
        <f>258935494-C4-C5-C6</f>
        <v>67779938</v>
      </c>
      <c r="D3" s="8">
        <f>180388580-D4-D5-D6</f>
        <v>46115571</v>
      </c>
      <c r="E3" s="8">
        <f>71979938-E4-E5-E6</f>
        <v>18839650</v>
      </c>
      <c r="F3" s="2">
        <f>6566976-F4-F5-F6</f>
        <v>2824717</v>
      </c>
      <c r="G3" s="9">
        <v>0.27500000000000002</v>
      </c>
      <c r="H3" s="2">
        <f>F3*(1-G3)</f>
        <v>2047919.825</v>
      </c>
      <c r="I3" s="3">
        <f>35532411-I4-I5-I6</f>
        <v>9063346</v>
      </c>
      <c r="J3" s="2">
        <f>3134148-J4-J5-J6</f>
        <v>771036</v>
      </c>
      <c r="K3" s="2">
        <f>54916362-K4-K5-K6</f>
        <v>16629676</v>
      </c>
      <c r="L3" s="2">
        <f t="shared" ref="L3:L23" si="0">P3-P4</f>
        <v>-12596315</v>
      </c>
      <c r="M3" s="2">
        <f t="shared" ref="M3:M20" si="1">H3+I3+J3-K3-L3</f>
        <v>7848940.8249999993</v>
      </c>
      <c r="N3" s="3">
        <v>195936557</v>
      </c>
      <c r="O3" s="3">
        <v>75719452</v>
      </c>
      <c r="P3" s="6">
        <f t="shared" ref="P3:P19" si="2">N3-O3</f>
        <v>120217105</v>
      </c>
    </row>
    <row r="4" spans="2:17" x14ac:dyDescent="0.45">
      <c r="B4" s="1" t="s">
        <v>2</v>
      </c>
      <c r="C4" s="3">
        <v>67404652</v>
      </c>
      <c r="D4" s="3">
        <v>46618726</v>
      </c>
      <c r="E4" s="3">
        <v>18352392</v>
      </c>
      <c r="F4" s="3">
        <v>2433534</v>
      </c>
      <c r="G4" s="9">
        <v>0.27500000000000002</v>
      </c>
      <c r="H4" s="2">
        <f t="shared" ref="H4:H28" si="3">F4*(1-G4)</f>
        <v>1764312.15</v>
      </c>
      <c r="I4" s="3">
        <f>26469065-I5-I6</f>
        <v>8900426</v>
      </c>
      <c r="J4" s="3">
        <f>2363112-J5-J6</f>
        <v>786661</v>
      </c>
      <c r="K4" s="2">
        <f>38286686-K5-K6</f>
        <v>11987374</v>
      </c>
      <c r="L4" s="2">
        <f t="shared" si="0"/>
        <v>-381315</v>
      </c>
      <c r="M4" s="2">
        <f t="shared" si="1"/>
        <v>-154659.84999999963</v>
      </c>
      <c r="N4" s="3">
        <v>206438600</v>
      </c>
      <c r="O4" s="3">
        <v>73625180</v>
      </c>
      <c r="P4" s="6">
        <f t="shared" si="2"/>
        <v>132813420</v>
      </c>
    </row>
    <row r="5" spans="2:17" x14ac:dyDescent="0.45">
      <c r="B5" s="1" t="s">
        <v>1</v>
      </c>
      <c r="C5" s="3">
        <v>60005533</v>
      </c>
      <c r="D5" s="3">
        <v>41647190</v>
      </c>
      <c r="E5" s="3">
        <v>17689796</v>
      </c>
      <c r="F5" s="3">
        <v>668547</v>
      </c>
      <c r="G5" s="9">
        <v>0.27500000000000002</v>
      </c>
      <c r="H5" s="2">
        <f t="shared" si="3"/>
        <v>484696.57500000001</v>
      </c>
      <c r="I5" s="3">
        <f>17568639-I6</f>
        <v>8767744</v>
      </c>
      <c r="J5" s="2">
        <f>1576451-J6</f>
        <v>790853</v>
      </c>
      <c r="K5" s="2">
        <f>26299312-K6</f>
        <v>14955979</v>
      </c>
      <c r="L5" s="2">
        <f t="shared" si="0"/>
        <v>-5189958</v>
      </c>
      <c r="M5" s="2">
        <f t="shared" si="1"/>
        <v>277272.57499999925</v>
      </c>
      <c r="N5" s="3">
        <v>203975373</v>
      </c>
      <c r="O5" s="3">
        <v>70780638</v>
      </c>
      <c r="P5" s="6">
        <f t="shared" si="2"/>
        <v>133194735</v>
      </c>
    </row>
    <row r="6" spans="2:17" x14ac:dyDescent="0.45">
      <c r="B6" s="1" t="s">
        <v>0</v>
      </c>
      <c r="C6" s="3">
        <v>63745371</v>
      </c>
      <c r="D6" s="3">
        <v>46007093</v>
      </c>
      <c r="E6" s="3">
        <v>17098100</v>
      </c>
      <c r="F6" s="6">
        <v>640178</v>
      </c>
      <c r="G6" s="9">
        <v>0.27500000000000002</v>
      </c>
      <c r="H6" s="2">
        <f t="shared" si="3"/>
        <v>464129.05</v>
      </c>
      <c r="I6" s="3">
        <v>8800895</v>
      </c>
      <c r="J6" s="5">
        <v>785598</v>
      </c>
      <c r="K6" s="5">
        <v>11343333</v>
      </c>
      <c r="L6" s="2">
        <f t="shared" si="0"/>
        <v>-1741036</v>
      </c>
      <c r="M6" s="2">
        <f t="shared" si="1"/>
        <v>448325.05000000075</v>
      </c>
      <c r="N6" s="3">
        <v>214442141</v>
      </c>
      <c r="O6" s="3">
        <v>76057448</v>
      </c>
      <c r="P6" s="6">
        <f t="shared" si="2"/>
        <v>138384693</v>
      </c>
      <c r="Q6" s="7"/>
    </row>
    <row r="7" spans="2:17" x14ac:dyDescent="0.45">
      <c r="B7" s="1" t="s">
        <v>4</v>
      </c>
      <c r="C7" s="8">
        <f>302231360-C8-C9-C10</f>
        <v>70464575</v>
      </c>
      <c r="D7" s="8">
        <f>190041770-D8-D9-D10</f>
        <v>48627728</v>
      </c>
      <c r="E7" s="8">
        <f>68812960-E8-E9-E10</f>
        <v>17530716</v>
      </c>
      <c r="F7" s="2">
        <f>43376630-F8-F9-F10</f>
        <v>4306131</v>
      </c>
      <c r="G7" s="9">
        <v>0.27500000000000002</v>
      </c>
      <c r="H7" s="2">
        <f t="shared" si="3"/>
        <v>3121944.9750000001</v>
      </c>
      <c r="I7" s="2">
        <f>35952098-I8-I9-I10</f>
        <v>8843137</v>
      </c>
      <c r="J7" s="2">
        <f>3155561-J8-J9-J10</f>
        <v>805921</v>
      </c>
      <c r="K7" s="2">
        <f>55226960-K8-K9-K10</f>
        <v>21125529</v>
      </c>
      <c r="L7" s="2">
        <f t="shared" si="0"/>
        <v>-25469239</v>
      </c>
      <c r="M7" s="2">
        <f t="shared" si="1"/>
        <v>17114712.975000001</v>
      </c>
      <c r="N7" s="3">
        <v>218470581</v>
      </c>
      <c r="O7" s="3">
        <v>78344852</v>
      </c>
      <c r="P7" s="6">
        <f t="shared" si="2"/>
        <v>140125729</v>
      </c>
    </row>
    <row r="8" spans="2:17" x14ac:dyDescent="0.45">
      <c r="B8" s="1" t="s">
        <v>7</v>
      </c>
      <c r="C8" s="3">
        <v>76781680</v>
      </c>
      <c r="D8" s="3">
        <v>48072237</v>
      </c>
      <c r="E8" s="3">
        <v>17857398</v>
      </c>
      <c r="F8" s="3">
        <v>10852045</v>
      </c>
      <c r="G8" s="9">
        <v>0.27500000000000002</v>
      </c>
      <c r="H8" s="2">
        <f t="shared" si="3"/>
        <v>7867732.625</v>
      </c>
      <c r="I8" s="3">
        <f>27108961-I9-I10</f>
        <v>9031116</v>
      </c>
      <c r="J8" s="3">
        <f>2349640-J9-J10</f>
        <v>806611</v>
      </c>
      <c r="K8" s="2">
        <f>34101431-K9-K10</f>
        <v>13347026</v>
      </c>
      <c r="L8" s="2">
        <f t="shared" si="0"/>
        <v>12669745</v>
      </c>
      <c r="M8" s="2">
        <f t="shared" si="1"/>
        <v>-8311311.375</v>
      </c>
      <c r="N8" s="3">
        <v>250880637</v>
      </c>
      <c r="O8" s="3">
        <v>85285669</v>
      </c>
      <c r="P8" s="6">
        <f t="shared" si="2"/>
        <v>165594968</v>
      </c>
    </row>
    <row r="9" spans="2:17" x14ac:dyDescent="0.45">
      <c r="B9" s="1" t="s">
        <v>8</v>
      </c>
      <c r="C9" s="3">
        <v>77203607</v>
      </c>
      <c r="D9" s="3">
        <v>46269748</v>
      </c>
      <c r="E9" s="3">
        <v>16836814</v>
      </c>
      <c r="F9" s="3">
        <v>14097045</v>
      </c>
      <c r="G9" s="9">
        <v>0.27500000000000002</v>
      </c>
      <c r="H9" s="2">
        <f t="shared" si="3"/>
        <v>10220357.625</v>
      </c>
      <c r="I9" s="3">
        <f>18077845-I10</f>
        <v>9068814</v>
      </c>
      <c r="J9" s="2">
        <f>1543029-J10</f>
        <v>772552</v>
      </c>
      <c r="K9" s="2">
        <f>20754405-K10</f>
        <v>12655538</v>
      </c>
      <c r="L9" s="2">
        <f t="shared" si="0"/>
        <v>11019842</v>
      </c>
      <c r="M9" s="2">
        <f t="shared" si="1"/>
        <v>-3613656.375</v>
      </c>
      <c r="N9" s="3">
        <v>236287491</v>
      </c>
      <c r="O9" s="3">
        <v>83362268</v>
      </c>
      <c r="P9" s="6">
        <f t="shared" si="2"/>
        <v>152925223</v>
      </c>
    </row>
    <row r="10" spans="2:17" x14ac:dyDescent="0.45">
      <c r="B10" s="1" t="s">
        <v>9</v>
      </c>
      <c r="C10" s="4">
        <v>77781498</v>
      </c>
      <c r="D10" s="4">
        <v>47072057</v>
      </c>
      <c r="E10" s="4">
        <v>16588032</v>
      </c>
      <c r="F10" s="4">
        <v>14121409</v>
      </c>
      <c r="G10" s="9">
        <v>0.27500000000000002</v>
      </c>
      <c r="H10" s="2">
        <f t="shared" si="3"/>
        <v>10238021.525</v>
      </c>
      <c r="I10" s="3">
        <v>9009031</v>
      </c>
      <c r="J10" s="3">
        <v>770477</v>
      </c>
      <c r="K10" s="3">
        <v>8098867</v>
      </c>
      <c r="L10" s="2">
        <f t="shared" si="0"/>
        <v>11859329</v>
      </c>
      <c r="M10" s="2">
        <f t="shared" si="1"/>
        <v>59333.52499999851</v>
      </c>
      <c r="N10" s="3">
        <v>232369082</v>
      </c>
      <c r="O10" s="3">
        <v>90463701</v>
      </c>
      <c r="P10" s="6">
        <f t="shared" si="2"/>
        <v>141905381</v>
      </c>
    </row>
    <row r="11" spans="2:17" x14ac:dyDescent="0.45">
      <c r="B11" s="1" t="s">
        <v>21</v>
      </c>
      <c r="C11" s="2">
        <f>279604799-C12-C13-C14</f>
        <v>76565524</v>
      </c>
      <c r="D11" s="2">
        <f>166411342-D12-D13-D14</f>
        <v>44946555</v>
      </c>
      <c r="E11" s="2">
        <f>61559601-E12-E13-E14</f>
        <v>17752257</v>
      </c>
      <c r="F11" s="2">
        <f>51633856-F12-F13-F14</f>
        <v>13866712</v>
      </c>
      <c r="G11" s="9">
        <v>0.27500000000000002</v>
      </c>
      <c r="H11" s="2">
        <f t="shared" si="3"/>
        <v>10053366.199999999</v>
      </c>
      <c r="I11" s="3">
        <f>20164109-I12-I13-I14</f>
        <v>-2256530</v>
      </c>
      <c r="J11" s="2">
        <f>2391770-J12-J13-J14</f>
        <v>166880</v>
      </c>
      <c r="K11" s="3">
        <f>49965164-K12-K13-K14</f>
        <v>15692542</v>
      </c>
      <c r="L11" s="2">
        <f t="shared" si="0"/>
        <v>-875003</v>
      </c>
      <c r="M11" s="2">
        <f t="shared" si="1"/>
        <v>-6853822.8000000007</v>
      </c>
      <c r="N11" s="3">
        <v>218163185</v>
      </c>
      <c r="O11" s="3">
        <v>88117133</v>
      </c>
      <c r="P11" s="6">
        <f t="shared" si="2"/>
        <v>130046052</v>
      </c>
    </row>
    <row r="12" spans="2:17" x14ac:dyDescent="0.45">
      <c r="B12" s="1" t="s">
        <v>22</v>
      </c>
      <c r="C12" s="3">
        <v>73979187</v>
      </c>
      <c r="D12" s="3">
        <v>42898871</v>
      </c>
      <c r="E12" s="3">
        <v>15262785</v>
      </c>
      <c r="F12" s="3">
        <v>15817531</v>
      </c>
      <c r="G12" s="9">
        <v>0.27500000000000002</v>
      </c>
      <c r="H12" s="2">
        <f t="shared" si="3"/>
        <v>11467709.975</v>
      </c>
      <c r="I12" s="2">
        <f>22420639-I13-I14</f>
        <v>8059814</v>
      </c>
      <c r="J12" s="2">
        <f>2224890-J13-J14</f>
        <v>753035</v>
      </c>
      <c r="K12" s="2">
        <f>34272622-K13-K14</f>
        <v>10216715</v>
      </c>
      <c r="L12" s="2">
        <f t="shared" si="0"/>
        <v>12263982</v>
      </c>
      <c r="M12" s="2">
        <f t="shared" si="1"/>
        <v>-2200138.0249999985</v>
      </c>
      <c r="N12" s="3">
        <v>212793019</v>
      </c>
      <c r="O12" s="3">
        <v>81871964</v>
      </c>
      <c r="P12" s="6">
        <f t="shared" si="2"/>
        <v>130921055</v>
      </c>
    </row>
    <row r="13" spans="2:17" x14ac:dyDescent="0.45">
      <c r="B13" s="1" t="s">
        <v>23</v>
      </c>
      <c r="C13" s="3">
        <v>63671585</v>
      </c>
      <c r="D13" s="3">
        <v>37065931</v>
      </c>
      <c r="E13" s="3">
        <v>14038909</v>
      </c>
      <c r="F13" s="3">
        <v>12566745</v>
      </c>
      <c r="G13" s="9">
        <v>0.27500000000000002</v>
      </c>
      <c r="H13" s="2">
        <f t="shared" si="3"/>
        <v>9110890.125</v>
      </c>
      <c r="I13" s="2">
        <f>14360825-I14</f>
        <v>7213089</v>
      </c>
      <c r="J13" s="2">
        <f>1471855-J14</f>
        <v>776313</v>
      </c>
      <c r="K13" s="2">
        <f>24055907-K14</f>
        <v>13879797</v>
      </c>
      <c r="L13" s="2">
        <f t="shared" si="0"/>
        <v>-388818</v>
      </c>
      <c r="M13" s="2">
        <f t="shared" si="1"/>
        <v>3609313.125</v>
      </c>
      <c r="N13" s="3">
        <v>191118524</v>
      </c>
      <c r="O13" s="3">
        <v>72461451</v>
      </c>
      <c r="P13" s="6">
        <f t="shared" si="2"/>
        <v>118657073</v>
      </c>
    </row>
    <row r="14" spans="2:17" x14ac:dyDescent="0.45">
      <c r="B14" s="1" t="s">
        <v>24</v>
      </c>
      <c r="C14" s="3">
        <v>65388503</v>
      </c>
      <c r="D14" s="3">
        <v>41499985</v>
      </c>
      <c r="E14" s="3">
        <v>14505650</v>
      </c>
      <c r="F14" s="3">
        <v>9382868</v>
      </c>
      <c r="G14" s="9">
        <v>0.27500000000000002</v>
      </c>
      <c r="H14" s="2">
        <f t="shared" si="3"/>
        <v>6802579.2999999998</v>
      </c>
      <c r="I14" s="3">
        <v>7147736</v>
      </c>
      <c r="J14" s="3">
        <v>695542</v>
      </c>
      <c r="K14" s="3">
        <v>10176110</v>
      </c>
      <c r="L14" s="2">
        <f t="shared" si="0"/>
        <v>-3565337</v>
      </c>
      <c r="M14" s="2">
        <f t="shared" si="1"/>
        <v>8035084.3000000007</v>
      </c>
      <c r="N14" s="3">
        <v>209155353</v>
      </c>
      <c r="O14" s="3">
        <v>90109462</v>
      </c>
      <c r="P14" s="6">
        <f t="shared" si="2"/>
        <v>119045891</v>
      </c>
    </row>
    <row r="15" spans="2:17" x14ac:dyDescent="0.45">
      <c r="B15" s="1" t="s">
        <v>25</v>
      </c>
      <c r="C15" s="3">
        <f>236806988-C16-C17-C18</f>
        <v>61551508</v>
      </c>
      <c r="D15" s="3">
        <f>144488296-D16-D17-D18</f>
        <v>37804928</v>
      </c>
      <c r="E15" s="3">
        <f>56324816-E16-E17-E18</f>
        <v>14699579</v>
      </c>
      <c r="F15" s="3">
        <f>35993876-F16-F17-F18</f>
        <v>9047001</v>
      </c>
      <c r="G15" s="9">
        <v>0.27500000000000002</v>
      </c>
      <c r="H15" s="2">
        <f t="shared" si="3"/>
        <v>6559075.7249999996</v>
      </c>
      <c r="K15" s="2">
        <f>39411614-K16-K17-K18</f>
        <v>13200873</v>
      </c>
      <c r="L15" s="2">
        <f t="shared" si="0"/>
        <v>122611228</v>
      </c>
      <c r="M15" s="2">
        <f t="shared" si="1"/>
        <v>-129253025.27500001</v>
      </c>
      <c r="N15" s="3">
        <v>198215579</v>
      </c>
      <c r="O15" s="3">
        <v>75604351</v>
      </c>
      <c r="P15" s="6">
        <f t="shared" si="2"/>
        <v>122611228</v>
      </c>
    </row>
    <row r="16" spans="2:17" x14ac:dyDescent="0.45">
      <c r="B16" s="1" t="s">
        <v>26</v>
      </c>
      <c r="C16" s="3">
        <v>66964160</v>
      </c>
      <c r="D16" s="3">
        <v>39970476</v>
      </c>
      <c r="E16" s="6">
        <v>14640446</v>
      </c>
      <c r="F16" s="3">
        <v>12353238</v>
      </c>
      <c r="G16" s="9">
        <v>0.27500000000000002</v>
      </c>
      <c r="H16" s="2">
        <f>F16*(1-G16)</f>
        <v>8956097.5499999989</v>
      </c>
      <c r="I16" s="2">
        <f>20034922-I17-I18</f>
        <v>6835367</v>
      </c>
      <c r="J16" s="2">
        <f>2424446-J17-J18</f>
        <v>800067</v>
      </c>
      <c r="K16" s="2">
        <f>26210741-K17-K18</f>
        <v>8753644</v>
      </c>
      <c r="L16" s="2">
        <f t="shared" si="0"/>
        <v>0</v>
      </c>
      <c r="M16" s="2">
        <f t="shared" si="1"/>
        <v>7837887.5499999989</v>
      </c>
      <c r="P16" s="6">
        <f t="shared" si="2"/>
        <v>0</v>
      </c>
    </row>
    <row r="17" spans="2:16" x14ac:dyDescent="0.45">
      <c r="B17" s="1" t="s">
        <v>27</v>
      </c>
      <c r="C17" s="3">
        <v>52966142</v>
      </c>
      <c r="D17" s="3">
        <v>31906198</v>
      </c>
      <c r="E17" s="3">
        <v>12913652</v>
      </c>
      <c r="F17" s="3">
        <v>8146292</v>
      </c>
      <c r="G17" s="9">
        <v>0.27500000000000002</v>
      </c>
      <c r="H17" s="2">
        <f t="shared" si="3"/>
        <v>5906061.7000000002</v>
      </c>
      <c r="I17" s="2">
        <f>13199555-I18</f>
        <v>6608388</v>
      </c>
      <c r="J17" s="2">
        <f>1624379-J18</f>
        <v>809941</v>
      </c>
      <c r="K17" s="2">
        <f>17457097-K18</f>
        <v>9929008</v>
      </c>
      <c r="L17" s="2">
        <f t="shared" si="0"/>
        <v>0</v>
      </c>
      <c r="M17" s="2">
        <f t="shared" si="1"/>
        <v>3395382.6999999993</v>
      </c>
      <c r="P17" s="6">
        <f t="shared" si="2"/>
        <v>0</v>
      </c>
    </row>
    <row r="18" spans="2:16" x14ac:dyDescent="0.45">
      <c r="B18" s="1" t="s">
        <v>28</v>
      </c>
      <c r="C18" s="3">
        <v>55325178</v>
      </c>
      <c r="D18" s="3">
        <v>34806694</v>
      </c>
      <c r="E18" s="3">
        <v>14071139</v>
      </c>
      <c r="F18" s="3">
        <v>6447345</v>
      </c>
      <c r="G18" s="9">
        <v>0.27500000000000002</v>
      </c>
      <c r="H18" s="2">
        <f t="shared" si="3"/>
        <v>4674325.125</v>
      </c>
      <c r="I18" s="3">
        <v>6591167</v>
      </c>
      <c r="J18" s="3">
        <v>814438</v>
      </c>
      <c r="K18" s="3">
        <v>7528089</v>
      </c>
      <c r="L18" s="2">
        <f t="shared" si="0"/>
        <v>-117602496</v>
      </c>
      <c r="M18" s="2">
        <f t="shared" si="1"/>
        <v>122154337.125</v>
      </c>
      <c r="P18" s="6">
        <f t="shared" si="2"/>
        <v>0</v>
      </c>
    </row>
    <row r="19" spans="2:16" x14ac:dyDescent="0.45">
      <c r="B19" s="1" t="s">
        <v>29</v>
      </c>
      <c r="G19" s="9">
        <v>0.27500000000000002</v>
      </c>
      <c r="H19" s="2">
        <f t="shared" si="3"/>
        <v>0</v>
      </c>
      <c r="I19" s="3"/>
      <c r="L19" s="2">
        <f t="shared" si="0"/>
        <v>117602496</v>
      </c>
      <c r="M19" s="2">
        <f t="shared" si="1"/>
        <v>-117602496</v>
      </c>
      <c r="N19" s="3">
        <v>181385260</v>
      </c>
      <c r="O19" s="10">
        <v>63782764</v>
      </c>
      <c r="P19" s="6">
        <f t="shared" si="2"/>
        <v>117602496</v>
      </c>
    </row>
    <row r="20" spans="2:16" x14ac:dyDescent="0.45">
      <c r="B20" s="1" t="s">
        <v>30</v>
      </c>
      <c r="G20" s="9">
        <v>0.27500000000000002</v>
      </c>
      <c r="H20" s="2">
        <f t="shared" si="3"/>
        <v>0</v>
      </c>
      <c r="L20" s="2">
        <f t="shared" si="0"/>
        <v>0</v>
      </c>
      <c r="M20" s="2">
        <f t="shared" si="1"/>
        <v>0</v>
      </c>
      <c r="O20" s="11"/>
    </row>
    <row r="21" spans="2:16" x14ac:dyDescent="0.45">
      <c r="B21" s="1" t="s">
        <v>31</v>
      </c>
      <c r="G21" s="9">
        <v>0.27500000000000002</v>
      </c>
      <c r="H21" s="2">
        <f t="shared" si="3"/>
        <v>0</v>
      </c>
      <c r="L21" s="2">
        <f t="shared" si="0"/>
        <v>0</v>
      </c>
    </row>
    <row r="22" spans="2:16" x14ac:dyDescent="0.45">
      <c r="B22" s="1" t="s">
        <v>32</v>
      </c>
      <c r="G22" s="9">
        <v>0.27500000000000002</v>
      </c>
      <c r="H22" s="2">
        <f t="shared" si="3"/>
        <v>0</v>
      </c>
      <c r="L22" s="2">
        <f t="shared" si="0"/>
        <v>0</v>
      </c>
    </row>
    <row r="23" spans="2:16" x14ac:dyDescent="0.45">
      <c r="B23" s="1"/>
      <c r="G23" s="9">
        <v>0.27500000000000002</v>
      </c>
      <c r="H23" s="2">
        <f t="shared" si="3"/>
        <v>0</v>
      </c>
      <c r="L23" s="2">
        <f t="shared" si="0"/>
        <v>0</v>
      </c>
    </row>
    <row r="24" spans="2:16" x14ac:dyDescent="0.45">
      <c r="B24" s="1"/>
      <c r="G24" s="9">
        <v>0.27500000000000002</v>
      </c>
      <c r="H24" s="2">
        <f t="shared" si="3"/>
        <v>0</v>
      </c>
    </row>
    <row r="25" spans="2:16" x14ac:dyDescent="0.45">
      <c r="B25" s="1"/>
      <c r="G25" s="9">
        <v>0.27500000000000002</v>
      </c>
      <c r="H25" s="2">
        <f t="shared" si="3"/>
        <v>0</v>
      </c>
    </row>
    <row r="26" spans="2:16" x14ac:dyDescent="0.45">
      <c r="G26" s="9">
        <v>0.27500000000000002</v>
      </c>
      <c r="H26" s="2">
        <f t="shared" si="3"/>
        <v>0</v>
      </c>
    </row>
    <row r="27" spans="2:16" x14ac:dyDescent="0.45">
      <c r="G27" s="9">
        <v>0.27500000000000002</v>
      </c>
      <c r="H27" s="2">
        <f t="shared" si="3"/>
        <v>0</v>
      </c>
    </row>
    <row r="28" spans="2:16" x14ac:dyDescent="0.45">
      <c r="G28" s="9">
        <v>0.27500000000000002</v>
      </c>
      <c r="H28" s="2">
        <f t="shared" si="3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삼성전자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SKT01</dc:creator>
  <cp:lastModifiedBy>심현우</cp:lastModifiedBy>
  <dcterms:created xsi:type="dcterms:W3CDTF">2015-06-05T18:19:34Z</dcterms:created>
  <dcterms:modified xsi:type="dcterms:W3CDTF">2024-07-10T08:15:37Z</dcterms:modified>
</cp:coreProperties>
</file>