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KT01\Desktop\밸류포인트\DCF_Basic_firmValuation\"/>
    </mc:Choice>
  </mc:AlternateContent>
  <xr:revisionPtr revIDLastSave="0" documentId="13_ncr:1_{314FCE39-5A15-4FD6-8A9A-4BEFFC476167}" xr6:coauthVersionLast="47" xr6:coauthVersionMax="47" xr10:uidLastSave="{00000000-0000-0000-0000-000000000000}"/>
  <bookViews>
    <workbookView xWindow="41145" yWindow="1140" windowWidth="12795" windowHeight="11370" activeTab="1" xr2:uid="{00000000-000D-0000-FFFF-FFFF00000000}"/>
  </bookViews>
  <sheets>
    <sheet name="005930" sheetId="1" r:id="rId1"/>
    <sheet name="000660" sheetId="2" r:id="rId2"/>
    <sheet name="00538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I19" i="3"/>
  <c r="K19" i="3"/>
  <c r="E19" i="3"/>
  <c r="D19" i="3"/>
  <c r="C19" i="3"/>
  <c r="I20" i="3"/>
  <c r="K20" i="3"/>
  <c r="J20" i="3"/>
  <c r="J21" i="3"/>
  <c r="I21" i="3"/>
  <c r="K21" i="3"/>
  <c r="E15" i="3"/>
  <c r="D15" i="3"/>
  <c r="C15" i="3"/>
  <c r="E11" i="3"/>
  <c r="D11" i="3"/>
  <c r="C11" i="3"/>
  <c r="F11" i="3" s="1"/>
  <c r="H11" i="3" s="1"/>
  <c r="J17" i="3"/>
  <c r="J16" i="3"/>
  <c r="J15" i="3" s="1"/>
  <c r="J13" i="3"/>
  <c r="J12" i="3" s="1"/>
  <c r="J11" i="3" s="1"/>
  <c r="K17" i="3"/>
  <c r="K16" i="3" s="1"/>
  <c r="K15" i="3" s="1"/>
  <c r="K13" i="3"/>
  <c r="K12" i="3" s="1"/>
  <c r="K11" i="3" s="1"/>
  <c r="I17" i="3"/>
  <c r="I16" i="3" s="1"/>
  <c r="I15" i="3" s="1"/>
  <c r="I13" i="3"/>
  <c r="I12" i="3" s="1"/>
  <c r="I11" i="3" s="1"/>
  <c r="E7" i="3"/>
  <c r="D7" i="3"/>
  <c r="C7" i="3"/>
  <c r="E3" i="3"/>
  <c r="D3" i="3"/>
  <c r="C3" i="3"/>
  <c r="F3" i="3" s="1"/>
  <c r="H3" i="3" s="1"/>
  <c r="J8" i="3"/>
  <c r="J7" i="3" s="1"/>
  <c r="J4" i="3"/>
  <c r="J3" i="3" s="1"/>
  <c r="J9" i="3"/>
  <c r="J5" i="3"/>
  <c r="I9" i="3"/>
  <c r="I8" i="3" s="1"/>
  <c r="I7" i="3" s="1"/>
  <c r="I5" i="3"/>
  <c r="I4" i="3" s="1"/>
  <c r="I3" i="3" s="1"/>
  <c r="K9" i="3"/>
  <c r="K8" i="3" s="1"/>
  <c r="K7" i="3" s="1"/>
  <c r="K5" i="3"/>
  <c r="K4" i="3" s="1"/>
  <c r="K3" i="3" s="1"/>
  <c r="F4" i="3"/>
  <c r="H4" i="3" s="1"/>
  <c r="F5" i="3"/>
  <c r="H5" i="3" s="1"/>
  <c r="F6" i="3"/>
  <c r="F8" i="3"/>
  <c r="H8" i="3" s="1"/>
  <c r="F9" i="3"/>
  <c r="H9" i="3" s="1"/>
  <c r="F10" i="3"/>
  <c r="H10" i="3" s="1"/>
  <c r="F12" i="3"/>
  <c r="H12" i="3" s="1"/>
  <c r="F13" i="3"/>
  <c r="H13" i="3" s="1"/>
  <c r="F14" i="3"/>
  <c r="H14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H6" i="3"/>
  <c r="P23" i="3"/>
  <c r="P22" i="3"/>
  <c r="P21" i="3"/>
  <c r="L21" i="3" s="1"/>
  <c r="P20" i="3"/>
  <c r="P19" i="3"/>
  <c r="P18" i="3"/>
  <c r="P17" i="3"/>
  <c r="P16" i="3"/>
  <c r="P15" i="3"/>
  <c r="P14" i="3"/>
  <c r="P13" i="3"/>
  <c r="L13" i="3" s="1"/>
  <c r="P12" i="3"/>
  <c r="P11" i="3"/>
  <c r="P10" i="3"/>
  <c r="P9" i="3"/>
  <c r="P8" i="3"/>
  <c r="P7" i="3"/>
  <c r="P6" i="3"/>
  <c r="P5" i="3"/>
  <c r="P4" i="3"/>
  <c r="P3" i="3"/>
  <c r="E19" i="2"/>
  <c r="D19" i="2"/>
  <c r="C19" i="2"/>
  <c r="J19" i="2"/>
  <c r="I19" i="2"/>
  <c r="K19" i="2"/>
  <c r="J20" i="2"/>
  <c r="K20" i="2"/>
  <c r="I20" i="2"/>
  <c r="J21" i="2"/>
  <c r="K21" i="2"/>
  <c r="I21" i="2"/>
  <c r="P14" i="2"/>
  <c r="E15" i="2"/>
  <c r="D15" i="2"/>
  <c r="C15" i="2"/>
  <c r="F15" i="2" s="1"/>
  <c r="H15" i="2" s="1"/>
  <c r="J15" i="2"/>
  <c r="J11" i="2"/>
  <c r="I15" i="2"/>
  <c r="I11" i="2"/>
  <c r="K15" i="2"/>
  <c r="K11" i="2"/>
  <c r="E11" i="2"/>
  <c r="D11" i="2"/>
  <c r="C11" i="2"/>
  <c r="K16" i="2"/>
  <c r="K12" i="2"/>
  <c r="J16" i="2"/>
  <c r="J12" i="2"/>
  <c r="I16" i="2"/>
  <c r="I12" i="2"/>
  <c r="J17" i="2"/>
  <c r="J13" i="2"/>
  <c r="I17" i="2"/>
  <c r="I13" i="2"/>
  <c r="K17" i="2"/>
  <c r="K13" i="2"/>
  <c r="F10" i="2"/>
  <c r="F11" i="2"/>
  <c r="H11" i="2" s="1"/>
  <c r="F12" i="2"/>
  <c r="H12" i="2" s="1"/>
  <c r="F13" i="2"/>
  <c r="H13" i="2" s="1"/>
  <c r="F14" i="2"/>
  <c r="H14" i="2" s="1"/>
  <c r="F16" i="2"/>
  <c r="H16" i="2" s="1"/>
  <c r="F17" i="2"/>
  <c r="H17" i="2" s="1"/>
  <c r="F18" i="2"/>
  <c r="F19" i="2"/>
  <c r="H19" i="2" s="1"/>
  <c r="F20" i="2"/>
  <c r="H20" i="2" s="1"/>
  <c r="F21" i="2"/>
  <c r="H21" i="2" s="1"/>
  <c r="F22" i="2"/>
  <c r="H22" i="2" s="1"/>
  <c r="K7" i="2"/>
  <c r="K3" i="2"/>
  <c r="J7" i="2"/>
  <c r="J3" i="2"/>
  <c r="J4" i="2"/>
  <c r="I7" i="2"/>
  <c r="I3" i="2"/>
  <c r="E7" i="2"/>
  <c r="F7" i="2" s="1"/>
  <c r="H7" i="2" s="1"/>
  <c r="E3" i="2"/>
  <c r="D7" i="2"/>
  <c r="D3" i="2"/>
  <c r="C7" i="2"/>
  <c r="C3" i="2"/>
  <c r="F3" i="2" s="1"/>
  <c r="H3" i="2" s="1"/>
  <c r="M3" i="2" s="1"/>
  <c r="K8" i="2"/>
  <c r="K4" i="2"/>
  <c r="K9" i="2"/>
  <c r="K5" i="2"/>
  <c r="J8" i="2"/>
  <c r="I8" i="2"/>
  <c r="I4" i="2"/>
  <c r="F4" i="2"/>
  <c r="F5" i="2"/>
  <c r="F6" i="2"/>
  <c r="F8" i="2"/>
  <c r="H8" i="2" s="1"/>
  <c r="F9" i="2"/>
  <c r="H9" i="2" s="1"/>
  <c r="H10" i="2"/>
  <c r="J9" i="2"/>
  <c r="J5" i="2"/>
  <c r="I9" i="2"/>
  <c r="I5" i="2"/>
  <c r="P5" i="2"/>
  <c r="H4" i="2"/>
  <c r="M4" i="2" s="1"/>
  <c r="H5" i="2"/>
  <c r="M5" i="2" s="1"/>
  <c r="P6" i="2"/>
  <c r="H6" i="2"/>
  <c r="P23" i="2"/>
  <c r="P22" i="2"/>
  <c r="P21" i="2"/>
  <c r="P20" i="2"/>
  <c r="P19" i="2"/>
  <c r="P18" i="2"/>
  <c r="H18" i="2"/>
  <c r="P17" i="2"/>
  <c r="P16" i="2"/>
  <c r="P15" i="2"/>
  <c r="P13" i="2"/>
  <c r="P12" i="2"/>
  <c r="P11" i="2"/>
  <c r="P10" i="2"/>
  <c r="P9" i="2"/>
  <c r="P8" i="2"/>
  <c r="P7" i="2"/>
  <c r="P4" i="2"/>
  <c r="P3" i="2"/>
  <c r="P23" i="1"/>
  <c r="C3" i="1"/>
  <c r="D3" i="1"/>
  <c r="E3" i="1"/>
  <c r="F3" i="1"/>
  <c r="H3" i="1" s="1"/>
  <c r="H4" i="1"/>
  <c r="H5" i="1"/>
  <c r="H6" i="1"/>
  <c r="C7" i="1"/>
  <c r="D7" i="1"/>
  <c r="E7" i="1"/>
  <c r="F7" i="1"/>
  <c r="H7" i="1" s="1"/>
  <c r="H8" i="1"/>
  <c r="H9" i="1"/>
  <c r="H10" i="1"/>
  <c r="C11" i="1"/>
  <c r="D11" i="1"/>
  <c r="E11" i="1"/>
  <c r="F11" i="1"/>
  <c r="H11" i="1"/>
  <c r="H12" i="1"/>
  <c r="H13" i="1"/>
  <c r="H14" i="1"/>
  <c r="C15" i="1"/>
  <c r="D15" i="1"/>
  <c r="E15" i="1"/>
  <c r="F15" i="1"/>
  <c r="H15" i="1"/>
  <c r="H16" i="1"/>
  <c r="H17" i="1"/>
  <c r="H18" i="1"/>
  <c r="C19" i="1"/>
  <c r="D19" i="1"/>
  <c r="E19" i="1"/>
  <c r="F19" i="1"/>
  <c r="H19" i="1"/>
  <c r="H20" i="1"/>
  <c r="H21" i="1"/>
  <c r="P3" i="1"/>
  <c r="P4" i="1"/>
  <c r="P5" i="1"/>
  <c r="P6" i="1"/>
  <c r="P7" i="1"/>
  <c r="P8" i="1"/>
  <c r="P9" i="1"/>
  <c r="P10" i="1"/>
  <c r="P11" i="1"/>
  <c r="P12" i="1"/>
  <c r="L12" i="1" s="1"/>
  <c r="P13" i="1"/>
  <c r="P14" i="1"/>
  <c r="P15" i="1"/>
  <c r="P16" i="1"/>
  <c r="P17" i="1"/>
  <c r="P18" i="1"/>
  <c r="P19" i="1"/>
  <c r="P20" i="1"/>
  <c r="P21" i="1"/>
  <c r="P22" i="1"/>
  <c r="H22" i="1"/>
  <c r="F15" i="3" l="1"/>
  <c r="H15" i="3" s="1"/>
  <c r="M21" i="3"/>
  <c r="L7" i="3"/>
  <c r="L17" i="3"/>
  <c r="M13" i="3"/>
  <c r="M17" i="3"/>
  <c r="M15" i="3"/>
  <c r="L9" i="3"/>
  <c r="F7" i="3"/>
  <c r="H7" i="3" s="1"/>
  <c r="L12" i="3"/>
  <c r="M12" i="3" s="1"/>
  <c r="L22" i="3"/>
  <c r="M22" i="3" s="1"/>
  <c r="L20" i="3"/>
  <c r="M20" i="3" s="1"/>
  <c r="L3" i="3"/>
  <c r="M3" i="3" s="1"/>
  <c r="L4" i="3"/>
  <c r="M4" i="3" s="1"/>
  <c r="L5" i="3"/>
  <c r="M5" i="3" s="1"/>
  <c r="M9" i="3"/>
  <c r="L18" i="3"/>
  <c r="M18" i="3" s="1"/>
  <c r="L8" i="3"/>
  <c r="M8" i="3" s="1"/>
  <c r="L10" i="3"/>
  <c r="M10" i="3" s="1"/>
  <c r="L14" i="3"/>
  <c r="M14" i="3" s="1"/>
  <c r="L16" i="3"/>
  <c r="M16" i="3" s="1"/>
  <c r="L15" i="3"/>
  <c r="L19" i="3"/>
  <c r="M19" i="3" s="1"/>
  <c r="L11" i="3"/>
  <c r="M11" i="3" s="1"/>
  <c r="L6" i="3"/>
  <c r="M6" i="3" s="1"/>
  <c r="L12" i="2"/>
  <c r="M12" i="2" s="1"/>
  <c r="L7" i="2"/>
  <c r="M7" i="2" s="1"/>
  <c r="L3" i="2"/>
  <c r="L14" i="2"/>
  <c r="M14" i="2" s="1"/>
  <c r="L5" i="2"/>
  <c r="L16" i="2"/>
  <c r="M16" i="2" s="1"/>
  <c r="L21" i="2"/>
  <c r="M21" i="2" s="1"/>
  <c r="L18" i="2"/>
  <c r="M18" i="2" s="1"/>
  <c r="L22" i="2"/>
  <c r="M22" i="2" s="1"/>
  <c r="L9" i="2"/>
  <c r="M9" i="2" s="1"/>
  <c r="L10" i="2"/>
  <c r="M10" i="2" s="1"/>
  <c r="L4" i="2"/>
  <c r="L19" i="2"/>
  <c r="M19" i="2" s="1"/>
  <c r="L6" i="2"/>
  <c r="M6" i="2" s="1"/>
  <c r="L13" i="2"/>
  <c r="M13" i="2" s="1"/>
  <c r="L8" i="2"/>
  <c r="M8" i="2" s="1"/>
  <c r="L15" i="2"/>
  <c r="M15" i="2" s="1"/>
  <c r="L17" i="2"/>
  <c r="M17" i="2" s="1"/>
  <c r="L11" i="2"/>
  <c r="M11" i="2" s="1"/>
  <c r="L20" i="2"/>
  <c r="M20" i="2" s="1"/>
  <c r="L14" i="1"/>
  <c r="L11" i="1"/>
  <c r="L3" i="1"/>
  <c r="L17" i="1"/>
  <c r="L15" i="1"/>
  <c r="L7" i="1"/>
  <c r="L5" i="1"/>
  <c r="L18" i="1"/>
  <c r="M18" i="1" s="1"/>
  <c r="L10" i="1"/>
  <c r="M10" i="1" s="1"/>
  <c r="L8" i="1"/>
  <c r="L21" i="1"/>
  <c r="L19" i="1"/>
  <c r="L16" i="1"/>
  <c r="L13" i="1"/>
  <c r="L22" i="1"/>
  <c r="M22" i="1" s="1"/>
  <c r="L6" i="1"/>
  <c r="M6" i="1" s="1"/>
  <c r="L20" i="1"/>
  <c r="L4" i="1"/>
  <c r="L9" i="1"/>
  <c r="M14" i="1"/>
  <c r="M7" i="3" l="1"/>
  <c r="I5" i="1"/>
  <c r="J9" i="1" l="1"/>
  <c r="J8" i="1" s="1"/>
  <c r="J7" i="1" s="1"/>
  <c r="J13" i="1"/>
  <c r="J12" i="1" s="1"/>
  <c r="J11" i="1" s="1"/>
  <c r="J17" i="1"/>
  <c r="J16" i="1" s="1"/>
  <c r="J15" i="1" s="1"/>
  <c r="I9" i="1"/>
  <c r="K9" i="1"/>
  <c r="K8" i="1" s="1"/>
  <c r="K7" i="1" s="1"/>
  <c r="K13" i="1"/>
  <c r="K12" i="1" s="1"/>
  <c r="K11" i="1" s="1"/>
  <c r="M9" i="1" l="1"/>
  <c r="I8" i="1"/>
  <c r="I13" i="1"/>
  <c r="I7" i="1" l="1"/>
  <c r="M7" i="1" s="1"/>
  <c r="M8" i="1"/>
  <c r="M13" i="1"/>
  <c r="I17" i="1" l="1"/>
  <c r="I16" i="1" s="1"/>
  <c r="I15" i="1" s="1"/>
  <c r="I21" i="1" l="1"/>
  <c r="I20" i="1" l="1"/>
  <c r="I19" i="1" l="1"/>
  <c r="J21" i="1"/>
  <c r="J20" i="1"/>
  <c r="J19" i="1"/>
  <c r="K21" i="1"/>
  <c r="M21" i="1" s="1"/>
  <c r="K17" i="1"/>
  <c r="M17" i="1"/>
  <c r="K16" i="1"/>
  <c r="M16" i="1" s="1"/>
  <c r="K15" i="1"/>
  <c r="M15" i="1" s="1"/>
  <c r="I12" i="1"/>
  <c r="M12" i="1" s="1"/>
  <c r="I11" i="1"/>
  <c r="M11" i="1" s="1"/>
  <c r="J5" i="1"/>
  <c r="M5" i="1" s="1"/>
  <c r="K5" i="1"/>
  <c r="K4" i="1" s="1"/>
  <c r="K3" i="1" s="1"/>
  <c r="I4" i="1"/>
  <c r="I3" i="1"/>
  <c r="K20" i="1" l="1"/>
  <c r="J4" i="1"/>
  <c r="J3" i="1" l="1"/>
  <c r="M3" i="1" s="1"/>
  <c r="M4" i="1"/>
  <c r="M20" i="1"/>
  <c r="K19" i="1"/>
  <c r="M19" i="1" s="1"/>
</calcChain>
</file>

<file path=xl/sharedStrings.xml><?xml version="1.0" encoding="utf-8"?>
<sst xmlns="http://schemas.openxmlformats.org/spreadsheetml/2006/main" count="121" uniqueCount="41">
  <si>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</si>
  <si>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</si>
  <si>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</si>
  <si>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</si>
  <si>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</si>
  <si>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</si>
  <si>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</si>
  <si>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</si>
  <si>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</si>
  <si>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</si>
  <si>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</si>
  <si>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</si>
  <si>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</si>
  <si>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</si>
  <si>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</si>
  <si>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</si>
  <si>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</si>
  <si>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</si>
  <si>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</si>
  <si>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</si>
  <si>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</si>
  <si>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</si>
  <si>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</si>
  <si>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</si>
  <si>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</si>
  <si>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</si>
  <si>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</si>
  <si>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</si>
  <si>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</si>
  <si>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</si>
  <si>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</si>
  <si>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</si>
  <si>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</si>
  <si>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</si>
  <si>
    <t>분기</t>
    <phoneticPr fontId="1" type="noConversion"/>
  </si>
  <si>
    <t>자산</t>
    <phoneticPr fontId="1" type="noConversion"/>
  </si>
  <si>
    <t>자본</t>
    <phoneticPr fontId="1" type="noConversion"/>
  </si>
  <si>
    <t>부채</t>
    <phoneticPr fontId="1" type="noConversion"/>
  </si>
  <si>
    <t>비유동자산</t>
    <phoneticPr fontId="1" type="noConversion"/>
  </si>
  <si>
    <t>비유동부채</t>
    <phoneticPr fontId="1" type="noConversion"/>
  </si>
  <si>
    <t>46,826,413 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</si>
</sst>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ajor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76" fontId="2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3" fontId="5" fillId="0" borderId="0" xfId="0" applyNumberFormat="1" applyFont="1"/>
    <xf numFmtId="176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176" fontId="7" fillId="0" borderId="0" xfId="0" applyNumberFormat="1" applyFont="1"/>
    <xf numFmtId="3" fontId="8" fillId="0" borderId="0" xfId="0" applyNumberFormat="1" applyFont="1"/>
    <xf numFmtId="3" fontId="7" fillId="0" borderId="0" xfId="0" applyNumberFormat="1" applyFont="1"/>
    <xf numFmtId="0" fontId="8" fillId="0" borderId="0" xfId="0" applyFont="1"/>
    <xf numFmtId="0" fontId="7" fillId="0" borderId="0" xfId="0" applyFont="1"/>
    <xf numFmtId="3" fontId="9" fillId="0" borderId="0" xfId="0" applyNumberFormat="1" applyFont="1"/>
    <xf numFmtId="3" fontId="10" fillId="0" borderId="0" xfId="0" applyNumberFormat="1" applyFont="1"/>
    <xf numFmtId="176" fontId="9" fillId="0" borderId="0" xfId="0" applyNumberFormat="1" applyFont="1"/>
    <xf numFmtId="3" fontId="9" fillId="0" borderId="0" xfId="0" applyNumberFormat="1" applyFont="1" applyAlignment="1">
      <alignment horizontal="right" vertical="center" wrapText="1"/>
    </xf>
    <xf numFmtId="0" fontId="10" fillId="0" borderId="0" xfId="0" applyFont="1"/>
    <xf numFmtId="0" fontId="9" fillId="0" borderId="1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U28"/>
  <sheetViews>
    <sheetView topLeftCell="N1" zoomScaleNormal="100" workbookViewId="0">
      <selection activeCell="G6" sqref="G6"/>
    </sheetView>
  </sheetViews>
  <sheetFormatPr defaultColWidth="8.83203125" defaultRowHeight="17" x14ac:dyDescent="0.45"/>
  <cols>
    <col min="2" max="2" width="9.5" bestFit="1" customWidth="1"/>
    <col min="3" max="4" width="10.1640625" bestFit="1" customWidth="1"/>
    <col min="5" max="5" width="10.6640625" bestFit="1" customWidth="1"/>
    <col min="6" max="6" width="10.1640625" bestFit="1" customWidth="1"/>
    <col min="7" max="7" width="10.83203125" bestFit="1" customWidth="1"/>
    <col min="8" max="8" width="12.33203125" bestFit="1" customWidth="1"/>
    <col min="9" max="10" width="18.33203125" bestFit="1" customWidth="1"/>
    <col min="11" max="11" width="10.5" bestFit="1" customWidth="1"/>
    <col min="12" max="12" width="14.33203125" bestFit="1" customWidth="1"/>
    <col min="13" max="13" width="12.1640625" bestFit="1" customWidth="1"/>
    <col min="14" max="14" width="11.33203125" bestFit="1" customWidth="1"/>
    <col min="15" max="15" width="10.83203125" bestFit="1" customWidth="1"/>
    <col min="16" max="16" width="12.33203125" bestFit="1" customWidth="1"/>
    <col min="17" max="17" width="11.83203125" bestFit="1" customWidth="1"/>
    <col min="18" max="18" width="12.33203125" bestFit="1" customWidth="1"/>
    <col min="19" max="19" width="10.83203125" bestFit="1" customWidth="1"/>
    <col min="20" max="20" width="11" bestFit="1" customWidth="1"/>
    <col min="21" max="21" width="10.5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6">
        <f>258935494-C4-C5-C6</f>
        <v>67779938</v>
      </c>
      <c r="D3" s="6">
        <f>180388580-D4-D5-D6</f>
        <v>46115571</v>
      </c>
      <c r="E3" s="6">
        <f>71979938-E4-E5-E6</f>
        <v>18839650</v>
      </c>
      <c r="F3" s="6">
        <f>6566976-F4-F5-F6</f>
        <v>2824717</v>
      </c>
      <c r="G3" s="7">
        <v>0.25</v>
      </c>
      <c r="H3" s="6">
        <f t="shared" ref="H3:H22" si="0">F3*(1-G3)</f>
        <v>2118537.75</v>
      </c>
      <c r="I3" s="8">
        <f>35532411-I4-I5-I6</f>
        <v>9063346</v>
      </c>
      <c r="J3" s="6">
        <f>3134148-J4-J5-J6</f>
        <v>771036</v>
      </c>
      <c r="K3" s="6">
        <f>54916362-K4-K5-K6</f>
        <v>16629676</v>
      </c>
      <c r="L3" s="6">
        <f t="shared" ref="L3:L22" si="1">P3-P4</f>
        <v>-12596315</v>
      </c>
      <c r="M3" s="6">
        <f t="shared" ref="M3:M22" si="2">H3+I3+J3-K3-L3</f>
        <v>7919558.75</v>
      </c>
      <c r="N3" s="8">
        <v>195936557</v>
      </c>
      <c r="O3" s="8">
        <v>75719452</v>
      </c>
      <c r="P3" s="9">
        <f t="shared" ref="P3:P23" si="3">N3-O3</f>
        <v>120217105</v>
      </c>
      <c r="Q3" s="3">
        <v>455905980</v>
      </c>
      <c r="R3" s="3">
        <v>363677865</v>
      </c>
      <c r="S3" s="3">
        <v>92228115</v>
      </c>
      <c r="T3" s="3">
        <v>259969423</v>
      </c>
      <c r="U3" s="3">
        <v>16508663</v>
      </c>
    </row>
    <row r="4" spans="2:21" x14ac:dyDescent="0.45">
      <c r="B4" s="1" t="s">
        <v>2</v>
      </c>
      <c r="C4" s="8">
        <v>67404652</v>
      </c>
      <c r="D4" s="8">
        <v>46618726</v>
      </c>
      <c r="E4" s="8">
        <v>18352392</v>
      </c>
      <c r="F4" s="8">
        <v>2433534</v>
      </c>
      <c r="G4" s="7">
        <v>0.25</v>
      </c>
      <c r="H4" s="6">
        <f t="shared" si="0"/>
        <v>1825150.5</v>
      </c>
      <c r="I4" s="8">
        <f>26469065-I5-I6</f>
        <v>8900426</v>
      </c>
      <c r="J4" s="8">
        <f>2363112-J5-J6</f>
        <v>786661</v>
      </c>
      <c r="K4" s="6">
        <f>38286686-K5-K6</f>
        <v>11987374</v>
      </c>
      <c r="L4" s="6">
        <f t="shared" si="1"/>
        <v>-381315</v>
      </c>
      <c r="M4" s="6">
        <f t="shared" si="2"/>
        <v>-93821.5</v>
      </c>
      <c r="N4" s="8">
        <v>206438600</v>
      </c>
      <c r="O4" s="8">
        <v>73625180</v>
      </c>
      <c r="P4" s="9">
        <f t="shared" si="3"/>
        <v>132813420</v>
      </c>
    </row>
    <row r="5" spans="2:21" x14ac:dyDescent="0.45">
      <c r="B5" s="1" t="s">
        <v>1</v>
      </c>
      <c r="C5" s="8">
        <v>60005533</v>
      </c>
      <c r="D5" s="8">
        <v>41647190</v>
      </c>
      <c r="E5" s="8">
        <v>17689796</v>
      </c>
      <c r="F5" s="8">
        <v>668547</v>
      </c>
      <c r="G5" s="7">
        <v>0.25</v>
      </c>
      <c r="H5" s="6">
        <f t="shared" si="0"/>
        <v>501410.25</v>
      </c>
      <c r="I5" s="8">
        <f>17568639-I6</f>
        <v>8767744</v>
      </c>
      <c r="J5" s="6">
        <f>1576451-J6</f>
        <v>790853</v>
      </c>
      <c r="K5" s="6">
        <f>26299312-K6</f>
        <v>14955979</v>
      </c>
      <c r="L5" s="6">
        <f t="shared" si="1"/>
        <v>-5189958</v>
      </c>
      <c r="M5" s="6">
        <f t="shared" si="2"/>
        <v>293986.25</v>
      </c>
      <c r="N5" s="8">
        <v>203975373</v>
      </c>
      <c r="O5" s="8">
        <v>70780638</v>
      </c>
      <c r="P5" s="9">
        <f t="shared" si="3"/>
        <v>133194735</v>
      </c>
    </row>
    <row r="6" spans="2:21" x14ac:dyDescent="0.45">
      <c r="B6" s="1" t="s">
        <v>0</v>
      </c>
      <c r="C6" s="8">
        <v>63745371</v>
      </c>
      <c r="D6" s="8">
        <v>46007093</v>
      </c>
      <c r="E6" s="8">
        <v>17098100</v>
      </c>
      <c r="F6" s="9">
        <v>640178</v>
      </c>
      <c r="G6" s="7">
        <v>0.25</v>
      </c>
      <c r="H6" s="6">
        <f t="shared" si="0"/>
        <v>480133.5</v>
      </c>
      <c r="I6" s="8">
        <v>8800895</v>
      </c>
      <c r="J6" s="10">
        <v>785598</v>
      </c>
      <c r="K6" s="10">
        <v>11343333</v>
      </c>
      <c r="L6" s="6">
        <f t="shared" si="1"/>
        <v>-1741036</v>
      </c>
      <c r="M6" s="6">
        <f t="shared" si="2"/>
        <v>464329.5</v>
      </c>
      <c r="N6" s="8">
        <v>214442141</v>
      </c>
      <c r="O6" s="8">
        <v>76057448</v>
      </c>
      <c r="P6" s="9">
        <f t="shared" si="3"/>
        <v>138384693</v>
      </c>
      <c r="Q6" s="5"/>
    </row>
    <row r="7" spans="2:21" x14ac:dyDescent="0.45">
      <c r="B7" s="1" t="s">
        <v>4</v>
      </c>
      <c r="C7" s="6">
        <f>302231360-C8-C9-C10</f>
        <v>70464575</v>
      </c>
      <c r="D7" s="6">
        <f>190041770-D8-D9-D10</f>
        <v>48627728</v>
      </c>
      <c r="E7" s="6">
        <f>68812960-E8-E9-E10</f>
        <v>17530716</v>
      </c>
      <c r="F7" s="6">
        <f>43376630-F8-F9-F10</f>
        <v>4306131</v>
      </c>
      <c r="G7" s="7">
        <v>0.25</v>
      </c>
      <c r="H7" s="6">
        <f t="shared" si="0"/>
        <v>3229598.25</v>
      </c>
      <c r="I7" s="6">
        <f>35952098-I8-I9-I10</f>
        <v>8843137</v>
      </c>
      <c r="J7" s="6">
        <f>3155561-J8-J9-J10</f>
        <v>805921</v>
      </c>
      <c r="K7" s="6">
        <f>55226960-K8-K9-K10</f>
        <v>21125529</v>
      </c>
      <c r="L7" s="6">
        <f t="shared" si="1"/>
        <v>-25469239</v>
      </c>
      <c r="M7" s="6">
        <f t="shared" si="2"/>
        <v>17222366.25</v>
      </c>
      <c r="N7" s="8">
        <v>218470581</v>
      </c>
      <c r="O7" s="8">
        <v>78344852</v>
      </c>
      <c r="P7" s="9">
        <f t="shared" si="3"/>
        <v>140125729</v>
      </c>
    </row>
    <row r="8" spans="2:21" x14ac:dyDescent="0.45">
      <c r="B8" s="1" t="s">
        <v>7</v>
      </c>
      <c r="C8" s="8">
        <v>76781680</v>
      </c>
      <c r="D8" s="8">
        <v>48072237</v>
      </c>
      <c r="E8" s="8">
        <v>17857398</v>
      </c>
      <c r="F8" s="8">
        <v>10852045</v>
      </c>
      <c r="G8" s="7">
        <v>0.25</v>
      </c>
      <c r="H8" s="6">
        <f t="shared" si="0"/>
        <v>8139033.75</v>
      </c>
      <c r="I8" s="8">
        <f>27108961-I9-I10</f>
        <v>9031116</v>
      </c>
      <c r="J8" s="8">
        <f>2349640-J9-J10</f>
        <v>806611</v>
      </c>
      <c r="K8" s="6">
        <f>34101431-K9-K10</f>
        <v>13347026</v>
      </c>
      <c r="L8" s="6">
        <f t="shared" si="1"/>
        <v>12669745</v>
      </c>
      <c r="M8" s="6">
        <f t="shared" si="2"/>
        <v>-8040010.25</v>
      </c>
      <c r="N8" s="8">
        <v>250880637</v>
      </c>
      <c r="O8" s="8">
        <v>85285669</v>
      </c>
      <c r="P8" s="9">
        <f t="shared" si="3"/>
        <v>165594968</v>
      </c>
    </row>
    <row r="9" spans="2:21" x14ac:dyDescent="0.45">
      <c r="B9" s="1" t="s">
        <v>8</v>
      </c>
      <c r="C9" s="8">
        <v>77203607</v>
      </c>
      <c r="D9" s="8">
        <v>46269748</v>
      </c>
      <c r="E9" s="8">
        <v>16836814</v>
      </c>
      <c r="F9" s="8">
        <v>14097045</v>
      </c>
      <c r="G9" s="7">
        <v>0.25</v>
      </c>
      <c r="H9" s="6">
        <f t="shared" si="0"/>
        <v>10572783.75</v>
      </c>
      <c r="I9" s="8">
        <f>18077845-I10</f>
        <v>9068814</v>
      </c>
      <c r="J9" s="6">
        <f>1543029-J10</f>
        <v>772552</v>
      </c>
      <c r="K9" s="6">
        <f>20754405-K10</f>
        <v>12655538</v>
      </c>
      <c r="L9" s="6">
        <f t="shared" si="1"/>
        <v>11019842</v>
      </c>
      <c r="M9" s="6">
        <f t="shared" si="2"/>
        <v>-3261230.25</v>
      </c>
      <c r="N9" s="8">
        <v>236287491</v>
      </c>
      <c r="O9" s="8">
        <v>83362268</v>
      </c>
      <c r="P9" s="9">
        <f t="shared" si="3"/>
        <v>152925223</v>
      </c>
    </row>
    <row r="10" spans="2:21" x14ac:dyDescent="0.45">
      <c r="B10" s="1" t="s">
        <v>9</v>
      </c>
      <c r="C10" s="8">
        <v>77781498</v>
      </c>
      <c r="D10" s="8">
        <v>47072057</v>
      </c>
      <c r="E10" s="8">
        <v>16588032</v>
      </c>
      <c r="F10" s="8">
        <v>14121409</v>
      </c>
      <c r="G10" s="7">
        <v>0.25</v>
      </c>
      <c r="H10" s="6">
        <f t="shared" si="0"/>
        <v>10591056.75</v>
      </c>
      <c r="I10" s="8">
        <v>9009031</v>
      </c>
      <c r="J10" s="8">
        <v>770477</v>
      </c>
      <c r="K10" s="8">
        <v>8098867</v>
      </c>
      <c r="L10" s="6">
        <f t="shared" si="1"/>
        <v>11859329</v>
      </c>
      <c r="M10" s="6">
        <f t="shared" si="2"/>
        <v>412368.75</v>
      </c>
      <c r="N10" s="8">
        <v>232369082</v>
      </c>
      <c r="O10" s="8">
        <v>90463701</v>
      </c>
      <c r="P10" s="9">
        <f t="shared" si="3"/>
        <v>141905381</v>
      </c>
    </row>
    <row r="11" spans="2:21" x14ac:dyDescent="0.45">
      <c r="B11" s="1" t="s">
        <v>21</v>
      </c>
      <c r="C11" s="6">
        <f>279604799-C12-C13-C14</f>
        <v>76565524</v>
      </c>
      <c r="D11" s="6">
        <f>166411342-D12-D13-D14</f>
        <v>44946555</v>
      </c>
      <c r="E11" s="6">
        <f>61559601-E12-E13-E14</f>
        <v>17752257</v>
      </c>
      <c r="F11" s="6">
        <f>51633856-F12-F13-F14</f>
        <v>13866712</v>
      </c>
      <c r="G11" s="7">
        <v>0.25</v>
      </c>
      <c r="H11" s="6">
        <f t="shared" si="0"/>
        <v>10400034</v>
      </c>
      <c r="I11" s="8">
        <f>31285209-I12-I13-I14</f>
        <v>8864570</v>
      </c>
      <c r="J11" s="6">
        <f>2962152-J12-J13-J14</f>
        <v>737262</v>
      </c>
      <c r="K11" s="8">
        <f>49965164-K12-K13-K14</f>
        <v>15692542</v>
      </c>
      <c r="L11" s="6">
        <f t="shared" si="1"/>
        <v>-875003</v>
      </c>
      <c r="M11" s="6">
        <f t="shared" si="2"/>
        <v>5184327</v>
      </c>
      <c r="N11" s="8">
        <v>218163185</v>
      </c>
      <c r="O11" s="8">
        <v>88117133</v>
      </c>
      <c r="P11" s="9">
        <f t="shared" si="3"/>
        <v>130046052</v>
      </c>
    </row>
    <row r="12" spans="2:21" x14ac:dyDescent="0.45">
      <c r="B12" s="1" t="s">
        <v>22</v>
      </c>
      <c r="C12" s="8">
        <v>73979187</v>
      </c>
      <c r="D12" s="8">
        <v>42898871</v>
      </c>
      <c r="E12" s="8">
        <v>15262785</v>
      </c>
      <c r="F12" s="8">
        <v>15817531</v>
      </c>
      <c r="G12" s="7">
        <v>0.25</v>
      </c>
      <c r="H12" s="6">
        <f t="shared" si="0"/>
        <v>11863148.25</v>
      </c>
      <c r="I12" s="6">
        <f>22420639-I13-I14</f>
        <v>8059814</v>
      </c>
      <c r="J12" s="6">
        <f>2224890-J13-J14</f>
        <v>753035</v>
      </c>
      <c r="K12" s="6">
        <f>34272622-K13-K14</f>
        <v>10216715</v>
      </c>
      <c r="L12" s="6">
        <f t="shared" si="1"/>
        <v>12263982</v>
      </c>
      <c r="M12" s="6">
        <f t="shared" si="2"/>
        <v>-1804699.75</v>
      </c>
      <c r="N12" s="8">
        <v>212793019</v>
      </c>
      <c r="O12" s="8">
        <v>81871964</v>
      </c>
      <c r="P12" s="9">
        <f t="shared" si="3"/>
        <v>130921055</v>
      </c>
    </row>
    <row r="13" spans="2:21" x14ac:dyDescent="0.45">
      <c r="B13" s="1" t="s">
        <v>23</v>
      </c>
      <c r="C13" s="8">
        <v>63671585</v>
      </c>
      <c r="D13" s="8">
        <v>37065931</v>
      </c>
      <c r="E13" s="8">
        <v>14038909</v>
      </c>
      <c r="F13" s="8">
        <v>12566745</v>
      </c>
      <c r="G13" s="7">
        <v>0.25</v>
      </c>
      <c r="H13" s="6">
        <f t="shared" si="0"/>
        <v>9425058.75</v>
      </c>
      <c r="I13" s="6">
        <f>14360825-I14</f>
        <v>7213089</v>
      </c>
      <c r="J13" s="6">
        <f>1471855-J14</f>
        <v>776313</v>
      </c>
      <c r="K13" s="6">
        <f>24055907-K14</f>
        <v>13879797</v>
      </c>
      <c r="L13" s="6">
        <f t="shared" si="1"/>
        <v>-388818</v>
      </c>
      <c r="M13" s="6">
        <f t="shared" si="2"/>
        <v>3923481.75</v>
      </c>
      <c r="N13" s="8">
        <v>191118524</v>
      </c>
      <c r="O13" s="8">
        <v>72461451</v>
      </c>
      <c r="P13" s="9">
        <f t="shared" si="3"/>
        <v>118657073</v>
      </c>
    </row>
    <row r="14" spans="2:21" x14ac:dyDescent="0.45">
      <c r="B14" s="1" t="s">
        <v>24</v>
      </c>
      <c r="C14" s="8">
        <v>65388503</v>
      </c>
      <c r="D14" s="8">
        <v>41499985</v>
      </c>
      <c r="E14" s="8">
        <v>14505650</v>
      </c>
      <c r="F14" s="8">
        <v>9382868</v>
      </c>
      <c r="G14" s="7">
        <v>0.25</v>
      </c>
      <c r="H14" s="6">
        <f t="shared" si="0"/>
        <v>7037151</v>
      </c>
      <c r="I14" s="8">
        <v>7147736</v>
      </c>
      <c r="J14" s="8">
        <v>695542</v>
      </c>
      <c r="K14" s="8">
        <v>10176110</v>
      </c>
      <c r="L14" s="6">
        <f t="shared" si="1"/>
        <v>-3565337</v>
      </c>
      <c r="M14" s="6">
        <f t="shared" si="2"/>
        <v>8269656</v>
      </c>
      <c r="N14" s="8">
        <v>209155353</v>
      </c>
      <c r="O14" s="8">
        <v>90109462</v>
      </c>
      <c r="P14" s="9">
        <f t="shared" si="3"/>
        <v>119045891</v>
      </c>
    </row>
    <row r="15" spans="2:21" x14ac:dyDescent="0.45">
      <c r="B15" s="1" t="s">
        <v>25</v>
      </c>
      <c r="C15" s="8">
        <f>236806988-C16-C17-C18</f>
        <v>61551508</v>
      </c>
      <c r="D15" s="8">
        <f>144488296-D16-D17-D18</f>
        <v>37804928</v>
      </c>
      <c r="E15" s="8">
        <f>56324816-E16-E17-E18</f>
        <v>14699579</v>
      </c>
      <c r="F15" s="8">
        <f>35993876-F16-F17-F18</f>
        <v>9047001</v>
      </c>
      <c r="G15" s="7">
        <v>0.25</v>
      </c>
      <c r="H15" s="6">
        <f t="shared" si="0"/>
        <v>6785250.75</v>
      </c>
      <c r="I15" s="6">
        <f>27115735-I16-I17-I18</f>
        <v>7080813</v>
      </c>
      <c r="J15" s="6">
        <f>3219881-J16-J17-J18</f>
        <v>795435</v>
      </c>
      <c r="K15" s="6">
        <f>39411614-K16-K17-K18</f>
        <v>13200873</v>
      </c>
      <c r="L15" s="6">
        <f t="shared" si="1"/>
        <v>-7977280</v>
      </c>
      <c r="M15" s="6">
        <f t="shared" si="2"/>
        <v>9437905.75</v>
      </c>
      <c r="N15" s="8">
        <v>198215579</v>
      </c>
      <c r="O15" s="8">
        <v>75604351</v>
      </c>
      <c r="P15" s="9">
        <f t="shared" si="3"/>
        <v>122611228</v>
      </c>
    </row>
    <row r="16" spans="2:21" x14ac:dyDescent="0.45">
      <c r="B16" s="1" t="s">
        <v>26</v>
      </c>
      <c r="C16" s="8">
        <v>66964160</v>
      </c>
      <c r="D16" s="8">
        <v>39970476</v>
      </c>
      <c r="E16" s="9">
        <v>14640446</v>
      </c>
      <c r="F16" s="8">
        <v>12353238</v>
      </c>
      <c r="G16" s="7">
        <v>0.25</v>
      </c>
      <c r="H16" s="6">
        <f t="shared" si="0"/>
        <v>9264928.5</v>
      </c>
      <c r="I16" s="6">
        <f>20034922-I17-I18</f>
        <v>6835367</v>
      </c>
      <c r="J16" s="6">
        <f>2424446-J17-J18</f>
        <v>800067</v>
      </c>
      <c r="K16" s="6">
        <f>26210741-K17-K18</f>
        <v>8753644</v>
      </c>
      <c r="L16" s="6">
        <f t="shared" si="1"/>
        <v>6315384</v>
      </c>
      <c r="M16" s="6">
        <f t="shared" si="2"/>
        <v>1831334.5</v>
      </c>
      <c r="N16" s="8">
        <v>203634913</v>
      </c>
      <c r="O16" s="8">
        <v>73046405</v>
      </c>
      <c r="P16" s="9">
        <f t="shared" si="3"/>
        <v>130588508</v>
      </c>
    </row>
    <row r="17" spans="2:16" x14ac:dyDescent="0.45">
      <c r="B17" s="1" t="s">
        <v>27</v>
      </c>
      <c r="C17" s="8">
        <v>52966142</v>
      </c>
      <c r="D17" s="8">
        <v>31906198</v>
      </c>
      <c r="E17" s="8">
        <v>12913652</v>
      </c>
      <c r="F17" s="8">
        <v>8146292</v>
      </c>
      <c r="G17" s="7">
        <v>0.25</v>
      </c>
      <c r="H17" s="6">
        <f t="shared" si="0"/>
        <v>6109719</v>
      </c>
      <c r="I17" s="6">
        <f>13199555-I18</f>
        <v>6608388</v>
      </c>
      <c r="J17" s="6">
        <f>1624379-J18</f>
        <v>809941</v>
      </c>
      <c r="K17" s="6">
        <f>17457097-K18</f>
        <v>9929008</v>
      </c>
      <c r="L17" s="6">
        <f t="shared" si="1"/>
        <v>2296666</v>
      </c>
      <c r="M17" s="6">
        <f t="shared" si="2"/>
        <v>1302374</v>
      </c>
      <c r="N17" s="8">
        <v>186136845</v>
      </c>
      <c r="O17" s="8">
        <v>61863721</v>
      </c>
      <c r="P17" s="9">
        <f t="shared" si="3"/>
        <v>124273124</v>
      </c>
    </row>
    <row r="18" spans="2:16" x14ac:dyDescent="0.45">
      <c r="B18" s="1" t="s">
        <v>28</v>
      </c>
      <c r="C18" s="8">
        <v>55325178</v>
      </c>
      <c r="D18" s="8">
        <v>34806694</v>
      </c>
      <c r="E18" s="8">
        <v>14071139</v>
      </c>
      <c r="F18" s="8">
        <v>6447345</v>
      </c>
      <c r="G18" s="7">
        <v>0.25</v>
      </c>
      <c r="H18" s="6">
        <f t="shared" si="0"/>
        <v>4835508.75</v>
      </c>
      <c r="I18" s="8">
        <v>6591167</v>
      </c>
      <c r="J18" s="8">
        <v>814438</v>
      </c>
      <c r="K18" s="8">
        <v>7528089</v>
      </c>
      <c r="L18" s="6">
        <f t="shared" si="1"/>
        <v>4373962</v>
      </c>
      <c r="M18" s="6">
        <f t="shared" si="2"/>
        <v>339062.75</v>
      </c>
      <c r="N18" s="8">
        <v>186739748</v>
      </c>
      <c r="O18" s="8">
        <v>64763290</v>
      </c>
      <c r="P18" s="9">
        <f t="shared" si="3"/>
        <v>121976458</v>
      </c>
    </row>
    <row r="19" spans="2:16" x14ac:dyDescent="0.45">
      <c r="B19" s="1" t="s">
        <v>29</v>
      </c>
      <c r="C19" s="8">
        <f>230400881-C20-C21-C22</f>
        <v>59884760</v>
      </c>
      <c r="D19" s="6">
        <f>147239549-D20-D21-D22</f>
        <v>38554523</v>
      </c>
      <c r="E19" s="6">
        <f>55392823-E20-E21-E22</f>
        <v>14169967</v>
      </c>
      <c r="F19" s="6">
        <f>27768509-F20-F21-F22</f>
        <v>7160270</v>
      </c>
      <c r="G19" s="7">
        <v>0.25</v>
      </c>
      <c r="H19" s="6">
        <f t="shared" si="0"/>
        <v>5370202.5</v>
      </c>
      <c r="I19" s="8">
        <f>26573816-I20-I21-I22</f>
        <v>6546933</v>
      </c>
      <c r="J19" s="6">
        <f>3023822-J20-J21-J22</f>
        <v>2196901</v>
      </c>
      <c r="K19" s="6">
        <f>28020080-K20-K21-K22</f>
        <v>10344718</v>
      </c>
      <c r="L19" s="6">
        <f t="shared" si="1"/>
        <v>-5136446</v>
      </c>
      <c r="M19" s="6">
        <f t="shared" si="2"/>
        <v>8905764.5</v>
      </c>
      <c r="N19" s="8">
        <v>181385260</v>
      </c>
      <c r="O19" s="10">
        <v>63782764</v>
      </c>
      <c r="P19" s="9">
        <f t="shared" si="3"/>
        <v>117602496</v>
      </c>
    </row>
    <row r="20" spans="2:16" x14ac:dyDescent="0.45">
      <c r="B20" s="1" t="s">
        <v>30</v>
      </c>
      <c r="C20" s="8">
        <v>62003471</v>
      </c>
      <c r="D20" s="8">
        <v>39993890</v>
      </c>
      <c r="E20" s="8">
        <v>14231689</v>
      </c>
      <c r="F20" s="8">
        <v>7777892</v>
      </c>
      <c r="G20" s="7">
        <v>0.25</v>
      </c>
      <c r="H20" s="6">
        <f t="shared" si="0"/>
        <v>5833419</v>
      </c>
      <c r="I20" s="6">
        <f>20026883-I21-I22</f>
        <v>6545815</v>
      </c>
      <c r="J20" s="6">
        <f>826921-J21-J22</f>
        <v>321745</v>
      </c>
      <c r="K20" s="8">
        <f>17675362-K21-K22</f>
        <v>6453743</v>
      </c>
      <c r="L20" s="6">
        <f t="shared" si="1"/>
        <v>8614735</v>
      </c>
      <c r="M20" s="6">
        <f t="shared" si="2"/>
        <v>-2367499</v>
      </c>
      <c r="N20" s="8">
        <v>186042134</v>
      </c>
      <c r="O20" s="8">
        <v>63303192</v>
      </c>
      <c r="P20" s="9">
        <f t="shared" si="3"/>
        <v>122738942</v>
      </c>
    </row>
    <row r="21" spans="2:16" x14ac:dyDescent="0.45">
      <c r="B21" s="1" t="s">
        <v>31</v>
      </c>
      <c r="C21" s="8">
        <v>56127104</v>
      </c>
      <c r="D21" s="8">
        <v>35944684</v>
      </c>
      <c r="E21" s="8">
        <v>13585355</v>
      </c>
      <c r="F21" s="8">
        <v>6597065</v>
      </c>
      <c r="G21" s="7">
        <v>0.25</v>
      </c>
      <c r="H21" s="6">
        <f t="shared" si="0"/>
        <v>4947798.75</v>
      </c>
      <c r="I21" s="6">
        <f>13481068-I22</f>
        <v>6640252</v>
      </c>
      <c r="J21" s="6">
        <f>505176-J22</f>
        <v>250448</v>
      </c>
      <c r="K21" s="6">
        <f>11221619-K22</f>
        <v>6512102</v>
      </c>
      <c r="L21" s="6">
        <f t="shared" si="1"/>
        <v>4089774</v>
      </c>
      <c r="M21" s="6">
        <f t="shared" si="2"/>
        <v>1236622.75</v>
      </c>
      <c r="N21" s="8">
        <v>173433478</v>
      </c>
      <c r="O21" s="8">
        <v>59309271</v>
      </c>
      <c r="P21" s="9">
        <f t="shared" si="3"/>
        <v>114124207</v>
      </c>
    </row>
    <row r="22" spans="2:16" x14ac:dyDescent="0.45">
      <c r="B22" s="1" t="s">
        <v>32</v>
      </c>
      <c r="C22" s="8">
        <v>52385546</v>
      </c>
      <c r="D22" s="8">
        <v>32746452</v>
      </c>
      <c r="E22" s="8">
        <v>13405812</v>
      </c>
      <c r="F22" s="8">
        <v>6233282</v>
      </c>
      <c r="G22" s="7">
        <v>0.25</v>
      </c>
      <c r="H22" s="6">
        <f t="shared" si="0"/>
        <v>4674961.5</v>
      </c>
      <c r="I22" s="8">
        <v>6840816</v>
      </c>
      <c r="J22" s="8">
        <v>254728</v>
      </c>
      <c r="K22" s="8">
        <v>4709517</v>
      </c>
      <c r="L22" s="6">
        <f t="shared" si="1"/>
        <v>4418519</v>
      </c>
      <c r="M22" s="6">
        <f t="shared" si="2"/>
        <v>2642469.5</v>
      </c>
      <c r="N22" s="8">
        <v>177388524</v>
      </c>
      <c r="O22" s="8">
        <v>67354091</v>
      </c>
      <c r="P22" s="9">
        <f t="shared" si="3"/>
        <v>110034433</v>
      </c>
    </row>
    <row r="23" spans="2:16" x14ac:dyDescent="0.45">
      <c r="B23" s="1"/>
      <c r="G23" s="4"/>
      <c r="H23" s="2"/>
      <c r="L23" s="2"/>
      <c r="N23" s="3">
        <v>174697424</v>
      </c>
      <c r="O23" s="3">
        <v>69081510</v>
      </c>
      <c r="P23" s="11">
        <f t="shared" si="3"/>
        <v>105615914</v>
      </c>
    </row>
    <row r="24" spans="2:16" x14ac:dyDescent="0.45">
      <c r="B24" s="1"/>
      <c r="G24" s="4"/>
      <c r="H24" s="2"/>
    </row>
    <row r="25" spans="2:16" x14ac:dyDescent="0.45">
      <c r="B25" s="1"/>
      <c r="G25" s="4"/>
      <c r="H25" s="2"/>
    </row>
    <row r="26" spans="2:16" x14ac:dyDescent="0.45">
      <c r="G26" s="4"/>
      <c r="H26" s="2"/>
    </row>
    <row r="27" spans="2:16" x14ac:dyDescent="0.45">
      <c r="G27" s="4"/>
      <c r="H27" s="2"/>
    </row>
    <row r="28" spans="2:16" x14ac:dyDescent="0.45">
      <c r="G28" s="4"/>
      <c r="H2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B0E6-A363-4AB0-9C02-84B4D7634C26}">
  <sheetPr>
    <tabColor rgb="FFFF0000"/>
  </sheetPr>
  <dimension ref="B2:U23"/>
  <sheetViews>
    <sheetView tabSelected="1" topLeftCell="R1" zoomScale="133" workbookViewId="0">
      <selection activeCell="T8" sqref="T8"/>
    </sheetView>
  </sheetViews>
  <sheetFormatPr defaultColWidth="8.83203125" defaultRowHeight="17" x14ac:dyDescent="0.45"/>
  <cols>
    <col min="3" max="5" width="14.6640625" bestFit="1" customWidth="1"/>
    <col min="6" max="6" width="10.5" bestFit="1" customWidth="1"/>
    <col min="7" max="7" width="9" bestFit="1" customWidth="1"/>
    <col min="8" max="8" width="13.1640625" bestFit="1" customWidth="1"/>
    <col min="9" max="10" width="19.33203125" bestFit="1" customWidth="1"/>
    <col min="11" max="11" width="13.33203125" customWidth="1"/>
    <col min="12" max="12" width="15.1640625" bestFit="1" customWidth="1"/>
    <col min="13" max="13" width="10.33203125" bestFit="1" customWidth="1"/>
    <col min="14" max="15" width="16.33203125" bestFit="1" customWidth="1"/>
    <col min="16" max="16" width="11.5" bestFit="1" customWidth="1"/>
    <col min="17" max="17" width="18" bestFit="1" customWidth="1"/>
    <col min="18" max="18" width="16.33203125" bestFit="1" customWidth="1"/>
    <col min="19" max="19" width="12.5" bestFit="1" customWidth="1"/>
    <col min="20" max="21" width="16.33203125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12">
        <f>32765719-C4-C5-C6</f>
        <v>11305504</v>
      </c>
      <c r="D3" s="12">
        <f>33299167-D4-D5-D6</f>
        <v>9079951</v>
      </c>
      <c r="E3" s="13">
        <f>7196865-E4-E5-E6</f>
        <v>1879519</v>
      </c>
      <c r="F3" s="14">
        <f t="shared" ref="F3:F22" si="0">C3-D3-E3</f>
        <v>346034</v>
      </c>
      <c r="G3" s="15">
        <v>0.25</v>
      </c>
      <c r="H3" s="16">
        <f t="shared" ref="H3:H22" si="1">F3*(1-G3)</f>
        <v>259525.5</v>
      </c>
      <c r="I3" s="17">
        <f>12730450-I4-I5-I6</f>
        <v>3003990</v>
      </c>
      <c r="J3" s="17">
        <f>552541-J4-J5-J6</f>
        <v>122729</v>
      </c>
      <c r="K3" s="16">
        <f>6591450-K4-K5-K6</f>
        <v>2393635</v>
      </c>
      <c r="L3" s="16">
        <f t="shared" ref="L3:L22" si="2">P3-P4</f>
        <v>-683555</v>
      </c>
      <c r="M3" s="16">
        <f>H3+I3+J3-K3-L3</f>
        <v>1676164.5</v>
      </c>
      <c r="N3" s="17">
        <v>30468100</v>
      </c>
      <c r="O3" s="17">
        <v>21007810</v>
      </c>
      <c r="P3" s="9">
        <f t="shared" ref="P3:P23" si="3">N3-O3</f>
        <v>9460290</v>
      </c>
      <c r="Q3" s="17">
        <v>100330165</v>
      </c>
      <c r="R3" s="17">
        <v>53503752</v>
      </c>
      <c r="S3" s="19" t="s">
        <v>40</v>
      </c>
      <c r="T3" s="17">
        <v>69862065</v>
      </c>
      <c r="U3" s="17">
        <v>25818603</v>
      </c>
    </row>
    <row r="4" spans="2:21" x14ac:dyDescent="0.45">
      <c r="B4" s="1" t="s">
        <v>2</v>
      </c>
      <c r="C4" s="17">
        <v>9066171</v>
      </c>
      <c r="D4" s="17">
        <v>9002045</v>
      </c>
      <c r="E4" s="17">
        <v>1856087</v>
      </c>
      <c r="F4" s="14">
        <f t="shared" si="0"/>
        <v>-1791961</v>
      </c>
      <c r="G4" s="15">
        <v>0.25</v>
      </c>
      <c r="H4" s="16">
        <f t="shared" si="1"/>
        <v>-1343970.75</v>
      </c>
      <c r="I4" s="17">
        <f>9726460-I5-I6</f>
        <v>3100469</v>
      </c>
      <c r="J4" s="17">
        <f>429812-J5-J6</f>
        <v>150902</v>
      </c>
      <c r="K4" s="17">
        <f>4197815-K5-K6</f>
        <v>1484258</v>
      </c>
      <c r="L4" s="16">
        <f t="shared" si="2"/>
        <v>259146</v>
      </c>
      <c r="M4" s="16">
        <f t="shared" ref="M4:M22" si="4">H4+I4+J4-K4-L4</f>
        <v>163996.25</v>
      </c>
      <c r="N4" s="17">
        <v>30393967</v>
      </c>
      <c r="O4" s="17">
        <v>20250122</v>
      </c>
      <c r="P4" s="9">
        <f>N4-O4</f>
        <v>10143845</v>
      </c>
    </row>
    <row r="5" spans="2:21" x14ac:dyDescent="0.45">
      <c r="B5" s="1" t="s">
        <v>1</v>
      </c>
      <c r="C5" s="17">
        <v>7305933</v>
      </c>
      <c r="D5" s="17">
        <v>8483761</v>
      </c>
      <c r="E5" s="17">
        <v>1704256</v>
      </c>
      <c r="F5" s="14">
        <f t="shared" si="0"/>
        <v>-2882084</v>
      </c>
      <c r="G5" s="15">
        <v>0.25</v>
      </c>
      <c r="H5" s="16">
        <f t="shared" si="1"/>
        <v>-2161563</v>
      </c>
      <c r="I5" s="16">
        <f>6625991-I6</f>
        <v>3273961</v>
      </c>
      <c r="J5" s="16">
        <f>278910-J6</f>
        <v>152675</v>
      </c>
      <c r="K5" s="16">
        <f>2713557-K6</f>
        <v>965770</v>
      </c>
      <c r="L5" s="16">
        <f t="shared" si="2"/>
        <v>-1673185</v>
      </c>
      <c r="M5" s="16">
        <f t="shared" si="4"/>
        <v>1972488</v>
      </c>
      <c r="N5" s="17">
        <v>29661132</v>
      </c>
      <c r="O5" s="17">
        <v>19776433</v>
      </c>
      <c r="P5" s="9">
        <f>N5-O5</f>
        <v>9884699</v>
      </c>
    </row>
    <row r="6" spans="2:21" x14ac:dyDescent="0.45">
      <c r="B6" s="1" t="s">
        <v>0</v>
      </c>
      <c r="C6" s="12">
        <v>5088111</v>
      </c>
      <c r="D6" s="12">
        <v>6733410</v>
      </c>
      <c r="E6" s="17">
        <v>1757003</v>
      </c>
      <c r="F6" s="14">
        <f t="shared" si="0"/>
        <v>-3402302</v>
      </c>
      <c r="G6" s="15">
        <v>0.25</v>
      </c>
      <c r="H6" s="16">
        <f t="shared" si="1"/>
        <v>-2551726.5</v>
      </c>
      <c r="I6" s="17">
        <v>3352030</v>
      </c>
      <c r="J6" s="17">
        <v>126235</v>
      </c>
      <c r="K6" s="17">
        <v>1747787</v>
      </c>
      <c r="L6" s="16">
        <f t="shared" si="2"/>
        <v>2668248</v>
      </c>
      <c r="M6" s="16">
        <f t="shared" si="4"/>
        <v>-3489496.5</v>
      </c>
      <c r="N6" s="17">
        <v>28834021</v>
      </c>
      <c r="O6" s="17">
        <v>17276137</v>
      </c>
      <c r="P6" s="9">
        <f>N6-O6</f>
        <v>11557884</v>
      </c>
      <c r="Q6" s="5"/>
    </row>
    <row r="7" spans="2:21" x14ac:dyDescent="0.45">
      <c r="B7" s="1" t="s">
        <v>4</v>
      </c>
      <c r="C7" s="17">
        <f>44621568-C8-C9-C10</f>
        <v>7672031</v>
      </c>
      <c r="D7" s="17">
        <f>28993713-D8-D9-D10</f>
        <v>7648613</v>
      </c>
      <c r="E7" s="16">
        <f>8818438-E8-E9-E10</f>
        <v>1935647</v>
      </c>
      <c r="F7" s="14">
        <f t="shared" si="0"/>
        <v>-1912229</v>
      </c>
      <c r="G7" s="15">
        <v>0.25</v>
      </c>
      <c r="H7" s="16">
        <f t="shared" si="1"/>
        <v>-1434171.75</v>
      </c>
      <c r="I7" s="16">
        <f>13045058-I8-I9-I10</f>
        <v>3477301</v>
      </c>
      <c r="J7" s="16">
        <f>779609-J8-J9-J10</f>
        <v>157144</v>
      </c>
      <c r="K7" s="16">
        <f>19649909-K8-K9-K10</f>
        <v>5106551</v>
      </c>
      <c r="L7" s="16">
        <f t="shared" si="2"/>
        <v>-4624162</v>
      </c>
      <c r="M7" s="16">
        <f t="shared" si="4"/>
        <v>1717884.25</v>
      </c>
      <c r="N7" s="17">
        <v>28733332</v>
      </c>
      <c r="O7" s="17">
        <v>19843696</v>
      </c>
      <c r="P7" s="9">
        <f t="shared" si="3"/>
        <v>8889636</v>
      </c>
    </row>
    <row r="8" spans="2:21" x14ac:dyDescent="0.45">
      <c r="B8" s="1" t="s">
        <v>7</v>
      </c>
      <c r="C8" s="17">
        <v>10982883</v>
      </c>
      <c r="D8" s="17">
        <v>7117303</v>
      </c>
      <c r="E8" s="17">
        <v>2205057</v>
      </c>
      <c r="F8" s="14">
        <f t="shared" si="0"/>
        <v>1660523</v>
      </c>
      <c r="G8" s="15">
        <v>0.25</v>
      </c>
      <c r="H8" s="16">
        <f t="shared" si="1"/>
        <v>1245392.25</v>
      </c>
      <c r="I8" s="17">
        <f>9567757-I9-I10</f>
        <v>3295534</v>
      </c>
      <c r="J8" s="17">
        <f>622465-J9-J10</f>
        <v>177823</v>
      </c>
      <c r="K8" s="16">
        <f>14543358-K9-K10</f>
        <v>4021334</v>
      </c>
      <c r="L8" s="16">
        <f t="shared" si="2"/>
        <v>663827</v>
      </c>
      <c r="M8" s="16">
        <f t="shared" si="4"/>
        <v>33588.25</v>
      </c>
      <c r="N8" s="17">
        <v>31896913</v>
      </c>
      <c r="O8" s="17">
        <v>18383115</v>
      </c>
      <c r="P8" s="9">
        <f t="shared" si="3"/>
        <v>13513798</v>
      </c>
    </row>
    <row r="9" spans="2:21" x14ac:dyDescent="0.45">
      <c r="B9" s="1" t="s">
        <v>8</v>
      </c>
      <c r="C9" s="17">
        <v>13811001</v>
      </c>
      <c r="D9" s="17">
        <v>7473340</v>
      </c>
      <c r="E9" s="17">
        <v>2140435</v>
      </c>
      <c r="F9" s="14">
        <f t="shared" si="0"/>
        <v>4197226</v>
      </c>
      <c r="G9" s="15">
        <v>0.25</v>
      </c>
      <c r="H9" s="16">
        <f t="shared" si="1"/>
        <v>3147919.5</v>
      </c>
      <c r="I9" s="17">
        <f>6272223-I10</f>
        <v>3177666</v>
      </c>
      <c r="J9" s="16">
        <f>444642-J10</f>
        <v>221631</v>
      </c>
      <c r="K9" s="16">
        <f>10522024-K10</f>
        <v>5490109</v>
      </c>
      <c r="L9" s="16">
        <f t="shared" si="2"/>
        <v>1741457</v>
      </c>
      <c r="M9" s="16">
        <f t="shared" si="4"/>
        <v>-684349.5</v>
      </c>
      <c r="N9" s="17">
        <v>29719276</v>
      </c>
      <c r="O9" s="17">
        <v>16869305</v>
      </c>
      <c r="P9" s="9">
        <f t="shared" si="3"/>
        <v>12849971</v>
      </c>
    </row>
    <row r="10" spans="2:21" x14ac:dyDescent="0.45">
      <c r="B10" s="1" t="s">
        <v>9</v>
      </c>
      <c r="C10" s="17">
        <v>12155653</v>
      </c>
      <c r="D10" s="17">
        <v>6754457</v>
      </c>
      <c r="E10" s="17">
        <v>2537299</v>
      </c>
      <c r="F10" s="14">
        <f t="shared" si="0"/>
        <v>2863897</v>
      </c>
      <c r="G10" s="15">
        <v>0.25</v>
      </c>
      <c r="H10" s="16">
        <f t="shared" si="1"/>
        <v>2147922.75</v>
      </c>
      <c r="I10" s="17">
        <v>3094557</v>
      </c>
      <c r="J10" s="17">
        <v>223011</v>
      </c>
      <c r="K10" s="17">
        <v>5031915</v>
      </c>
      <c r="L10" s="16">
        <f t="shared" si="2"/>
        <v>-1063166</v>
      </c>
      <c r="M10" s="16">
        <f t="shared" si="4"/>
        <v>1496741.75</v>
      </c>
      <c r="N10" s="17">
        <v>27767761</v>
      </c>
      <c r="O10" s="17">
        <v>16659247</v>
      </c>
      <c r="P10" s="9">
        <f t="shared" si="3"/>
        <v>11108514</v>
      </c>
    </row>
    <row r="11" spans="2:21" x14ac:dyDescent="0.45">
      <c r="B11" s="1" t="s">
        <v>21</v>
      </c>
      <c r="C11" s="16">
        <f>42997792-C12-C13-C14</f>
        <v>12376609</v>
      </c>
      <c r="D11" s="16">
        <f>24045600-D12-D13-D14</f>
        <v>6323463</v>
      </c>
      <c r="E11" s="16">
        <f>6541852-E12-E13-E14</f>
        <v>1833622</v>
      </c>
      <c r="F11" s="14">
        <f t="shared" si="0"/>
        <v>4219524</v>
      </c>
      <c r="G11" s="15">
        <v>0.25</v>
      </c>
      <c r="H11" s="16">
        <f t="shared" si="1"/>
        <v>3164643</v>
      </c>
      <c r="I11" s="17">
        <f>9536696-I12-I13-I14</f>
        <v>2506924</v>
      </c>
      <c r="J11" s="16">
        <f>795933-J12-J13-J14</f>
        <v>219462</v>
      </c>
      <c r="K11" s="17">
        <f>13370055-K12-K13-K14</f>
        <v>4214523</v>
      </c>
      <c r="L11" s="16">
        <f t="shared" si="2"/>
        <v>-2193221</v>
      </c>
      <c r="M11" s="16">
        <f t="shared" si="4"/>
        <v>3869727</v>
      </c>
      <c r="N11" s="17">
        <v>26907075</v>
      </c>
      <c r="O11" s="17">
        <v>14735395</v>
      </c>
      <c r="P11" s="9">
        <f t="shared" si="3"/>
        <v>12171680</v>
      </c>
    </row>
    <row r="12" spans="2:21" x14ac:dyDescent="0.45">
      <c r="B12" s="1" t="s">
        <v>22</v>
      </c>
      <c r="C12" s="17">
        <v>11805324</v>
      </c>
      <c r="D12" s="17">
        <v>5974270</v>
      </c>
      <c r="E12" s="17">
        <v>1659233</v>
      </c>
      <c r="F12" s="14">
        <f t="shared" si="0"/>
        <v>4171821</v>
      </c>
      <c r="G12" s="15">
        <v>0.25</v>
      </c>
      <c r="H12" s="16">
        <f t="shared" si="1"/>
        <v>3128865.75</v>
      </c>
      <c r="I12" s="16">
        <f>7029772-I13-I14</f>
        <v>2415103</v>
      </c>
      <c r="J12" s="16">
        <f>576471-J13-J14</f>
        <v>213481</v>
      </c>
      <c r="K12" s="16">
        <f>9155532-K13-K14</f>
        <v>2394525</v>
      </c>
      <c r="L12" s="16">
        <f t="shared" si="2"/>
        <v>3452268</v>
      </c>
      <c r="M12" s="16">
        <f t="shared" si="4"/>
        <v>-89343.25</v>
      </c>
      <c r="N12" s="17">
        <v>24910504</v>
      </c>
      <c r="O12" s="17">
        <v>10545603</v>
      </c>
      <c r="P12" s="9">
        <f t="shared" si="3"/>
        <v>14364901</v>
      </c>
    </row>
    <row r="13" spans="2:21" x14ac:dyDescent="0.45">
      <c r="B13" s="1" t="s">
        <v>23</v>
      </c>
      <c r="C13" s="17">
        <v>10321671</v>
      </c>
      <c r="D13" s="17">
        <v>5982227</v>
      </c>
      <c r="E13" s="17">
        <v>1644870</v>
      </c>
      <c r="F13" s="14">
        <f t="shared" si="0"/>
        <v>2694574</v>
      </c>
      <c r="G13" s="15">
        <v>0.25</v>
      </c>
      <c r="H13" s="16">
        <f t="shared" si="1"/>
        <v>2020930.5</v>
      </c>
      <c r="I13" s="16">
        <f>4614669-I14</f>
        <v>2343666</v>
      </c>
      <c r="J13" s="16">
        <f>362990-J14</f>
        <v>187312</v>
      </c>
      <c r="K13" s="16">
        <f>6761007-K14</f>
        <v>2591970</v>
      </c>
      <c r="L13" s="16">
        <f t="shared" si="2"/>
        <v>2358748</v>
      </c>
      <c r="M13" s="16">
        <f t="shared" si="4"/>
        <v>-398809.5</v>
      </c>
      <c r="N13" s="17">
        <v>20099557</v>
      </c>
      <c r="O13" s="17">
        <v>9186924</v>
      </c>
      <c r="P13" s="9">
        <f t="shared" si="3"/>
        <v>10912633</v>
      </c>
    </row>
    <row r="14" spans="2:21" x14ac:dyDescent="0.45">
      <c r="B14" s="1" t="s">
        <v>24</v>
      </c>
      <c r="C14" s="17">
        <v>8494188</v>
      </c>
      <c r="D14" s="17">
        <v>5765640</v>
      </c>
      <c r="E14" s="17">
        <v>1404127</v>
      </c>
      <c r="F14" s="14">
        <f t="shared" si="0"/>
        <v>1324421</v>
      </c>
      <c r="G14" s="15">
        <v>0.25</v>
      </c>
      <c r="H14" s="16">
        <f t="shared" si="1"/>
        <v>993315.75</v>
      </c>
      <c r="I14" s="17">
        <v>2271003</v>
      </c>
      <c r="J14" s="17">
        <v>175678</v>
      </c>
      <c r="K14" s="17">
        <v>4169037</v>
      </c>
      <c r="L14" s="16">
        <f t="shared" si="2"/>
        <v>1055292</v>
      </c>
      <c r="M14" s="16">
        <f t="shared" si="4"/>
        <v>-1784332.25</v>
      </c>
      <c r="N14" s="17">
        <v>18384877</v>
      </c>
      <c r="O14" s="17">
        <v>9830992</v>
      </c>
      <c r="P14" s="9">
        <f>N14-O14</f>
        <v>8553885</v>
      </c>
    </row>
    <row r="15" spans="2:21" x14ac:dyDescent="0.45">
      <c r="B15" s="1" t="s">
        <v>25</v>
      </c>
      <c r="C15" s="17">
        <f>31900418-C16-C17-C18</f>
        <v>7966225</v>
      </c>
      <c r="D15" s="17">
        <f>21089789-D16-D17-D18</f>
        <v>5542146</v>
      </c>
      <c r="E15" s="17">
        <f>5798005-E16-E17-E18</f>
        <v>1465182</v>
      </c>
      <c r="F15" s="14">
        <f t="shared" si="0"/>
        <v>958897</v>
      </c>
      <c r="G15" s="15">
        <v>0.25</v>
      </c>
      <c r="H15" s="16">
        <f t="shared" si="1"/>
        <v>719172.75</v>
      </c>
      <c r="I15" s="16">
        <f>8515134-I16-I17-I18</f>
        <v>2187024</v>
      </c>
      <c r="J15" s="16">
        <f>960550-J16-J17-J18</f>
        <v>255619</v>
      </c>
      <c r="K15" s="16">
        <f>10048798-K16-K17-K18</f>
        <v>3201128</v>
      </c>
      <c r="L15" s="16">
        <f t="shared" si="2"/>
        <v>-685999</v>
      </c>
      <c r="M15" s="16">
        <f t="shared" si="4"/>
        <v>646686.75</v>
      </c>
      <c r="N15" s="17">
        <v>16570953</v>
      </c>
      <c r="O15" s="17">
        <v>9072360</v>
      </c>
      <c r="P15" s="9">
        <f t="shared" si="3"/>
        <v>7498593</v>
      </c>
    </row>
    <row r="16" spans="2:21" x14ac:dyDescent="0.45">
      <c r="B16" s="1" t="s">
        <v>26</v>
      </c>
      <c r="C16" s="17">
        <v>8128767</v>
      </c>
      <c r="D16" s="17">
        <v>5283294</v>
      </c>
      <c r="E16" s="17">
        <v>1543561</v>
      </c>
      <c r="F16" s="14">
        <f t="shared" si="0"/>
        <v>1301912</v>
      </c>
      <c r="G16" s="15">
        <v>0.25</v>
      </c>
      <c r="H16" s="16">
        <f t="shared" si="1"/>
        <v>976434</v>
      </c>
      <c r="I16" s="16">
        <f>6328110-I17-I18</f>
        <v>2145761</v>
      </c>
      <c r="J16" s="16">
        <f>704931-J17-J18</f>
        <v>273245</v>
      </c>
      <c r="K16" s="16">
        <f>6847670-K17-K18</f>
        <v>2233591</v>
      </c>
      <c r="L16" s="16">
        <f t="shared" si="2"/>
        <v>417239</v>
      </c>
      <c r="M16" s="16">
        <f t="shared" si="4"/>
        <v>744610</v>
      </c>
      <c r="N16" s="17">
        <v>17036210</v>
      </c>
      <c r="O16" s="17">
        <v>8851618</v>
      </c>
      <c r="P16" s="9">
        <f t="shared" si="3"/>
        <v>8184592</v>
      </c>
    </row>
    <row r="17" spans="2:16" x14ac:dyDescent="0.45">
      <c r="B17" s="1" t="s">
        <v>27</v>
      </c>
      <c r="C17" s="17">
        <v>8606534</v>
      </c>
      <c r="D17" s="17">
        <v>5259991</v>
      </c>
      <c r="E17" s="17">
        <v>1397490</v>
      </c>
      <c r="F17" s="14">
        <f t="shared" si="0"/>
        <v>1949053</v>
      </c>
      <c r="G17" s="15">
        <v>0.25</v>
      </c>
      <c r="H17" s="16">
        <f t="shared" si="1"/>
        <v>1461789.75</v>
      </c>
      <c r="I17" s="16">
        <f>4182349-I18</f>
        <v>2112741</v>
      </c>
      <c r="J17" s="16">
        <f>431686-J18</f>
        <v>241526</v>
      </c>
      <c r="K17" s="16">
        <f>4614079-K18</f>
        <v>2306258</v>
      </c>
      <c r="L17" s="16">
        <f t="shared" si="2"/>
        <v>674843</v>
      </c>
      <c r="M17" s="16">
        <f t="shared" si="4"/>
        <v>834955.75</v>
      </c>
      <c r="N17" s="17">
        <v>17362825</v>
      </c>
      <c r="O17" s="17">
        <v>9595472</v>
      </c>
      <c r="P17" s="9">
        <f t="shared" si="3"/>
        <v>7767353</v>
      </c>
    </row>
    <row r="18" spans="2:16" x14ac:dyDescent="0.45">
      <c r="B18" s="1" t="s">
        <v>28</v>
      </c>
      <c r="C18" s="17">
        <v>7198892</v>
      </c>
      <c r="D18" s="17">
        <v>5004358</v>
      </c>
      <c r="E18" s="17">
        <v>1391772</v>
      </c>
      <c r="F18" s="14">
        <f t="shared" si="0"/>
        <v>802762</v>
      </c>
      <c r="G18" s="15">
        <v>0.25</v>
      </c>
      <c r="H18" s="16">
        <f t="shared" si="1"/>
        <v>602071.5</v>
      </c>
      <c r="I18" s="17">
        <v>2069608</v>
      </c>
      <c r="J18" s="17">
        <v>190160</v>
      </c>
      <c r="K18" s="17">
        <v>2307821</v>
      </c>
      <c r="L18" s="16">
        <f t="shared" si="2"/>
        <v>508941</v>
      </c>
      <c r="M18" s="16">
        <f t="shared" si="4"/>
        <v>45077.5</v>
      </c>
      <c r="N18" s="17">
        <v>15799759</v>
      </c>
      <c r="O18" s="17">
        <v>8707249</v>
      </c>
      <c r="P18" s="9">
        <f t="shared" si="3"/>
        <v>7092510</v>
      </c>
    </row>
    <row r="19" spans="2:16" x14ac:dyDescent="0.45">
      <c r="B19" s="1" t="s">
        <v>29</v>
      </c>
      <c r="C19" s="17">
        <f>26990733-C20-C21-C22</f>
        <v>6927111</v>
      </c>
      <c r="D19" s="16">
        <f>18825275-D20-D21-D22</f>
        <v>5274304</v>
      </c>
      <c r="E19" s="16">
        <f>5452740-E20-E21-E22</f>
        <v>1416770</v>
      </c>
      <c r="F19" s="14">
        <f t="shared" si="0"/>
        <v>236037</v>
      </c>
      <c r="G19" s="15">
        <v>0.25</v>
      </c>
      <c r="H19" s="16">
        <f t="shared" si="1"/>
        <v>177027.75</v>
      </c>
      <c r="I19" s="17">
        <f>7511794-I20-I21-I22</f>
        <v>2022063</v>
      </c>
      <c r="J19" s="16">
        <f>795169-J20-J21-J22</f>
        <v>169706</v>
      </c>
      <c r="K19" s="16">
        <f>12575458-K20-K21-K22</f>
        <v>3166879</v>
      </c>
      <c r="L19" s="16">
        <f t="shared" si="2"/>
        <v>-764506</v>
      </c>
      <c r="M19" s="16">
        <f t="shared" si="4"/>
        <v>-33576.25</v>
      </c>
      <c r="N19" s="17">
        <v>14457602</v>
      </c>
      <c r="O19" s="17">
        <v>7874033</v>
      </c>
      <c r="P19" s="9">
        <f t="shared" si="3"/>
        <v>6583569</v>
      </c>
    </row>
    <row r="20" spans="2:16" x14ac:dyDescent="0.45">
      <c r="B20" s="1" t="s">
        <v>30</v>
      </c>
      <c r="C20" s="17">
        <v>6838766</v>
      </c>
      <c r="D20" s="17">
        <v>5023127</v>
      </c>
      <c r="E20" s="17">
        <v>1343078</v>
      </c>
      <c r="F20" s="14">
        <f t="shared" si="0"/>
        <v>472561</v>
      </c>
      <c r="G20" s="15">
        <v>0.25</v>
      </c>
      <c r="H20" s="16">
        <f t="shared" si="1"/>
        <v>354420.75</v>
      </c>
      <c r="I20" s="16">
        <f>5489731-I21-I22</f>
        <v>1922231</v>
      </c>
      <c r="J20" s="16">
        <f>625463-J21-J22</f>
        <v>177450</v>
      </c>
      <c r="K20" s="17">
        <f>9408579-K21-K22</f>
        <v>2401985</v>
      </c>
      <c r="L20" s="16">
        <f t="shared" si="2"/>
        <v>618096</v>
      </c>
      <c r="M20" s="16">
        <f t="shared" si="4"/>
        <v>-565979.25</v>
      </c>
      <c r="N20" s="17">
        <v>14175499</v>
      </c>
      <c r="O20" s="17">
        <v>6827424</v>
      </c>
      <c r="P20" s="9">
        <f t="shared" si="3"/>
        <v>7348075</v>
      </c>
    </row>
    <row r="21" spans="2:16" x14ac:dyDescent="0.45">
      <c r="B21" s="1" t="s">
        <v>31</v>
      </c>
      <c r="C21" s="17">
        <v>6452201</v>
      </c>
      <c r="D21" s="17">
        <v>4435389</v>
      </c>
      <c r="E21" s="17">
        <v>1379182</v>
      </c>
      <c r="F21" s="14">
        <f t="shared" si="0"/>
        <v>637630</v>
      </c>
      <c r="G21" s="15">
        <v>0.25</v>
      </c>
      <c r="H21" s="16">
        <f t="shared" si="1"/>
        <v>478222.5</v>
      </c>
      <c r="I21" s="16">
        <f>3567500-I22</f>
        <v>1817349</v>
      </c>
      <c r="J21" s="16">
        <f>448013-J22</f>
        <v>226915</v>
      </c>
      <c r="K21" s="16">
        <f>7006594-K22</f>
        <v>3947703</v>
      </c>
      <c r="L21" s="16">
        <f t="shared" si="2"/>
        <v>1343465</v>
      </c>
      <c r="M21" s="16">
        <f t="shared" si="4"/>
        <v>-2768681.5</v>
      </c>
      <c r="N21" s="17">
        <v>14242750</v>
      </c>
      <c r="O21" s="17">
        <v>7512771</v>
      </c>
      <c r="P21" s="9">
        <f t="shared" si="3"/>
        <v>6729979</v>
      </c>
    </row>
    <row r="22" spans="2:16" x14ac:dyDescent="0.45">
      <c r="B22" s="1" t="s">
        <v>32</v>
      </c>
      <c r="C22" s="17">
        <v>6772655</v>
      </c>
      <c r="D22" s="17">
        <v>4092455</v>
      </c>
      <c r="E22" s="17">
        <v>1313710</v>
      </c>
      <c r="F22" s="14">
        <f t="shared" si="0"/>
        <v>1366490</v>
      </c>
      <c r="G22" s="15">
        <v>0.25</v>
      </c>
      <c r="H22" s="16">
        <f t="shared" si="1"/>
        <v>1024867.5</v>
      </c>
      <c r="I22" s="17">
        <v>1750151</v>
      </c>
      <c r="J22" s="17">
        <v>221098</v>
      </c>
      <c r="K22" s="17">
        <v>3058891</v>
      </c>
      <c r="L22" s="16">
        <f t="shared" si="2"/>
        <v>-1475780</v>
      </c>
      <c r="M22" s="16">
        <f t="shared" si="4"/>
        <v>1413005.5</v>
      </c>
      <c r="N22" s="17">
        <v>18618236</v>
      </c>
      <c r="O22" s="17">
        <v>13231722</v>
      </c>
      <c r="P22" s="9">
        <f t="shared" si="3"/>
        <v>5386514</v>
      </c>
    </row>
    <row r="23" spans="2:16" x14ac:dyDescent="0.45">
      <c r="B23" s="1"/>
      <c r="G23" s="4"/>
      <c r="H23" s="2"/>
      <c r="J23" s="18"/>
      <c r="K23" s="18"/>
      <c r="L23" s="16"/>
      <c r="M23" s="18"/>
      <c r="N23" s="17">
        <v>19894146</v>
      </c>
      <c r="O23" s="17">
        <v>13031852</v>
      </c>
      <c r="P23" s="11">
        <f t="shared" si="3"/>
        <v>6862294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2224-3336-9D4D-9CA8-86E1706224EC}">
  <sheetPr>
    <tabColor theme="3"/>
  </sheetPr>
  <dimension ref="B2:U23"/>
  <sheetViews>
    <sheetView topLeftCell="M1" workbookViewId="0">
      <selection activeCell="U6" sqref="U6"/>
    </sheetView>
  </sheetViews>
  <sheetFormatPr defaultColWidth="10.6640625" defaultRowHeight="17" x14ac:dyDescent="0.45"/>
  <cols>
    <col min="3" max="5" width="16.33203125" bestFit="1" customWidth="1"/>
    <col min="9" max="10" width="19.1640625" bestFit="1" customWidth="1"/>
    <col min="11" max="11" width="12.1640625" bestFit="1" customWidth="1"/>
    <col min="12" max="12" width="15" bestFit="1" customWidth="1"/>
    <col min="14" max="14" width="18" bestFit="1" customWidth="1"/>
    <col min="15" max="15" width="16.33203125" bestFit="1" customWidth="1"/>
    <col min="17" max="21" width="18" bestFit="1" customWidth="1"/>
  </cols>
  <sheetData>
    <row r="2" spans="2:21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</row>
    <row r="3" spans="2:21" x14ac:dyDescent="0.45">
      <c r="B3" s="1" t="s">
        <v>3</v>
      </c>
      <c r="C3" s="20">
        <f>162663579-C4-C5-C6</f>
        <v>41632528</v>
      </c>
      <c r="D3" s="20">
        <f>129179183-D4-D5-D6</f>
        <v>33224889</v>
      </c>
      <c r="E3" s="20">
        <f>18357495-E4-E5-E6</f>
        <v>4933167</v>
      </c>
      <c r="F3" s="21">
        <f>C3-D3-E3</f>
        <v>3474472</v>
      </c>
      <c r="G3" s="22">
        <v>0.25</v>
      </c>
      <c r="H3" s="21">
        <f t="shared" ref="H3:H22" si="0">F3*(1-G3)</f>
        <v>2605854</v>
      </c>
      <c r="I3" s="20">
        <f>3278328-I4-I5-I6</f>
        <v>839693</v>
      </c>
      <c r="J3" s="21">
        <f>1662765-J4-J5-J6</f>
        <v>390275</v>
      </c>
      <c r="K3" s="21">
        <f>7066623-K4-K5-K6</f>
        <v>3127238</v>
      </c>
      <c r="L3" s="21">
        <f t="shared" ref="L3:L22" si="1">P3-P4</f>
        <v>639475</v>
      </c>
      <c r="M3" s="21">
        <f>H3+I3+J3-K3-L3</f>
        <v>69109</v>
      </c>
      <c r="N3" s="20">
        <v>101724717</v>
      </c>
      <c r="O3" s="20">
        <v>73362103</v>
      </c>
      <c r="P3" s="23">
        <f t="shared" ref="P3:P21" si="2">N3-O3</f>
        <v>28362614</v>
      </c>
      <c r="Q3" s="20">
        <v>282463355</v>
      </c>
      <c r="R3" s="20">
        <v>101809440</v>
      </c>
      <c r="S3" s="17">
        <v>180653915</v>
      </c>
      <c r="T3" s="17">
        <v>116171700</v>
      </c>
      <c r="U3" s="17">
        <v>107291812</v>
      </c>
    </row>
    <row r="4" spans="2:21" x14ac:dyDescent="0.45">
      <c r="B4" s="1" t="s">
        <v>2</v>
      </c>
      <c r="C4" s="20">
        <v>41002663</v>
      </c>
      <c r="D4" s="20">
        <v>32541305</v>
      </c>
      <c r="E4" s="20">
        <v>4639559</v>
      </c>
      <c r="F4" s="21">
        <f t="shared" ref="F4:F22" si="3">C4-D4-E4</f>
        <v>3821799</v>
      </c>
      <c r="G4" s="22">
        <v>0.25</v>
      </c>
      <c r="H4" s="21">
        <f t="shared" si="0"/>
        <v>2866349.25</v>
      </c>
      <c r="I4" s="20">
        <f>2438635-I5-I6</f>
        <v>815329</v>
      </c>
      <c r="J4" s="20">
        <f>1272490-J5-J6</f>
        <v>408952</v>
      </c>
      <c r="K4" s="21">
        <f>3939385-K5-K6</f>
        <v>1649704</v>
      </c>
      <c r="L4" s="21">
        <f t="shared" si="1"/>
        <v>2150259</v>
      </c>
      <c r="M4" s="21">
        <f>H4+I4+J4-K4-L4</f>
        <v>290667.25</v>
      </c>
      <c r="N4" s="20">
        <v>101136523</v>
      </c>
      <c r="O4" s="20">
        <v>73413384</v>
      </c>
      <c r="P4" s="23">
        <f>N4-O4</f>
        <v>27723139</v>
      </c>
      <c r="Q4" s="24"/>
      <c r="R4" s="24"/>
    </row>
    <row r="5" spans="2:21" x14ac:dyDescent="0.45">
      <c r="B5" s="1" t="s">
        <v>1</v>
      </c>
      <c r="C5" s="20">
        <v>42249695</v>
      </c>
      <c r="D5" s="20">
        <v>33356309</v>
      </c>
      <c r="E5" s="20">
        <v>4655455</v>
      </c>
      <c r="F5" s="21">
        <f t="shared" si="3"/>
        <v>4237931</v>
      </c>
      <c r="G5" s="22">
        <v>0.25</v>
      </c>
      <c r="H5" s="21">
        <f t="shared" si="0"/>
        <v>3178448.25</v>
      </c>
      <c r="I5" s="20">
        <f>1623306-I6</f>
        <v>821894</v>
      </c>
      <c r="J5" s="21">
        <f>863538-J6</f>
        <v>415853</v>
      </c>
      <c r="K5" s="21">
        <f>2289681-K6</f>
        <v>1657282</v>
      </c>
      <c r="L5" s="21">
        <f t="shared" si="1"/>
        <v>635875</v>
      </c>
      <c r="M5" s="21">
        <f>H5+I5+J5-K5-L5</f>
        <v>2123038.25</v>
      </c>
      <c r="N5" s="20">
        <v>101258093</v>
      </c>
      <c r="O5" s="20">
        <v>75685213</v>
      </c>
      <c r="P5" s="23">
        <f>N5-O5</f>
        <v>25572880</v>
      </c>
      <c r="Q5" s="24"/>
      <c r="R5" s="24"/>
    </row>
    <row r="6" spans="2:21" x14ac:dyDescent="0.45">
      <c r="B6" s="1" t="s">
        <v>0</v>
      </c>
      <c r="C6" s="20">
        <v>37778693</v>
      </c>
      <c r="D6" s="20">
        <v>30056680</v>
      </c>
      <c r="E6" s="20">
        <v>4129314</v>
      </c>
      <c r="F6" s="21">
        <f t="shared" si="3"/>
        <v>3592699</v>
      </c>
      <c r="G6" s="22">
        <v>0.25</v>
      </c>
      <c r="H6" s="21">
        <f t="shared" si="0"/>
        <v>2694524.25</v>
      </c>
      <c r="I6" s="20">
        <v>801412</v>
      </c>
      <c r="J6" s="20">
        <v>447685</v>
      </c>
      <c r="K6" s="20">
        <v>632399</v>
      </c>
      <c r="L6" s="21">
        <f t="shared" si="1"/>
        <v>2784204</v>
      </c>
      <c r="M6" s="21">
        <f t="shared" ref="M6:M20" si="4">H6+I6+J6-K6-L6</f>
        <v>527018.25</v>
      </c>
      <c r="N6" s="20">
        <v>101518423</v>
      </c>
      <c r="O6" s="20">
        <v>76581418</v>
      </c>
      <c r="P6" s="23">
        <f>N6-O6</f>
        <v>24937005</v>
      </c>
      <c r="Q6" s="25"/>
      <c r="R6" s="24"/>
    </row>
    <row r="7" spans="2:21" x14ac:dyDescent="0.45">
      <c r="B7" s="1" t="s">
        <v>4</v>
      </c>
      <c r="C7" s="21">
        <f>142151469-C8-C9-C10</f>
        <v>38147563</v>
      </c>
      <c r="D7" s="20">
        <f>113879569-D8-D9-D10</f>
        <v>30406364</v>
      </c>
      <c r="E7" s="20">
        <f>18446972-E8-E9-E10</f>
        <v>4376814</v>
      </c>
      <c r="F7" s="21">
        <f>C7-D7-E7</f>
        <v>3364385</v>
      </c>
      <c r="G7" s="22">
        <v>0.25</v>
      </c>
      <c r="H7" s="21">
        <f t="shared" si="0"/>
        <v>2523288.75</v>
      </c>
      <c r="I7" s="21">
        <f>3175285-I8-I9-I10</f>
        <v>869079</v>
      </c>
      <c r="J7" s="21">
        <f>1866935-J8-J9-J10</f>
        <v>540483</v>
      </c>
      <c r="K7" s="21">
        <f>4356701-K8-K9-K10</f>
        <v>2047601</v>
      </c>
      <c r="L7" s="21">
        <f t="shared" si="1"/>
        <v>-1340313</v>
      </c>
      <c r="M7" s="21">
        <f t="shared" si="4"/>
        <v>3225562.75</v>
      </c>
      <c r="N7" s="20">
        <v>96389273</v>
      </c>
      <c r="O7" s="20">
        <v>74236472</v>
      </c>
      <c r="P7" s="23">
        <f t="shared" si="2"/>
        <v>22152801</v>
      </c>
      <c r="Q7" s="24"/>
      <c r="R7" s="24"/>
    </row>
    <row r="8" spans="2:21" x14ac:dyDescent="0.45">
      <c r="B8" s="1" t="s">
        <v>7</v>
      </c>
      <c r="C8" s="20">
        <v>37705442</v>
      </c>
      <c r="D8" s="20">
        <v>30348251</v>
      </c>
      <c r="E8" s="20">
        <v>5805372</v>
      </c>
      <c r="F8" s="21">
        <f t="shared" si="3"/>
        <v>1551819</v>
      </c>
      <c r="G8" s="22">
        <v>0.25</v>
      </c>
      <c r="H8" s="21">
        <f t="shared" si="0"/>
        <v>1163864.25</v>
      </c>
      <c r="I8" s="20">
        <f>2306206-I9-I10</f>
        <v>753679</v>
      </c>
      <c r="J8" s="20">
        <f>1326452-J9-J10</f>
        <v>442474</v>
      </c>
      <c r="K8" s="21">
        <f>2309100-K9-K10</f>
        <v>859164</v>
      </c>
      <c r="L8" s="21">
        <f t="shared" si="1"/>
        <v>-378596</v>
      </c>
      <c r="M8" s="21">
        <f t="shared" si="4"/>
        <v>1879449.25</v>
      </c>
      <c r="N8" s="20">
        <v>100638897</v>
      </c>
      <c r="O8" s="20">
        <v>77145783</v>
      </c>
      <c r="P8" s="23">
        <f t="shared" si="2"/>
        <v>23493114</v>
      </c>
      <c r="Q8" s="24"/>
      <c r="R8" s="24"/>
    </row>
    <row r="9" spans="2:21" x14ac:dyDescent="0.45">
      <c r="B9" s="1" t="s">
        <v>8</v>
      </c>
      <c r="C9" s="20">
        <v>35999896</v>
      </c>
      <c r="D9" s="20">
        <v>28599592</v>
      </c>
      <c r="E9" s="20">
        <v>4420510</v>
      </c>
      <c r="F9" s="21">
        <f t="shared" si="3"/>
        <v>2979794</v>
      </c>
      <c r="G9" s="22">
        <v>0.25</v>
      </c>
      <c r="H9" s="21">
        <f t="shared" si="0"/>
        <v>2234845.5</v>
      </c>
      <c r="I9" s="20">
        <f>1552527-I10</f>
        <v>790266</v>
      </c>
      <c r="J9" s="21">
        <f>883978-J10</f>
        <v>451024</v>
      </c>
      <c r="K9" s="21">
        <f>1449936-K10</f>
        <v>820624</v>
      </c>
      <c r="L9" s="21">
        <f t="shared" si="1"/>
        <v>-439003</v>
      </c>
      <c r="M9" s="21">
        <f t="shared" si="4"/>
        <v>3094514.5</v>
      </c>
      <c r="N9" s="20">
        <v>95633011</v>
      </c>
      <c r="O9" s="20">
        <v>71761301</v>
      </c>
      <c r="P9" s="23">
        <f t="shared" si="2"/>
        <v>23871710</v>
      </c>
      <c r="Q9" s="24"/>
      <c r="R9" s="24"/>
    </row>
    <row r="10" spans="2:21" x14ac:dyDescent="0.45">
      <c r="B10" s="1" t="s">
        <v>9</v>
      </c>
      <c r="C10" s="20">
        <v>30298568</v>
      </c>
      <c r="D10" s="20">
        <v>24525362</v>
      </c>
      <c r="E10" s="20">
        <v>3844276</v>
      </c>
      <c r="F10" s="21">
        <f t="shared" si="3"/>
        <v>1928930</v>
      </c>
      <c r="G10" s="22">
        <v>0.25</v>
      </c>
      <c r="H10" s="21">
        <f t="shared" si="0"/>
        <v>1446697.5</v>
      </c>
      <c r="I10" s="20">
        <v>762261</v>
      </c>
      <c r="J10" s="20">
        <v>432954</v>
      </c>
      <c r="K10" s="20">
        <v>629312</v>
      </c>
      <c r="L10" s="21">
        <f t="shared" si="1"/>
        <v>-17866</v>
      </c>
      <c r="M10" s="21">
        <f t="shared" si="4"/>
        <v>2030466.5</v>
      </c>
      <c r="N10" s="20">
        <v>88596063</v>
      </c>
      <c r="O10" s="20">
        <v>64285350</v>
      </c>
      <c r="P10" s="23">
        <f t="shared" si="2"/>
        <v>24310713</v>
      </c>
      <c r="Q10" s="24"/>
      <c r="R10" s="24"/>
    </row>
    <row r="11" spans="2:21" x14ac:dyDescent="0.45">
      <c r="B11" s="1" t="s">
        <v>21</v>
      </c>
      <c r="C11" s="20">
        <f>117610626-C12-C13-C14</f>
        <v>31026469</v>
      </c>
      <c r="D11" s="20">
        <f>95680131-D12-D13-D14</f>
        <v>25097499</v>
      </c>
      <c r="E11" s="21">
        <f>15251546-E12-E13-E14</f>
        <v>4399310</v>
      </c>
      <c r="F11" s="21">
        <f t="shared" si="3"/>
        <v>1529660</v>
      </c>
      <c r="G11" s="22">
        <v>0.25</v>
      </c>
      <c r="H11" s="21">
        <f t="shared" si="0"/>
        <v>1147245</v>
      </c>
      <c r="I11" s="20">
        <f>2932516-I12-I13-I14</f>
        <v>789525</v>
      </c>
      <c r="J11" s="21">
        <f>1617823-J12-J13-J14</f>
        <v>462110</v>
      </c>
      <c r="K11" s="20">
        <f>4382774-K12-K13-K14</f>
        <v>1687729</v>
      </c>
      <c r="L11" s="21">
        <f t="shared" si="1"/>
        <v>-3769674</v>
      </c>
      <c r="M11" s="21">
        <f t="shared" si="4"/>
        <v>4480825</v>
      </c>
      <c r="N11" s="20">
        <v>88565366</v>
      </c>
      <c r="O11" s="20">
        <v>64236787</v>
      </c>
      <c r="P11" s="23">
        <f t="shared" si="2"/>
        <v>24328579</v>
      </c>
      <c r="Q11" s="24"/>
      <c r="R11" s="24"/>
    </row>
    <row r="12" spans="2:21" x14ac:dyDescent="0.45">
      <c r="B12" s="1" t="s">
        <v>22</v>
      </c>
      <c r="C12" s="20">
        <v>28867220</v>
      </c>
      <c r="D12" s="20">
        <v>23633534</v>
      </c>
      <c r="E12" s="20">
        <v>3627013</v>
      </c>
      <c r="F12" s="21">
        <f t="shared" si="3"/>
        <v>1606673</v>
      </c>
      <c r="G12" s="22">
        <v>0.25</v>
      </c>
      <c r="H12" s="21">
        <f t="shared" si="0"/>
        <v>1205004.75</v>
      </c>
      <c r="I12" s="21">
        <f>2142991-I13-I14</f>
        <v>742208</v>
      </c>
      <c r="J12" s="21">
        <f>1155713-J13-J14</f>
        <v>394637</v>
      </c>
      <c r="K12" s="21">
        <f>2695045-K13-K14</f>
        <v>1095966</v>
      </c>
      <c r="L12" s="21">
        <f t="shared" si="1"/>
        <v>1011331</v>
      </c>
      <c r="M12" s="21">
        <f t="shared" si="4"/>
        <v>234552.75</v>
      </c>
      <c r="N12" s="20">
        <v>87567649</v>
      </c>
      <c r="O12" s="20">
        <v>59469396</v>
      </c>
      <c r="P12" s="23">
        <f t="shared" si="2"/>
        <v>28098253</v>
      </c>
      <c r="Q12" s="24"/>
      <c r="R12" s="24"/>
    </row>
    <row r="13" spans="2:21" x14ac:dyDescent="0.45">
      <c r="B13" s="1" t="s">
        <v>23</v>
      </c>
      <c r="C13" s="20">
        <v>30326066</v>
      </c>
      <c r="D13" s="20">
        <v>24594797</v>
      </c>
      <c r="E13" s="20">
        <v>3845268</v>
      </c>
      <c r="F13" s="21">
        <f t="shared" si="3"/>
        <v>1886001</v>
      </c>
      <c r="G13" s="22">
        <v>0.25</v>
      </c>
      <c r="H13" s="21">
        <f t="shared" si="0"/>
        <v>1414500.75</v>
      </c>
      <c r="I13" s="21">
        <f>1400783-I14</f>
        <v>702285</v>
      </c>
      <c r="J13" s="21">
        <f>761076-J14</f>
        <v>375078</v>
      </c>
      <c r="K13" s="21">
        <f>1599079-K14</f>
        <v>924526</v>
      </c>
      <c r="L13" s="21">
        <f t="shared" si="1"/>
        <v>3072695</v>
      </c>
      <c r="M13" s="21">
        <f t="shared" si="4"/>
        <v>-1505357.25</v>
      </c>
      <c r="N13" s="20">
        <v>85512798</v>
      </c>
      <c r="O13" s="20">
        <v>58425876</v>
      </c>
      <c r="P13" s="23">
        <f t="shared" si="2"/>
        <v>27086922</v>
      </c>
      <c r="Q13" s="24"/>
      <c r="R13" s="24"/>
    </row>
    <row r="14" spans="2:21" x14ac:dyDescent="0.45">
      <c r="B14" s="1" t="s">
        <v>24</v>
      </c>
      <c r="C14" s="20">
        <v>27390871</v>
      </c>
      <c r="D14" s="20">
        <v>22354301</v>
      </c>
      <c r="E14" s="20">
        <v>3379955</v>
      </c>
      <c r="F14" s="21">
        <f t="shared" si="3"/>
        <v>1656615</v>
      </c>
      <c r="G14" s="22">
        <v>0.25</v>
      </c>
      <c r="H14" s="21">
        <f t="shared" si="0"/>
        <v>1242461.25</v>
      </c>
      <c r="I14" s="20">
        <v>698498</v>
      </c>
      <c r="J14" s="20">
        <v>385998</v>
      </c>
      <c r="K14" s="20">
        <v>674553</v>
      </c>
      <c r="L14" s="21">
        <f t="shared" si="1"/>
        <v>-212602</v>
      </c>
      <c r="M14" s="21">
        <f t="shared" si="4"/>
        <v>1865006.25</v>
      </c>
      <c r="N14" s="20">
        <v>85547213</v>
      </c>
      <c r="O14" s="20">
        <v>61532986</v>
      </c>
      <c r="P14" s="23">
        <f>N14-O14</f>
        <v>24014227</v>
      </c>
      <c r="Q14" s="24"/>
      <c r="R14" s="24"/>
    </row>
    <row r="15" spans="2:21" x14ac:dyDescent="0.45">
      <c r="B15" s="1" t="s">
        <v>25</v>
      </c>
      <c r="C15" s="20">
        <f>103997601-C16-C17-C18</f>
        <v>29243350</v>
      </c>
      <c r="D15" s="20">
        <f>85515931-D16-D17-D18</f>
        <v>23864084</v>
      </c>
      <c r="E15" s="20">
        <f>16086999-E16-E17-E18</f>
        <v>4124869</v>
      </c>
      <c r="F15" s="21">
        <f t="shared" si="3"/>
        <v>1254397</v>
      </c>
      <c r="G15" s="22">
        <v>0.25</v>
      </c>
      <c r="H15" s="21">
        <f t="shared" si="0"/>
        <v>940797.75</v>
      </c>
      <c r="I15" s="21">
        <f>2739185-I16-I17-I18</f>
        <v>705585</v>
      </c>
      <c r="J15" s="21">
        <f>1435860-J16-J17-J18</f>
        <v>363224</v>
      </c>
      <c r="K15" s="21">
        <f>4670748-K16-K17-K18</f>
        <v>1726094</v>
      </c>
      <c r="L15" s="21">
        <f t="shared" si="1"/>
        <v>178589</v>
      </c>
      <c r="M15" s="21">
        <f t="shared" si="4"/>
        <v>104923.75</v>
      </c>
      <c r="N15" s="20">
        <v>83686357</v>
      </c>
      <c r="O15" s="20">
        <v>59459528</v>
      </c>
      <c r="P15" s="23">
        <f t="shared" si="2"/>
        <v>24226829</v>
      </c>
      <c r="Q15" s="24"/>
      <c r="R15" s="24"/>
    </row>
    <row r="16" spans="2:21" x14ac:dyDescent="0.45">
      <c r="B16" s="1" t="s">
        <v>26</v>
      </c>
      <c r="C16" s="20">
        <v>27575812</v>
      </c>
      <c r="D16" s="20">
        <v>22450545</v>
      </c>
      <c r="E16" s="20">
        <v>5439090</v>
      </c>
      <c r="F16" s="21">
        <f t="shared" si="3"/>
        <v>-313823</v>
      </c>
      <c r="G16" s="22">
        <v>0.25</v>
      </c>
      <c r="H16" s="21">
        <f t="shared" si="0"/>
        <v>-235367.25</v>
      </c>
      <c r="I16" s="20">
        <f>2033600-I17-I18</f>
        <v>700203</v>
      </c>
      <c r="J16" s="21">
        <f>1072636-J17-J18</f>
        <v>363357</v>
      </c>
      <c r="K16" s="21">
        <f>2944654-K17-K18</f>
        <v>991535</v>
      </c>
      <c r="L16" s="21">
        <f t="shared" si="1"/>
        <v>-763799</v>
      </c>
      <c r="M16" s="21">
        <f t="shared" si="4"/>
        <v>600456.75</v>
      </c>
      <c r="N16" s="20">
        <v>81868709</v>
      </c>
      <c r="O16" s="20">
        <v>57820469</v>
      </c>
      <c r="P16" s="23">
        <f t="shared" si="2"/>
        <v>24048240</v>
      </c>
      <c r="Q16" s="24"/>
      <c r="R16" s="24"/>
    </row>
    <row r="17" spans="2:18" x14ac:dyDescent="0.45">
      <c r="B17" s="1" t="s">
        <v>27</v>
      </c>
      <c r="C17" s="20">
        <v>21858991</v>
      </c>
      <c r="D17" s="20">
        <v>18147164</v>
      </c>
      <c r="E17" s="20">
        <v>3121506</v>
      </c>
      <c r="F17" s="21">
        <f t="shared" si="3"/>
        <v>590321</v>
      </c>
      <c r="G17" s="22">
        <v>0.25</v>
      </c>
      <c r="H17" s="21">
        <f t="shared" si="0"/>
        <v>442740.75</v>
      </c>
      <c r="I17" s="21">
        <f>1333397-I18</f>
        <v>673110</v>
      </c>
      <c r="J17" s="21">
        <f>709279-J18</f>
        <v>363159</v>
      </c>
      <c r="K17" s="21">
        <f>1953119-K18</f>
        <v>1286387</v>
      </c>
      <c r="L17" s="21">
        <f t="shared" si="1"/>
        <v>2795344</v>
      </c>
      <c r="M17" s="21">
        <f t="shared" si="4"/>
        <v>-2602721.25</v>
      </c>
      <c r="N17" s="20">
        <v>79025897</v>
      </c>
      <c r="O17" s="20">
        <v>54213858</v>
      </c>
      <c r="P17" s="23">
        <f t="shared" si="2"/>
        <v>24812039</v>
      </c>
      <c r="Q17" s="24"/>
      <c r="R17" s="24"/>
    </row>
    <row r="18" spans="2:18" x14ac:dyDescent="0.45">
      <c r="B18" s="1" t="s">
        <v>28</v>
      </c>
      <c r="C18" s="20">
        <v>25319448</v>
      </c>
      <c r="D18" s="20">
        <v>21054138</v>
      </c>
      <c r="E18" s="20">
        <v>3401534</v>
      </c>
      <c r="F18" s="21">
        <f t="shared" si="3"/>
        <v>863776</v>
      </c>
      <c r="G18" s="22">
        <v>0.25</v>
      </c>
      <c r="H18" s="21">
        <f t="shared" si="0"/>
        <v>647832</v>
      </c>
      <c r="I18" s="20">
        <v>660287</v>
      </c>
      <c r="J18" s="20">
        <v>346120</v>
      </c>
      <c r="K18" s="20">
        <v>666732</v>
      </c>
      <c r="L18" s="21">
        <f t="shared" si="1"/>
        <v>-752082</v>
      </c>
      <c r="M18" s="21">
        <f t="shared" si="4"/>
        <v>1739589</v>
      </c>
      <c r="N18" s="20">
        <v>76223367</v>
      </c>
      <c r="O18" s="20">
        <v>54206672</v>
      </c>
      <c r="P18" s="23">
        <f t="shared" si="2"/>
        <v>22016695</v>
      </c>
      <c r="Q18" s="24"/>
      <c r="R18" s="24"/>
    </row>
    <row r="19" spans="2:18" x14ac:dyDescent="0.45">
      <c r="B19" s="1" t="s">
        <v>29</v>
      </c>
      <c r="C19" s="20">
        <f>103997601-C20-C21-C22</f>
        <v>26075316</v>
      </c>
      <c r="D19" s="20">
        <f>85515931-D20-D21-D22</f>
        <v>20557734</v>
      </c>
      <c r="E19" s="21">
        <f>16086999-E20-E21-E22</f>
        <v>5564027</v>
      </c>
      <c r="F19" s="21">
        <f t="shared" si="3"/>
        <v>-46445</v>
      </c>
      <c r="G19" s="22">
        <v>0.25</v>
      </c>
      <c r="H19" s="21">
        <f t="shared" si="0"/>
        <v>-34833.75</v>
      </c>
      <c r="I19" s="20">
        <f>2739185-I20-I21-I22</f>
        <v>866622</v>
      </c>
      <c r="J19" s="21">
        <f>1435860-J20-J21-J22</f>
        <v>474342</v>
      </c>
      <c r="K19" s="21">
        <f>4670748-K20-K21-K22</f>
        <v>2470170</v>
      </c>
      <c r="L19" s="21">
        <f t="shared" si="1"/>
        <v>1158348</v>
      </c>
      <c r="M19" s="21">
        <f t="shared" si="4"/>
        <v>-2322387.75</v>
      </c>
      <c r="N19" s="20">
        <v>76082873</v>
      </c>
      <c r="O19" s="20">
        <v>53314096</v>
      </c>
      <c r="P19" s="23">
        <f t="shared" si="2"/>
        <v>22768777</v>
      </c>
      <c r="Q19" s="24"/>
      <c r="R19" s="24"/>
    </row>
    <row r="20" spans="2:18" x14ac:dyDescent="0.45">
      <c r="B20" s="1" t="s">
        <v>30</v>
      </c>
      <c r="C20" s="20">
        <v>26968853</v>
      </c>
      <c r="D20" s="20">
        <v>22540467</v>
      </c>
      <c r="E20" s="20">
        <v>4049866</v>
      </c>
      <c r="F20" s="21">
        <f t="shared" si="3"/>
        <v>378520</v>
      </c>
      <c r="G20" s="22">
        <v>0.25</v>
      </c>
      <c r="H20" s="21">
        <f t="shared" si="0"/>
        <v>283890</v>
      </c>
      <c r="I20" s="21">
        <f>1872563-I21-I22</f>
        <v>643612</v>
      </c>
      <c r="J20" s="21">
        <f>961518-J21-J22</f>
        <v>325206</v>
      </c>
      <c r="K20" s="20">
        <f>2200578-K21-K22</f>
        <v>894671</v>
      </c>
      <c r="L20" s="21">
        <f t="shared" si="1"/>
        <v>-5091689</v>
      </c>
      <c r="M20" s="21">
        <f t="shared" si="4"/>
        <v>5449726</v>
      </c>
      <c r="N20" s="20">
        <v>75868279</v>
      </c>
      <c r="O20" s="20">
        <v>54257850</v>
      </c>
      <c r="P20" s="23">
        <f t="shared" si="2"/>
        <v>21610429</v>
      </c>
      <c r="Q20" s="24"/>
      <c r="R20" s="24"/>
    </row>
    <row r="21" spans="2:18" x14ac:dyDescent="0.45">
      <c r="B21" s="1" t="s">
        <v>31</v>
      </c>
      <c r="C21" s="20">
        <v>26966353</v>
      </c>
      <c r="D21" s="20">
        <v>22343313</v>
      </c>
      <c r="E21" s="20">
        <v>3385315</v>
      </c>
      <c r="F21" s="21">
        <f t="shared" si="3"/>
        <v>1237725</v>
      </c>
      <c r="G21" s="22">
        <v>0.25</v>
      </c>
      <c r="H21" s="21">
        <f t="shared" si="0"/>
        <v>928293.75</v>
      </c>
      <c r="I21" s="21">
        <f>1228951-I22</f>
        <v>626193</v>
      </c>
      <c r="J21" s="21">
        <f>636312-J22</f>
        <v>321945</v>
      </c>
      <c r="K21" s="21">
        <f>1305907-K22</f>
        <v>760945</v>
      </c>
      <c r="L21" s="21">
        <f t="shared" si="1"/>
        <v>1494211</v>
      </c>
      <c r="M21" s="21">
        <f>H21+I21+J21-K21-L21</f>
        <v>-378724.25</v>
      </c>
      <c r="N21" s="20">
        <v>77167806</v>
      </c>
      <c r="O21" s="20">
        <v>50465688</v>
      </c>
      <c r="P21" s="23">
        <f t="shared" si="2"/>
        <v>26702118</v>
      </c>
      <c r="Q21" s="24"/>
      <c r="R21" s="24"/>
    </row>
    <row r="22" spans="2:18" x14ac:dyDescent="0.45">
      <c r="B22" s="1" t="s">
        <v>32</v>
      </c>
      <c r="C22" s="20">
        <v>23987079</v>
      </c>
      <c r="D22" s="20">
        <v>20074417</v>
      </c>
      <c r="E22" s="20">
        <v>3087791</v>
      </c>
      <c r="F22" s="21">
        <f t="shared" si="3"/>
        <v>824871</v>
      </c>
      <c r="G22" s="22">
        <v>0.25</v>
      </c>
      <c r="H22" s="21">
        <f t="shared" si="0"/>
        <v>618653.25</v>
      </c>
      <c r="I22" s="20">
        <v>602758</v>
      </c>
      <c r="J22" s="20">
        <v>314367</v>
      </c>
      <c r="K22" s="20">
        <v>544962</v>
      </c>
      <c r="L22" s="21">
        <f t="shared" si="1"/>
        <v>1638220</v>
      </c>
      <c r="M22" s="21">
        <f>H22+I22+J22-K22-L22</f>
        <v>-647403.75</v>
      </c>
      <c r="N22" s="20">
        <v>73668526</v>
      </c>
      <c r="O22" s="20">
        <v>48460619</v>
      </c>
      <c r="P22" s="23">
        <f>N22-O22</f>
        <v>25207907</v>
      </c>
      <c r="Q22" s="24"/>
      <c r="R22" s="24"/>
    </row>
    <row r="23" spans="2:18" x14ac:dyDescent="0.45">
      <c r="K23" s="24"/>
      <c r="L23" s="24"/>
      <c r="M23" s="24"/>
      <c r="N23" s="20">
        <v>73008101</v>
      </c>
      <c r="O23" s="20">
        <v>49438414</v>
      </c>
      <c r="P23" s="23">
        <f>N23-O23</f>
        <v>23569687</v>
      </c>
      <c r="Q23" s="24"/>
      <c r="R23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005930</vt:lpstr>
      <vt:lpstr>000660</vt:lpstr>
      <vt:lpstr>005380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2024-07-15T11:37:05Z</dcterms:modified>
</cp:coreProperties>
</file>