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garre\Dropbox\aa projects\incarceration_trends\incarceration-trends\Colorado_ACLU\1-viz-recent-jail-snapshot\"/>
    </mc:Choice>
  </mc:AlternateContent>
  <xr:revisionPtr revIDLastSave="0" documentId="13_ncr:9_{09CE377F-FD37-4B07-9748-B07993A55630}" xr6:coauthVersionLast="40" xr6:coauthVersionMax="40" xr10:uidLastSave="{00000000-0000-0000-0000-000000000000}"/>
  <bookViews>
    <workbookView xWindow="0" yWindow="0" windowWidth="19200" windowHeight="9428" activeTab="2" xr2:uid="{00000000-000D-0000-FFFF-FFFF00000000}"/>
  </bookViews>
  <sheets>
    <sheet name="Pretrial Overview" sheetId="1" r:id="rId1"/>
    <sheet name="Bookings" sheetId="2" r:id="rId2"/>
    <sheet name="RacialEthnic Data" sheetId="3" r:id="rId3"/>
    <sheet name="Hold Breakdowns" sheetId="4" r:id="rId4"/>
    <sheet name="Sheet5"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E3" i="1"/>
  <c r="H8" i="1"/>
  <c r="D9" i="1"/>
  <c r="E9" i="1"/>
  <c r="D10" i="1"/>
  <c r="E10" i="1"/>
  <c r="J11" i="1"/>
  <c r="G14" i="1"/>
  <c r="H14" i="1"/>
  <c r="H16" i="1"/>
  <c r="D18" i="1"/>
  <c r="G18" i="1" s="1"/>
  <c r="E18" i="1"/>
  <c r="F18" i="1"/>
  <c r="H18" i="1"/>
  <c r="I19" i="1"/>
  <c r="I22" i="1"/>
  <c r="D25" i="1"/>
  <c r="F25" i="1"/>
  <c r="G25" i="1"/>
  <c r="H25" i="1"/>
  <c r="E26" i="1"/>
  <c r="F27" i="1"/>
  <c r="D28" i="1"/>
  <c r="G28" i="1"/>
  <c r="H28" i="1"/>
  <c r="D34" i="1"/>
  <c r="E34" i="1"/>
  <c r="F34" i="1"/>
  <c r="G34" i="1"/>
  <c r="H34" i="1"/>
  <c r="D36" i="1"/>
  <c r="H36" i="1"/>
  <c r="D37" i="1"/>
  <c r="H37" i="1"/>
  <c r="K38" i="1"/>
  <c r="N38" i="1"/>
  <c r="H39" i="1"/>
  <c r="D43" i="1"/>
  <c r="E43" i="1"/>
  <c r="F43" i="1"/>
  <c r="G43" i="1"/>
  <c r="I43" i="1"/>
  <c r="D47" i="1"/>
  <c r="E47" i="1"/>
  <c r="G47" i="1"/>
  <c r="H47" i="1"/>
  <c r="D58" i="1"/>
  <c r="D59" i="1"/>
  <c r="G59" i="1"/>
  <c r="H59" i="1"/>
  <c r="D62" i="1"/>
  <c r="H62" i="1"/>
  <c r="F64" i="1"/>
  <c r="R5" i="5" l="1"/>
  <c r="R4" i="5"/>
  <c r="I4" i="5"/>
  <c r="F67" i="4"/>
  <c r="F66" i="4"/>
  <c r="F65" i="4"/>
  <c r="B64" i="4"/>
  <c r="F64" i="4" s="1"/>
  <c r="F63" i="4"/>
  <c r="F62" i="4"/>
  <c r="F61" i="4"/>
  <c r="F60" i="4"/>
  <c r="F59" i="4"/>
  <c r="F58" i="4"/>
  <c r="F57" i="4"/>
  <c r="F56" i="4"/>
  <c r="F55" i="4"/>
  <c r="B55" i="4"/>
  <c r="F54" i="4"/>
  <c r="F53" i="4"/>
  <c r="F52" i="4"/>
  <c r="F51" i="4"/>
  <c r="F50" i="4"/>
  <c r="F49" i="4"/>
  <c r="F48" i="4"/>
  <c r="F47" i="4"/>
  <c r="F46" i="4"/>
  <c r="F45" i="4"/>
  <c r="F44" i="4"/>
  <c r="B43" i="4"/>
  <c r="F43" i="4" s="1"/>
  <c r="F42" i="4"/>
  <c r="F41" i="4"/>
  <c r="F40" i="4"/>
  <c r="F39" i="4"/>
  <c r="F38" i="4"/>
  <c r="F37" i="4"/>
  <c r="F36" i="4"/>
  <c r="F35" i="4"/>
  <c r="F34" i="4"/>
  <c r="B34" i="4"/>
  <c r="F33" i="4"/>
  <c r="F32" i="4"/>
  <c r="F31" i="4"/>
  <c r="F30" i="4"/>
  <c r="F29" i="4"/>
  <c r="F28" i="4"/>
  <c r="F27" i="4"/>
  <c r="F26" i="4"/>
  <c r="F25" i="4"/>
  <c r="F24" i="4"/>
  <c r="F23" i="4"/>
  <c r="B22" i="4"/>
  <c r="F22" i="4" s="1"/>
  <c r="F21" i="4"/>
  <c r="F20" i="4"/>
  <c r="E20" i="4"/>
  <c r="E19" i="4"/>
  <c r="D19" i="4"/>
  <c r="F19" i="4" s="1"/>
  <c r="F18" i="4"/>
  <c r="F17" i="4"/>
  <c r="F16" i="4"/>
  <c r="F15" i="4"/>
  <c r="F14" i="4"/>
  <c r="F13" i="4"/>
  <c r="F12" i="4"/>
  <c r="F11" i="4"/>
  <c r="F10" i="4"/>
  <c r="F8" i="4"/>
  <c r="F7" i="4"/>
  <c r="F6" i="4"/>
  <c r="F5" i="4"/>
  <c r="F4" i="4"/>
  <c r="B3" i="4"/>
  <c r="F3" i="4" s="1"/>
  <c r="F2" i="4"/>
  <c r="E2" i="4"/>
  <c r="C48" i="3"/>
  <c r="F38" i="3"/>
  <c r="B38" i="3"/>
  <c r="G34" i="3"/>
  <c r="F34" i="3"/>
  <c r="E34" i="3"/>
  <c r="D34" i="3"/>
  <c r="C34" i="3"/>
  <c r="B34" i="3"/>
  <c r="C22" i="3"/>
  <c r="D18" i="3"/>
  <c r="E2"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comment>
    <comment ref="A3" authorId="0" shapeId="0" xr:uid="{00000000-0006-0000-0000-000002000000}">
      <text>
        <r>
          <rPr>
            <sz val="10"/>
            <color rgb="FF000000"/>
            <rFont val="Arial"/>
          </rPr>
          <t xml:space="preserve">															</t>
        </r>
      </text>
    </comment>
    <comment ref="A6" authorId="0" shapeId="0" xr:uid="{00000000-0006-0000-0000-000003000000}">
      <text/>
    </comment>
    <comment ref="G8" authorId="0" shapeId="0" xr:uid="{00000000-0006-0000-0000-000004000000}">
      <text/>
    </comment>
    <comment ref="A9" authorId="0" shapeId="0" xr:uid="{00000000-0006-0000-0000-000005000000}">
      <text/>
    </comment>
    <comment ref="A12" authorId="0" shapeId="0" xr:uid="{00000000-0006-0000-0000-000006000000}">
      <text/>
    </comment>
    <comment ref="J14" authorId="0" shapeId="0" xr:uid="{00000000-0006-0000-0000-000007000000}">
      <text/>
    </comment>
    <comment ref="A25" authorId="0" shapeId="0" xr:uid="{00000000-0006-0000-0000-000008000000}">
      <text>
        <r>
          <rPr>
            <sz val="10"/>
            <color rgb="FF000000"/>
            <rFont val="Arial"/>
          </rPr>
          <t xml:space="preserve">
</t>
        </r>
      </text>
    </comment>
    <comment ref="A27" authorId="0" shapeId="0" xr:uid="{00000000-0006-0000-0000-000009000000}">
      <text/>
    </comment>
    <comment ref="A34" authorId="0" shapeId="0" xr:uid="{00000000-0006-0000-0000-00000A000000}">
      <text/>
    </comment>
    <comment ref="A35" authorId="0" shapeId="0" xr:uid="{00000000-0006-0000-0000-00000B000000}">
      <text/>
    </comment>
    <comment ref="A37" authorId="0" shapeId="0" xr:uid="{00000000-0006-0000-0000-00000C000000}">
      <text/>
    </comment>
    <comment ref="A38" authorId="0" shapeId="0" xr:uid="{00000000-0006-0000-0000-00000D000000}">
      <text/>
    </comment>
    <comment ref="B38" authorId="0" shapeId="0" xr:uid="{00000000-0006-0000-0000-00000E000000}">
      <text/>
    </comment>
    <comment ref="A39" authorId="0" shapeId="0" xr:uid="{00000000-0006-0000-0000-00000F000000}">
      <text/>
    </comment>
    <comment ref="A43" authorId="0" shapeId="0" xr:uid="{00000000-0006-0000-0000-000010000000}">
      <text/>
    </comment>
    <comment ref="A44" authorId="0" shapeId="0" xr:uid="{00000000-0006-0000-0000-000011000000}">
      <text/>
    </comment>
    <comment ref="A50" authorId="0" shapeId="0" xr:uid="{00000000-0006-0000-0000-000012000000}">
      <text/>
    </comment>
    <comment ref="B53" authorId="0" shapeId="0" xr:uid="{00000000-0006-0000-0000-000013000000}">
      <text/>
    </comment>
    <comment ref="A55" authorId="0" shapeId="0" xr:uid="{00000000-0006-0000-0000-000014000000}">
      <text>
        <r>
          <rPr>
            <sz val="10"/>
            <color rgb="FF000000"/>
            <rFont val="Arial"/>
          </rPr>
          <t xml:space="preserve">												</t>
        </r>
      </text>
    </comment>
    <comment ref="A57" authorId="0" shapeId="0" xr:uid="{00000000-0006-0000-0000-000015000000}">
      <text/>
    </comment>
    <comment ref="A60" authorId="0" shapeId="0" xr:uid="{00000000-0006-0000-0000-000016000000}">
      <text/>
    </comment>
    <comment ref="A64" authorId="0" shapeId="0" xr:uid="{00000000-0006-0000-0000-000017000000}">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100-000001000000}">
      <text>
        <r>
          <rPr>
            <sz val="10"/>
            <color rgb="FF000000"/>
            <rFont val="Arial"/>
          </rPr>
          <t xml:space="preserve">People are booked by Archuleta Sheriff, but because no jail, they are housed in La Plata. The Archuleta  population is truly zero (not 9) because of the flood and shut-down of their temp holding facility at end of Aug 2017. Archuleta did break down pretiral/sentenced and misdo/felony of those that they booked in Archuleta but housed in La Plata.																</t>
        </r>
      </text>
    </comment>
    <comment ref="A4" authorId="0" shapeId="0" xr:uid="{00000000-0006-0000-0100-000002000000}">
      <text>
        <r>
          <rPr>
            <sz val="10"/>
            <color rgb="FF000000"/>
            <rFont val="Arial"/>
          </rPr>
          <t>No jail in Kiowa; these two inmates were held in Prowers.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5" authorId="0" shapeId="0" xr:uid="{00000000-0006-0000-0200-000001000000}">
      <text/>
    </comment>
    <comment ref="A38" authorId="0" shapeId="0" xr:uid="{00000000-0006-0000-0200-000002000000}">
      <text/>
    </comment>
    <comment ref="A43" authorId="0" shapeId="0" xr:uid="{00000000-0006-0000-0200-000003000000}">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300-000001000000}">
      <text>
        <r>
          <rPr>
            <sz val="10"/>
            <color rgb="FF000000"/>
            <rFont val="Arial"/>
          </rPr>
          <t xml:space="preserve">Other 10 holds are probation holds the require meeting with pretrial services and judge to determine next steps for inmate.					</t>
        </r>
      </text>
    </comment>
    <comment ref="A6" authorId="0" shapeId="0" xr:uid="{00000000-0006-0000-0300-000002000000}">
      <text>
        <r>
          <rPr>
            <sz val="10"/>
            <color rgb="FF000000"/>
            <rFont val="Arial"/>
          </rPr>
          <t xml:space="preserve">The hold was for a "fugitive of justice" warrant out of Lincoln County, NM.					</t>
        </r>
      </text>
    </comment>
    <comment ref="A10" authorId="0" shapeId="0" xr:uid="{00000000-0006-0000-0300-000003000000}">
      <text>
        <r>
          <rPr>
            <sz val="10"/>
            <color rgb="FF000000"/>
            <rFont val="Arial"/>
          </rPr>
          <t xml:space="preserve">1 inmate is categorized for a "Day Writ"					</t>
        </r>
      </text>
    </comment>
    <comment ref="B14" authorId="0" shapeId="0" xr:uid="{00000000-0006-0000-0300-000004000000}">
      <text>
        <r>
          <rPr>
            <sz val="10"/>
            <color rgb="FF000000"/>
            <rFont val="Arial"/>
          </rPr>
          <t>ACDC Hold is referring to Alamosa County Detention Center or Alamosa hold, they are the same. Some staff here put them in our system as ACDC and some put them as Alamosa hold.</t>
        </r>
      </text>
    </comment>
    <comment ref="E36" authorId="0" shapeId="0" xr:uid="{00000000-0006-0000-0300-000005000000}">
      <text>
        <r>
          <rPr>
            <sz val="10"/>
            <color rgb="FF000000"/>
            <rFont val="Arial"/>
          </rPr>
          <t xml:space="preserve">Mental Health Hold
</t>
        </r>
      </text>
    </comment>
    <comment ref="D37" authorId="0" shapeId="0" xr:uid="{00000000-0006-0000-0300-000006000000}">
      <text>
        <r>
          <rPr>
            <sz val="10"/>
            <color rgb="FF000000"/>
            <rFont val="Arial"/>
          </rPr>
          <t>2 Colorado DOC Parole Holds and 1 Utah DOC Parole Hold with signed extradition waiver</t>
        </r>
      </text>
    </comment>
    <comment ref="A55" authorId="0" shapeId="0" xr:uid="{00000000-0006-0000-0300-000007000000}">
      <text>
        <r>
          <rPr>
            <sz val="10"/>
            <color rgb="FF000000"/>
            <rFont val="Arial"/>
          </rPr>
          <t xml:space="preserve">Data could not be gathered at a 6:00 AM snapshot. The # In Custody is from an unknown point in time. The remaining columns are an averaged figure compiled over the entire day of 11/27/17. "No Code Entered" judicial status value of 8 is not included in spreadsheet totals (see AVG DAILY POP pdf). Pretrial and sentenced includes traffic violations.					</t>
        </r>
      </text>
    </comment>
  </commentList>
</comments>
</file>

<file path=xl/sharedStrings.xml><?xml version="1.0" encoding="utf-8"?>
<sst xmlns="http://schemas.openxmlformats.org/spreadsheetml/2006/main" count="1591" uniqueCount="146">
  <si>
    <t>Jail</t>
  </si>
  <si>
    <t>Archuleta (NO JAIL inmates to La Plata)</t>
  </si>
  <si>
    <t>TOTAL</t>
  </si>
  <si>
    <t>Adams</t>
  </si>
  <si>
    <t>Kiowa (NO JAIL Inmates to Prowers)</t>
  </si>
  <si>
    <t>Alamosa</t>
  </si>
  <si>
    <t>Phillips (NO JAIL inmtaes in Logan)</t>
  </si>
  <si>
    <t>Arapahoe</t>
  </si>
  <si>
    <t>Aurora Detention Center</t>
  </si>
  <si>
    <t>Archuleta</t>
  </si>
  <si>
    <t>n/a</t>
  </si>
  <si>
    <t>Baca</t>
  </si>
  <si>
    <t>Bent</t>
  </si>
  <si>
    <t>Boulder</t>
  </si>
  <si>
    <t>replied "unknown"</t>
  </si>
  <si>
    <t>Broomfield</t>
  </si>
  <si>
    <t>Chaffee</t>
  </si>
  <si>
    <t>Cheyenne</t>
  </si>
  <si>
    <t>Clear Creek</t>
  </si>
  <si>
    <t>Conejos</t>
  </si>
  <si>
    <t>Costilla</t>
  </si>
  <si>
    <t>Crowley</t>
  </si>
  <si>
    <t>Custer</t>
  </si>
  <si>
    <t>Delta</t>
  </si>
  <si>
    <t>Denver City Jail (DJC)</t>
  </si>
  <si>
    <t>Denver County Jail (COJL)</t>
  </si>
  <si>
    <t>Dolores</t>
  </si>
  <si>
    <t>Douglas</t>
  </si>
  <si>
    <t>Eagle</t>
  </si>
  <si>
    <t>Elbert</t>
  </si>
  <si>
    <t>El Paso</t>
  </si>
  <si>
    <t>Fremont</t>
  </si>
  <si>
    <t>Garfield</t>
  </si>
  <si>
    <t>Gilpin</t>
  </si>
  <si>
    <t>Grand</t>
  </si>
  <si>
    <t>Gunnison</t>
  </si>
  <si>
    <t>Hinsdale</t>
  </si>
  <si>
    <t>Huerfano</t>
  </si>
  <si>
    <t>Jackson</t>
  </si>
  <si>
    <t>Jefferson</t>
  </si>
  <si>
    <t>Kiowa</t>
  </si>
  <si>
    <t>Kit Carson</t>
  </si>
  <si>
    <t>Lake</t>
  </si>
  <si>
    <t>La Plata</t>
  </si>
  <si>
    <t>Larimer</t>
  </si>
  <si>
    <t>Unasked</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</si>
  <si>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</si>
  <si>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</si>
  <si>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</si>
  <si>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</si>
  <si>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</si>
  <si>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</si>
  <si>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</si>
  <si>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</si>
  <si>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</si>
  <si>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</si>
  <si>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</si>
  <si>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</si>
  <si>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</si>
  <si>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</si>
  <si>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</si>
  <si>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</si>
  <si>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</si>
  <si>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</si>
  <si>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</si>
  <si>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</si>
  <si>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 xml:space="preserve">Bent </t>
  </si>
  <si>
    <t>San Juan</t>
  </si>
  <si>
    <t>Hold for other agency</t>
  </si>
  <si>
    <t>San Miguel</t>
  </si>
  <si>
    <t>Immigration</t>
  </si>
  <si>
    <t>Parole Hold</t>
  </si>
  <si>
    <t>Other or Unknown</t>
  </si>
  <si>
    <t>Sedgwick</t>
  </si>
  <si>
    <t>Summit</t>
  </si>
  <si>
    <t>Teller</t>
  </si>
  <si>
    <t>unknown</t>
  </si>
  <si>
    <t>Washington</t>
  </si>
  <si>
    <t>Weld</t>
  </si>
  <si>
    <t>20-30</t>
  </si>
  <si>
    <t>120-180</t>
  </si>
  <si>
    <t>Yuma</t>
  </si>
  <si>
    <t xml:space="preserve">Alamosa </t>
  </si>
  <si>
    <t>N/A</t>
  </si>
  <si>
    <t>possibly some of the 19 are parole...</t>
  </si>
  <si>
    <t>?</t>
  </si>
  <si>
    <t>Denver's Attempts to Reply (DO NOT ADD UP)</t>
  </si>
  <si>
    <r>
      <t xml:space="preserve">Denver City Jail (DJC) </t>
    </r>
    <r>
      <rPr>
        <sz val="10"/>
        <color rgb="FF4A86E8"/>
        <rFont val="Arial"/>
      </rPr>
      <t>(8)</t>
    </r>
  </si>
  <si>
    <r>
      <t xml:space="preserve">Denver County Jail (COJL) </t>
    </r>
    <r>
      <rPr>
        <sz val="10"/>
        <color rgb="FF4A86E8"/>
        <rFont val="Arial"/>
      </rPr>
      <t>(8)</t>
    </r>
  </si>
  <si>
    <t>0?</t>
  </si>
  <si>
    <t>60-360</t>
  </si>
  <si>
    <t>NULL</t>
  </si>
  <si>
    <t>notes</t>
  </si>
  <si>
    <t>bed_capacity</t>
  </si>
  <si>
    <t>n_unsentenced_bondable</t>
  </si>
  <si>
    <t>n_in_custody</t>
  </si>
  <si>
    <t>n_sentenced_unbondable</t>
  </si>
  <si>
    <t>n_hold_unbondable</t>
  </si>
  <si>
    <t>n_pretrial_misdo</t>
  </si>
  <si>
    <t>n_pretrial_felony</t>
  </si>
  <si>
    <t>6AM Snapshot.  *LOS is for 11/27/2017 specifically the entire 2017 avg is unavailable.*</t>
  </si>
  <si>
    <t>The bed capacit at Alamosa is 95 beds​ but "On a regular basis we house out anywhere from 20-30 inmates to other agencies." The holds are counted in both the pretrial/sentenced categories and they were not able to break down the number of holds by misdo/felony inmate. the 20 holds are included in the 121 In Custody. ​"State holds could be holding for Mental Health DOC and other agencies warrants." "Other chagres" include municipal charges but most of them are warrant arrest charges. The 2017 Jail Numbers Report shows the number of inmates that are there on felony/misdemeanor charges under Charge Type but they don't have a way to run a report on whether the inmate is there sentenced or pretrial its a combined figure. As of 2/2 their IT is working on a fix for the cut off data in the PDFs.</t>
  </si>
  <si>
    <t xml:space="preserve">n_pretrial_misdo: Sheriff Encinias said there were 28 instead of 26 in the pretrial breakdown because holds were double counting. Since all 4 holds were reported as parole holds I reduced felony pretrial by 2. </t>
  </si>
  <si>
    <t>county_or_jail</t>
  </si>
  <si>
    <t>county_or_jail: FOOTNOTE</t>
  </si>
  <si>
    <t>Added 13% pretrial municipal charges to the 38% pretrial misdomeanor percentage. count_or_jail: FOOTNOTE</t>
  </si>
  <si>
    <t>county_or_jail: inmates to Prowers; Only has a holding cell (max 12 hour hold) inmates go to Prowers Jail.</t>
  </si>
  <si>
    <t>Denver City Jail</t>
  </si>
  <si>
    <t>county_or_jail:  (DJC) (8)</t>
  </si>
  <si>
    <t>NA</t>
  </si>
  <si>
    <t>Denver County Jail</t>
  </si>
  <si>
    <t>county_or_jail:  (COJL) (8)</t>
  </si>
  <si>
    <t>county_or_jail:  (NO JAIL)</t>
  </si>
  <si>
    <t>CJC: 1837 beds; Work Release 160 beds.</t>
  </si>
  <si>
    <t>4AM snapshot all that's available</t>
  </si>
  <si>
    <t>Misdo pretrial includes traffic; civil; muni; petty offenses.</t>
  </si>
  <si>
    <t xml:space="preserve">county_or_jail:  (Inmates to Prowers); No jail in Kiowa; these two inmates were held in Prowers. </t>
  </si>
  <si>
    <t>They have 15 beds; 11 of them are high security. 22 inmates were in custody; but only 8 were in house.</t>
  </si>
  <si>
    <t>1 person was booked for Mineral and held in Rio Grande on 11/27 before bailing out the next day (see email from Jm VanRy)</t>
  </si>
  <si>
    <t>county_or_jail:  (NO JAIL); No Jail. "We pay other counties to hold anyone if they are booked by our Sheriff's Office."</t>
  </si>
  <si>
    <t>And have additional 6 spots for work release inmates.</t>
  </si>
  <si>
    <t>county_or_jail:  (FOOTNOTE); Data could not be gathered at a 6:00 AM snapshot. Values are an averaged figure compiled over the entire day of 11/27/17. Tammy Hart wrote in her email that 773 people were incarcerated in the jail on 11/27/2017 but we do not know what point in the day that figure is from. "No Code Entered" judicial status value of 8 is not included in spreadsheet totals (see AVG DAILY POP pdf). # Pretrial and # sentenced include traffic violations.</t>
  </si>
  <si>
    <t>county_or_jail: (Inmates in Logan)</t>
  </si>
  <si>
    <t>county_or_jail:  (NO JAIL); Inmates held in La Plata County Jail. No bookings on 11/27/18.</t>
  </si>
  <si>
    <t>county_or_jail:  (inmates to La Plata); People are booked by Archuleta Sheriff but because no jail they are housed in La Plata. The Archuleta  population is truly zero (not 9) because of the flood and shut-down of their temp holding facility at end of Aug 2017. Archuleta did break down pretiral/sentenced and misdo/felony of those that they booked in Archuleta but housed in La Plata.</t>
  </si>
  <si>
    <t>Disputed invoice in February; no reply received.</t>
  </si>
  <si>
    <t>2 people have an NA misdomeanor/felony status because they were being prcoessed when the report was pulled; so the pretrial; sentenced; hold columns only add to 209. Within the pretrial misdo/felony counts; 90 inmates remain uncategorized. . These figures include Archuleta inmates but we do not track their criminal cases; they are responsible for maintaining their own records. Of the 44 "no code entered" inmates; approximately 34 inmates are housed for Archuleta and the US Marshall’s; the other 10 would either be booking in progress or an incomplete approved booking (a mistake). La Plata is only a holding agency; so the custody agency  is responsible for  keeping track of the inmates status; La Plata holds the inmate on the custody agencies authority until the custody agency advises us to release the inmate.  La Plata does not know what criteria were used to  create the “other” category.; bed_capacity: from: http://lpcso.org/divisions/detentions</t>
  </si>
  <si>
    <t>county_or_jail:  (NO JAIL); No Jail, they use Montrose. "Janine" (last name NA) in Montrose "might" be able to determine who the Ouray Sheriff booked on 11/27.</t>
  </si>
  <si>
    <t>n_parole_hold</t>
  </si>
  <si>
    <t>EAO stands for Executive Assignment Order. It's used for inmates who were in Community Corrections but violated Commcor requirements and have been bounced back to the jail; likely on their way to DOC. Regarding Length of Stay: (1) The length of stay per booking will count individuals who were in a pre-trial status at some point during 2017 and were released in 2017; it does not include those individuals who remain in custody.  (2) The numbers reflect felony or misdemeanor depending on the last charge remaining in pre-trial status. For instance; if an individual was in custody for 300 days and was sentenced to DOC for a felony case on 12/1/17 and sentenced to jail for a misdemeanor case on 12/3/17 this will reflect as a misdemeanor as this was the last pre-trial status.  (3) All days are rounded down.  If an individual was in custody for 23 hours and 59 minutes this will reflect as 0 days.; combined_misdo_felony_pt_los_days: mean=2, median=18.8358</t>
  </si>
  <si>
    <t>combined_misdo_felony_pt_los_days</t>
  </si>
  <si>
    <t>misdo_meanavg_pt_los</t>
  </si>
  <si>
    <t>misdo_median_pt_los</t>
  </si>
  <si>
    <t>misdo_mode_pt_los</t>
  </si>
  <si>
    <t>felony_meanavg_ los_pt</t>
  </si>
  <si>
    <t>felony_median_pt_los</t>
  </si>
  <si>
    <t>felony_mode_pt_los</t>
  </si>
  <si>
    <t>combined_misdo_felony_pt_los_days: Mean- 21.5; Median-; Mode-2</t>
  </si>
  <si>
    <t>african_american</t>
  </si>
  <si>
    <t>white</t>
  </si>
  <si>
    <t>hispanic</t>
  </si>
  <si>
    <t>pacific_islander_or_asian</t>
  </si>
  <si>
    <t>american_indian_ak</t>
  </si>
  <si>
    <t>AA includes 14 that also identify as hispanic; Hispanic includes 9 people who did not identify their race; 1 AI also dentified as hispanic; 1 PI also dentified as hispanic.</t>
  </si>
  <si>
    <t>One inmate identified as "Black; Hispanic" I put (s)he in the Afircan American column.</t>
  </si>
  <si>
    <t>1 PI identified as hispanic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</si>
</sst>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0">
    <font>
      <sz val="10"/>
      <color rgb="FF000000"/>
      <name val="Arial"/>
    </font>
    <font>
      <b/>
      <sz val="11"/>
      <color rgb="FF000000"/>
      <name val="Calibri"/>
    </font>
    <font>
      <sz val="11"/>
      <color rgb="FF000000"/>
      <name val="Calibri"/>
    </font>
    <font>
      <sz val="11"/>
      <color rgb="FFFF9900"/>
      <name val="Calibri"/>
    </font>
    <font>
      <b/>
      <sz val="10"/>
      <name val="Arial"/>
    </font>
    <font>
      <sz val="10"/>
      <name val="'ArialMT'"/>
    </font>
    <font>
      <sz val="10"/>
      <color rgb="FF4A86E8"/>
      <name val="Arial"/>
    </font>
    <font>
      <sz val="10"/>
      <name val="Arial"/>
      <family val="2"/>
    </font>
    <font>
      <b/>
      <sz val="11"/>
      <name val="Calibri"/>
      <family val="2"/>
    </font>
    <font>
      <sz val="11"/>
      <name val="Calibri"/>
      <family val="2"/>
    </font>
  </fonts>
  <fills count="8">
    <fill>
      <patternFill patternType="none"/>
    </fill>
    <fill>
      <patternFill patternType="gray125"/>
    </fill>
    <fill>
      <patternFill patternType="solid">
        <fgColor rgb="FFC0C0C0"/>
        <bgColor rgb="FFC0C0C0"/>
      </patternFill>
    </fill>
    <fill>
      <patternFill patternType="solid">
        <fgColor rgb="FFD9D9D9"/>
        <bgColor rgb="FFD9D9D9"/>
      </patternFill>
    </fill>
    <fill>
      <patternFill patternType="solid">
        <fgColor rgb="FFC4BD97"/>
        <bgColor rgb="FFC4BD97"/>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s>
  <cellStyleXfs count="1">
    <xf numFmtId="0" fontId="0" fillId="0" borderId="0"/>
  </cellStyleXfs>
  <cellXfs count="31">
    <xf numFmtId="0" fontId="0" fillId="0" borderId="0" xfId="0" applyFont="1" applyAlignment="1"/>
    <xf numFmtId="0" fontId="1" fillId="2" borderId="1" xfId="0" applyFont="1" applyFill="1" applyBorder="1" applyAlignment="1"/>
    <xf numFmtId="0" fontId="1" fillId="3" borderId="1" xfId="0" applyFont="1" applyFill="1" applyBorder="1" applyAlignment="1"/>
    <xf numFmtId="0" fontId="1" fillId="4" borderId="1" xfId="0" applyFont="1" applyFill="1" applyBorder="1" applyAlignment="1"/>
    <xf numFmtId="0" fontId="1" fillId="0" borderId="1" xfId="0" applyFont="1" applyBorder="1" applyAlignment="1"/>
    <xf numFmtId="0" fontId="2" fillId="0" borderId="1" xfId="0" applyFont="1" applyBorder="1" applyAlignment="1"/>
    <xf numFmtId="0" fontId="2" fillId="3" borderId="1" xfId="0" applyFont="1" applyFill="1" applyBorder="1" applyAlignment="1"/>
    <xf numFmtId="0" fontId="2" fillId="0" borderId="1" xfId="0" applyFont="1" applyBorder="1" applyAlignment="1">
      <alignment horizontal="right"/>
    </xf>
    <xf numFmtId="0" fontId="3" fillId="3" borderId="1" xfId="0" applyFont="1" applyFill="1" applyBorder="1" applyAlignment="1"/>
    <xf numFmtId="0" fontId="1" fillId="5" borderId="1" xfId="0" applyFont="1" applyFill="1" applyBorder="1" applyAlignment="1"/>
    <xf numFmtId="0" fontId="2" fillId="0" borderId="1" xfId="0" applyFont="1" applyBorder="1" applyAlignment="1"/>
    <xf numFmtId="0" fontId="2" fillId="6" borderId="1" xfId="0" applyFont="1" applyFill="1" applyBorder="1" applyAlignment="1"/>
    <xf numFmtId="0" fontId="2" fillId="0" borderId="2" xfId="0" applyFont="1" applyBorder="1" applyAlignment="1"/>
    <xf numFmtId="10" fontId="2" fillId="0" borderId="3" xfId="0" applyNumberFormat="1" applyFont="1" applyBorder="1" applyAlignment="1">
      <alignment horizontal="center"/>
    </xf>
    <xf numFmtId="10" fontId="2" fillId="0" borderId="1" xfId="0" applyNumberFormat="1" applyFont="1" applyBorder="1" applyAlignment="1"/>
    <xf numFmtId="0" fontId="2" fillId="5" borderId="1" xfId="0" applyFont="1" applyFill="1" applyBorder="1" applyAlignment="1"/>
    <xf numFmtId="0" fontId="2" fillId="5" borderId="1" xfId="0" applyFont="1" applyFill="1" applyBorder="1" applyAlignment="1"/>
    <xf numFmtId="0" fontId="2" fillId="5" borderId="1" xfId="0" applyFont="1" applyFill="1" applyBorder="1" applyAlignment="1">
      <alignment horizontal="right"/>
    </xf>
    <xf numFmtId="0" fontId="4" fillId="0" borderId="0" xfId="0" applyFont="1" applyAlignment="1"/>
    <xf numFmtId="0" fontId="2" fillId="7" borderId="1" xfId="0" applyFont="1" applyFill="1" applyBorder="1" applyAlignment="1"/>
    <xf numFmtId="0" fontId="9" fillId="0" borderId="0" xfId="0" applyFont="1" applyFill="1" applyBorder="1" applyAlignment="1"/>
    <xf numFmtId="0" fontId="7" fillId="0" borderId="0" xfId="0" applyFont="1" applyFill="1" applyBorder="1" applyAlignment="1"/>
    <xf numFmtId="0" fontId="8" fillId="0" borderId="0" xfId="0" applyFont="1" applyFill="1" applyBorder="1" applyAlignment="1"/>
    <xf numFmtId="0" fontId="9" fillId="0" borderId="0" xfId="0" applyFont="1" applyFill="1" applyBorder="1" applyAlignment="1">
      <alignment horizontal="right"/>
    </xf>
    <xf numFmtId="0" fontId="7" fillId="0" borderId="0" xfId="0" applyFont="1" applyFill="1" applyBorder="1" applyAlignment="1">
      <alignment horizontal="left"/>
    </xf>
    <xf numFmtId="0" fontId="9" fillId="0" borderId="0" xfId="0" applyFont="1" applyFill="1" applyBorder="1" applyAlignment="1">
      <alignment horizontal="left"/>
    </xf>
    <xf numFmtId="10" fontId="9" fillId="0" borderId="0" xfId="0" applyNumberFormat="1" applyFont="1" applyFill="1" applyBorder="1" applyAlignment="1">
      <alignment horizontal="left"/>
    </xf>
    <xf numFmtId="2" fontId="9" fillId="0" borderId="0" xfId="0" applyNumberFormat="1" applyFont="1" applyFill="1" applyBorder="1" applyAlignment="1">
      <alignment horizontal="left"/>
    </xf>
    <xf numFmtId="0" fontId="5" fillId="0" borderId="0" xfId="0" applyFont="1" applyFill="1" applyBorder="1" applyAlignment="1">
      <alignment horizontal="left"/>
    </xf>
    <xf numFmtId="164" fontId="9" fillId="0" borderId="0" xfId="0" applyNumberFormat="1" applyFont="1" applyFill="1" applyBorder="1" applyAlignment="1">
      <alignment horizontal="left"/>
    </xf>
    <xf numFmtId="0" fontId="9" fillId="0" borderId="0"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Q949"/>
  <sheetViews>
    <sheetView zoomScale="84" workbookViewId="0">
      <pane ySplit="1" topLeftCell="A10" activePane="bottomLeft" state="frozen"/>
      <selection pane="bottomLeft" activeCell="C64" sqref="C64"/>
    </sheetView>
  </sheetViews>
  <sheetFormatPr defaultColWidth="14.3984375" defaultRowHeight="15.75" customHeight="1"/>
  <cols>
    <col min="1" max="1" width="34.86328125" style="24" customWidth="1"/>
    <col min="2" max="8" width="14.3984375" style="24"/>
    <col min="9" max="9" width="15.53125" style="24" customWidth="1"/>
    <col min="10" max="10" width="16.265625" style="24" customWidth="1"/>
    <col min="11" max="11" width="13" style="24" customWidth="1"/>
    <col min="12" max="12" width="12.86328125" style="24" customWidth="1"/>
    <col min="13" max="13" width="15" style="24" customWidth="1"/>
    <col min="14" max="14" width="16.53125" style="24" customWidth="1"/>
    <col min="15" max="16" width="17.265625" style="24" customWidth="1"/>
    <col min="17" max="16384" width="14.3984375" style="24"/>
  </cols>
  <sheetData>
    <row r="1" spans="1:17" ht="28.5">
      <c r="A1" s="30" t="s">
        <v>103</v>
      </c>
      <c r="B1" s="30" t="s">
        <v>93</v>
      </c>
      <c r="C1" s="30" t="s">
        <v>95</v>
      </c>
      <c r="D1" s="30" t="s">
        <v>94</v>
      </c>
      <c r="E1" s="30" t="s">
        <v>96</v>
      </c>
      <c r="F1" s="30" t="s">
        <v>97</v>
      </c>
      <c r="G1" s="30" t="s">
        <v>98</v>
      </c>
      <c r="H1" s="30" t="s">
        <v>99</v>
      </c>
      <c r="I1" s="30" t="s">
        <v>128</v>
      </c>
      <c r="J1" s="30" t="s">
        <v>130</v>
      </c>
      <c r="K1" s="30" t="s">
        <v>131</v>
      </c>
      <c r="L1" s="30" t="s">
        <v>132</v>
      </c>
      <c r="M1" s="30" t="s">
        <v>133</v>
      </c>
      <c r="N1" s="30" t="s">
        <v>134</v>
      </c>
      <c r="O1" s="30" t="s">
        <v>135</v>
      </c>
      <c r="P1" s="30" t="s">
        <v>136</v>
      </c>
      <c r="Q1" s="24" t="s">
        <v>92</v>
      </c>
    </row>
    <row r="2" spans="1:17" ht="14.25">
      <c r="A2" s="25" t="s">
        <v>3</v>
      </c>
      <c r="B2" s="25">
        <v>1269</v>
      </c>
      <c r="C2" s="25">
        <v>1069</v>
      </c>
      <c r="D2" s="25">
        <v>582</v>
      </c>
      <c r="E2" s="25">
        <f>252+61</f>
        <v>313</v>
      </c>
      <c r="F2" s="25">
        <v>174</v>
      </c>
      <c r="G2" s="25">
        <v>184</v>
      </c>
      <c r="H2" s="25">
        <v>398</v>
      </c>
      <c r="I2" s="25">
        <v>12</v>
      </c>
      <c r="J2" s="25">
        <v>21</v>
      </c>
      <c r="K2" s="25">
        <v>39</v>
      </c>
      <c r="L2" s="25" t="s">
        <v>109</v>
      </c>
      <c r="M2" s="25" t="s">
        <v>109</v>
      </c>
      <c r="N2" s="25">
        <v>80</v>
      </c>
      <c r="O2" s="25" t="s">
        <v>109</v>
      </c>
      <c r="P2" s="25" t="s">
        <v>109</v>
      </c>
      <c r="Q2" s="24" t="s">
        <v>100</v>
      </c>
    </row>
    <row r="3" spans="1:17" ht="14.25">
      <c r="A3" s="25" t="s">
        <v>5</v>
      </c>
      <c r="B3" s="25">
        <v>95</v>
      </c>
      <c r="C3" s="25">
        <v>121</v>
      </c>
      <c r="D3" s="25">
        <v>48</v>
      </c>
      <c r="E3" s="25">
        <f>122-84</f>
        <v>38</v>
      </c>
      <c r="F3" s="25">
        <v>35</v>
      </c>
      <c r="G3" s="25">
        <v>6</v>
      </c>
      <c r="H3" s="25">
        <v>42</v>
      </c>
      <c r="I3" s="25">
        <v>1</v>
      </c>
      <c r="J3" s="25">
        <v>123</v>
      </c>
      <c r="K3" s="25" t="s">
        <v>109</v>
      </c>
      <c r="L3" s="25" t="s">
        <v>109</v>
      </c>
      <c r="M3" s="25" t="s">
        <v>109</v>
      </c>
      <c r="N3" s="25" t="s">
        <v>109</v>
      </c>
      <c r="O3" s="25" t="s">
        <v>109</v>
      </c>
      <c r="P3" s="25" t="s">
        <v>109</v>
      </c>
      <c r="Q3" s="24" t="s">
        <v>101</v>
      </c>
    </row>
    <row r="4" spans="1:17" ht="14.25">
      <c r="A4" s="25" t="s">
        <v>7</v>
      </c>
      <c r="B4" s="25">
        <v>1428</v>
      </c>
      <c r="C4" s="25">
        <v>1035</v>
      </c>
      <c r="D4" s="25">
        <v>603</v>
      </c>
      <c r="E4" s="25">
        <v>424</v>
      </c>
      <c r="F4" s="25">
        <v>8</v>
      </c>
      <c r="G4" s="25">
        <v>156.78</v>
      </c>
      <c r="H4" s="25">
        <v>446.22</v>
      </c>
      <c r="I4" s="25" t="s">
        <v>109</v>
      </c>
      <c r="J4" s="25" t="s">
        <v>109</v>
      </c>
      <c r="K4" s="25" t="s">
        <v>109</v>
      </c>
      <c r="L4" s="25" t="s">
        <v>109</v>
      </c>
      <c r="M4" s="25" t="s">
        <v>109</v>
      </c>
      <c r="N4" s="25" t="s">
        <v>109</v>
      </c>
      <c r="O4" s="25" t="s">
        <v>109</v>
      </c>
      <c r="P4" s="25" t="s">
        <v>109</v>
      </c>
      <c r="Q4" s="24" t="s">
        <v>104</v>
      </c>
    </row>
    <row r="5" spans="1:17" ht="14.25">
      <c r="A5" s="25" t="s">
        <v>8</v>
      </c>
      <c r="B5" s="25">
        <v>60</v>
      </c>
      <c r="C5" s="25">
        <v>41</v>
      </c>
      <c r="D5" s="25">
        <v>20</v>
      </c>
      <c r="E5" s="25">
        <v>21</v>
      </c>
      <c r="F5" s="25">
        <v>0</v>
      </c>
      <c r="G5" s="25">
        <v>11</v>
      </c>
      <c r="H5" s="25">
        <v>9</v>
      </c>
      <c r="I5" s="25">
        <v>0</v>
      </c>
      <c r="J5" s="25" t="s">
        <v>109</v>
      </c>
      <c r="K5" s="25" t="s">
        <v>109</v>
      </c>
      <c r="L5" s="25" t="s">
        <v>109</v>
      </c>
      <c r="M5" s="25" t="s">
        <v>109</v>
      </c>
      <c r="N5" s="25" t="s">
        <v>109</v>
      </c>
      <c r="O5" s="25" t="s">
        <v>109</v>
      </c>
      <c r="P5" s="25" t="s">
        <v>109</v>
      </c>
    </row>
    <row r="6" spans="1:17" ht="14.25">
      <c r="A6" s="25" t="s">
        <v>9</v>
      </c>
      <c r="B6" s="25" t="s">
        <v>91</v>
      </c>
      <c r="C6" s="25" t="s">
        <v>91</v>
      </c>
      <c r="D6" s="25" t="s">
        <v>91</v>
      </c>
      <c r="E6" s="25" t="s">
        <v>91</v>
      </c>
      <c r="F6" s="25" t="s">
        <v>91</v>
      </c>
      <c r="G6" s="25" t="s">
        <v>91</v>
      </c>
      <c r="H6" s="25" t="s">
        <v>91</v>
      </c>
      <c r="I6" s="25" t="s">
        <v>91</v>
      </c>
      <c r="J6" s="25" t="s">
        <v>91</v>
      </c>
      <c r="K6" s="25" t="s">
        <v>91</v>
      </c>
      <c r="L6" s="25" t="s">
        <v>91</v>
      </c>
      <c r="M6" s="25" t="s">
        <v>91</v>
      </c>
      <c r="N6" s="25" t="s">
        <v>91</v>
      </c>
      <c r="O6" s="25" t="s">
        <v>91</v>
      </c>
      <c r="P6" s="25" t="s">
        <v>91</v>
      </c>
      <c r="Q6" s="24" t="s">
        <v>124</v>
      </c>
    </row>
    <row r="7" spans="1:17" ht="14.25">
      <c r="A7" s="25" t="s">
        <v>11</v>
      </c>
      <c r="B7" s="25">
        <v>26</v>
      </c>
      <c r="C7" s="25">
        <v>6</v>
      </c>
      <c r="D7" s="25">
        <v>5</v>
      </c>
      <c r="E7" s="25">
        <v>0</v>
      </c>
      <c r="F7" s="25">
        <v>1</v>
      </c>
      <c r="G7" s="25">
        <v>1</v>
      </c>
      <c r="H7" s="25">
        <v>4</v>
      </c>
      <c r="I7" s="25">
        <v>0</v>
      </c>
      <c r="J7" s="25" t="s">
        <v>109</v>
      </c>
      <c r="K7" s="25" t="s">
        <v>109</v>
      </c>
      <c r="L7" s="25" t="s">
        <v>109</v>
      </c>
      <c r="M7" s="25" t="s">
        <v>109</v>
      </c>
      <c r="N7" s="25" t="s">
        <v>109</v>
      </c>
      <c r="O7" s="25" t="s">
        <v>109</v>
      </c>
      <c r="P7" s="25" t="s">
        <v>109</v>
      </c>
    </row>
    <row r="8" spans="1:17" ht="14.25">
      <c r="A8" s="25" t="s">
        <v>66</v>
      </c>
      <c r="B8" s="25">
        <v>55</v>
      </c>
      <c r="C8" s="25">
        <v>32</v>
      </c>
      <c r="D8" s="25">
        <v>26</v>
      </c>
      <c r="E8" s="25">
        <v>2</v>
      </c>
      <c r="F8" s="25">
        <v>4</v>
      </c>
      <c r="G8" s="25">
        <v>1</v>
      </c>
      <c r="H8" s="25">
        <f>27-2</f>
        <v>25</v>
      </c>
      <c r="I8" s="25">
        <v>4</v>
      </c>
      <c r="J8" s="25" t="s">
        <v>109</v>
      </c>
      <c r="K8" s="25" t="s">
        <v>79</v>
      </c>
      <c r="L8" s="25" t="s">
        <v>109</v>
      </c>
      <c r="M8" s="25" t="s">
        <v>109</v>
      </c>
      <c r="N8" s="25" t="s">
        <v>80</v>
      </c>
      <c r="O8" s="25" t="s">
        <v>109</v>
      </c>
      <c r="P8" s="25" t="s">
        <v>109</v>
      </c>
      <c r="Q8" s="25" t="s">
        <v>102</v>
      </c>
    </row>
    <row r="9" spans="1:17" ht="14.25">
      <c r="A9" s="25" t="s">
        <v>13</v>
      </c>
      <c r="B9" s="25">
        <v>560</v>
      </c>
      <c r="C9" s="25">
        <v>417</v>
      </c>
      <c r="D9" s="25">
        <f>249-3</f>
        <v>246</v>
      </c>
      <c r="E9" s="25">
        <f>168-3</f>
        <v>165</v>
      </c>
      <c r="F9" s="25">
        <v>6</v>
      </c>
      <c r="G9" s="25">
        <v>125.46</v>
      </c>
      <c r="H9" s="25">
        <v>120.54</v>
      </c>
      <c r="I9" s="25" t="s">
        <v>109</v>
      </c>
      <c r="J9" s="25" t="s">
        <v>109</v>
      </c>
      <c r="K9" s="25" t="s">
        <v>109</v>
      </c>
      <c r="L9" s="25" t="s">
        <v>109</v>
      </c>
      <c r="M9" s="25" t="s">
        <v>109</v>
      </c>
      <c r="N9" s="25" t="s">
        <v>109</v>
      </c>
      <c r="O9" s="25" t="s">
        <v>109</v>
      </c>
      <c r="P9" s="25" t="s">
        <v>109</v>
      </c>
      <c r="Q9" s="24" t="s">
        <v>105</v>
      </c>
    </row>
    <row r="10" spans="1:17" ht="14.25">
      <c r="A10" s="25" t="s">
        <v>15</v>
      </c>
      <c r="B10" s="25">
        <v>160</v>
      </c>
      <c r="C10" s="25">
        <v>94</v>
      </c>
      <c r="D10" s="25">
        <f>29+9</f>
        <v>38</v>
      </c>
      <c r="E10" s="25">
        <f>11+36</f>
        <v>47</v>
      </c>
      <c r="F10" s="25">
        <v>9</v>
      </c>
      <c r="G10" s="25">
        <v>9</v>
      </c>
      <c r="H10" s="25">
        <v>29</v>
      </c>
      <c r="I10" s="25" t="s">
        <v>109</v>
      </c>
      <c r="J10" s="25" t="s">
        <v>109</v>
      </c>
      <c r="K10" s="25">
        <v>3</v>
      </c>
      <c r="L10" s="25" t="s">
        <v>109</v>
      </c>
      <c r="M10" s="25" t="s">
        <v>109</v>
      </c>
      <c r="N10" s="25">
        <v>14</v>
      </c>
      <c r="O10" s="25" t="s">
        <v>109</v>
      </c>
      <c r="P10" s="25" t="s">
        <v>109</v>
      </c>
    </row>
    <row r="11" spans="1:17" ht="14.25">
      <c r="A11" s="25" t="s">
        <v>16</v>
      </c>
      <c r="B11" s="25">
        <v>105</v>
      </c>
      <c r="C11" s="25">
        <v>83</v>
      </c>
      <c r="D11" s="25">
        <v>31</v>
      </c>
      <c r="E11" s="25">
        <v>33</v>
      </c>
      <c r="F11" s="25">
        <v>19</v>
      </c>
      <c r="G11" s="25">
        <v>14</v>
      </c>
      <c r="H11" s="25">
        <v>17</v>
      </c>
      <c r="I11" s="25" t="s">
        <v>85</v>
      </c>
      <c r="J11" s="27">
        <f>(17653+23194)/(983+773)</f>
        <v>23.261389521640091</v>
      </c>
      <c r="K11" s="25">
        <v>17.96</v>
      </c>
      <c r="L11" s="25" t="s">
        <v>109</v>
      </c>
      <c r="M11" s="25" t="s">
        <v>109</v>
      </c>
      <c r="N11" s="25">
        <v>30.01</v>
      </c>
      <c r="O11" s="25" t="s">
        <v>109</v>
      </c>
      <c r="P11" s="25" t="s">
        <v>109</v>
      </c>
    </row>
    <row r="12" spans="1:17" ht="14.25">
      <c r="A12" s="25" t="s">
        <v>17</v>
      </c>
      <c r="B12" s="25" t="s">
        <v>91</v>
      </c>
      <c r="C12" s="25" t="s">
        <v>91</v>
      </c>
      <c r="D12" s="25" t="s">
        <v>91</v>
      </c>
      <c r="E12" s="25" t="s">
        <v>91</v>
      </c>
      <c r="F12" s="25" t="s">
        <v>91</v>
      </c>
      <c r="G12" s="25" t="s">
        <v>91</v>
      </c>
      <c r="H12" s="25" t="s">
        <v>91</v>
      </c>
      <c r="I12" s="25" t="s">
        <v>91</v>
      </c>
      <c r="J12" s="25" t="s">
        <v>91</v>
      </c>
      <c r="K12" s="25" t="s">
        <v>91</v>
      </c>
      <c r="L12" s="25" t="s">
        <v>91</v>
      </c>
      <c r="M12" s="25" t="s">
        <v>91</v>
      </c>
      <c r="N12" s="25" t="s">
        <v>91</v>
      </c>
      <c r="O12" s="25" t="s">
        <v>91</v>
      </c>
      <c r="P12" s="25" t="s">
        <v>91</v>
      </c>
      <c r="Q12" s="25" t="s">
        <v>106</v>
      </c>
    </row>
    <row r="13" spans="1:17" ht="14.25">
      <c r="A13" s="25" t="s">
        <v>18</v>
      </c>
      <c r="B13" s="25">
        <v>105</v>
      </c>
      <c r="C13" s="25">
        <v>77</v>
      </c>
      <c r="D13" s="25">
        <v>72</v>
      </c>
      <c r="E13" s="25">
        <v>4</v>
      </c>
      <c r="F13" s="25">
        <v>1</v>
      </c>
      <c r="G13" s="25">
        <v>9</v>
      </c>
      <c r="H13" s="25">
        <v>63</v>
      </c>
      <c r="I13" s="25" t="s">
        <v>109</v>
      </c>
      <c r="J13" s="25" t="s">
        <v>109</v>
      </c>
      <c r="K13" s="25" t="s">
        <v>109</v>
      </c>
      <c r="L13" s="25" t="s">
        <v>109</v>
      </c>
      <c r="M13" s="25" t="s">
        <v>109</v>
      </c>
      <c r="N13" s="25" t="s">
        <v>109</v>
      </c>
      <c r="O13" s="25" t="s">
        <v>109</v>
      </c>
      <c r="P13" s="25" t="s">
        <v>109</v>
      </c>
    </row>
    <row r="14" spans="1:17" ht="14.25">
      <c r="A14" s="25" t="s">
        <v>19</v>
      </c>
      <c r="B14" s="25">
        <v>86</v>
      </c>
      <c r="C14" s="25">
        <v>42</v>
      </c>
      <c r="D14" s="25">
        <v>22</v>
      </c>
      <c r="E14" s="25">
        <v>4</v>
      </c>
      <c r="F14" s="25">
        <v>16</v>
      </c>
      <c r="G14" s="25">
        <f>10-6</f>
        <v>4</v>
      </c>
      <c r="H14" s="25">
        <f>28-10</f>
        <v>18</v>
      </c>
      <c r="I14" s="25">
        <v>2</v>
      </c>
      <c r="J14" s="25">
        <v>21.5</v>
      </c>
      <c r="K14" s="25" t="s">
        <v>109</v>
      </c>
      <c r="L14" s="25" t="s">
        <v>109</v>
      </c>
      <c r="M14" s="25" t="s">
        <v>109</v>
      </c>
      <c r="N14" s="25" t="s">
        <v>109</v>
      </c>
      <c r="O14" s="25" t="s">
        <v>109</v>
      </c>
      <c r="P14" s="25" t="s">
        <v>109</v>
      </c>
      <c r="Q14" s="24" t="s">
        <v>137</v>
      </c>
    </row>
    <row r="15" spans="1:17" ht="14.25">
      <c r="A15" s="25" t="s">
        <v>20</v>
      </c>
      <c r="B15" s="25">
        <v>18</v>
      </c>
      <c r="C15" s="25">
        <v>14</v>
      </c>
      <c r="D15" s="25">
        <v>11</v>
      </c>
      <c r="E15" s="25">
        <v>3</v>
      </c>
      <c r="F15" s="25">
        <v>0</v>
      </c>
      <c r="G15" s="25">
        <v>5</v>
      </c>
      <c r="H15" s="25">
        <v>6</v>
      </c>
      <c r="I15" s="25">
        <v>0</v>
      </c>
      <c r="J15" s="25" t="s">
        <v>109</v>
      </c>
      <c r="K15" s="25" t="s">
        <v>109</v>
      </c>
      <c r="L15" s="25" t="s">
        <v>109</v>
      </c>
      <c r="M15" s="25" t="s">
        <v>109</v>
      </c>
      <c r="N15" s="25" t="s">
        <v>109</v>
      </c>
      <c r="O15" s="25" t="s">
        <v>109</v>
      </c>
      <c r="P15" s="25" t="s">
        <v>109</v>
      </c>
    </row>
    <row r="16" spans="1:17" ht="14.25">
      <c r="A16" s="25" t="s">
        <v>21</v>
      </c>
      <c r="B16" s="25">
        <v>14</v>
      </c>
      <c r="C16" s="25">
        <v>13</v>
      </c>
      <c r="D16" s="25">
        <v>11</v>
      </c>
      <c r="E16" s="25">
        <v>1</v>
      </c>
      <c r="F16" s="25">
        <v>1</v>
      </c>
      <c r="G16" s="25">
        <v>3</v>
      </c>
      <c r="H16" s="25">
        <f>9-1</f>
        <v>8</v>
      </c>
      <c r="I16" s="25">
        <v>0</v>
      </c>
      <c r="J16" s="25">
        <v>12.5</v>
      </c>
      <c r="K16" s="25">
        <v>6</v>
      </c>
      <c r="L16" s="25" t="s">
        <v>109</v>
      </c>
      <c r="M16" s="25" t="s">
        <v>109</v>
      </c>
      <c r="N16" s="25">
        <v>19</v>
      </c>
      <c r="O16" s="25" t="s">
        <v>109</v>
      </c>
      <c r="P16" s="25" t="s">
        <v>109</v>
      </c>
    </row>
    <row r="17" spans="1:17" ht="14.25">
      <c r="A17" s="25" t="s">
        <v>22</v>
      </c>
      <c r="B17" s="25">
        <v>12</v>
      </c>
      <c r="C17" s="25">
        <v>14</v>
      </c>
      <c r="D17" s="25">
        <v>7</v>
      </c>
      <c r="E17" s="25">
        <v>4</v>
      </c>
      <c r="F17" s="25">
        <v>3</v>
      </c>
      <c r="G17" s="25">
        <v>4</v>
      </c>
      <c r="H17" s="25">
        <v>3</v>
      </c>
      <c r="I17" s="25">
        <v>0</v>
      </c>
      <c r="J17" s="25">
        <v>35.36</v>
      </c>
      <c r="K17" s="25">
        <v>15.21</v>
      </c>
      <c r="L17" s="25">
        <v>3</v>
      </c>
      <c r="M17" s="25">
        <v>1</v>
      </c>
      <c r="N17" s="25">
        <v>58.62</v>
      </c>
      <c r="O17" s="25">
        <v>45</v>
      </c>
      <c r="P17" s="25">
        <v>1</v>
      </c>
    </row>
    <row r="18" spans="1:17" ht="14.25">
      <c r="A18" s="25" t="s">
        <v>23</v>
      </c>
      <c r="B18" s="25">
        <v>73</v>
      </c>
      <c r="C18" s="25">
        <v>52</v>
      </c>
      <c r="D18" s="25">
        <f>35-8</f>
        <v>27</v>
      </c>
      <c r="E18" s="25">
        <f>6+6</f>
        <v>12</v>
      </c>
      <c r="F18" s="25">
        <f>1+4+8</f>
        <v>13</v>
      </c>
      <c r="G18" s="25">
        <f>D18-H18-8</f>
        <v>5</v>
      </c>
      <c r="H18" s="25">
        <f>1+4+3+3+2+1</f>
        <v>14</v>
      </c>
      <c r="I18" s="25">
        <v>8</v>
      </c>
      <c r="J18" s="25">
        <v>7.38</v>
      </c>
      <c r="K18" s="25" t="s">
        <v>109</v>
      </c>
      <c r="L18" s="25" t="s">
        <v>109</v>
      </c>
      <c r="M18" s="25" t="s">
        <v>109</v>
      </c>
      <c r="N18" s="25" t="s">
        <v>109</v>
      </c>
      <c r="O18" s="25" t="s">
        <v>109</v>
      </c>
      <c r="P18" s="25" t="s">
        <v>109</v>
      </c>
    </row>
    <row r="19" spans="1:17" ht="14.25">
      <c r="A19" s="25" t="s">
        <v>107</v>
      </c>
      <c r="B19" s="25">
        <v>1500</v>
      </c>
      <c r="C19" s="25">
        <v>1390</v>
      </c>
      <c r="D19" s="25" t="s">
        <v>109</v>
      </c>
      <c r="E19" s="25" t="s">
        <v>109</v>
      </c>
      <c r="F19" s="25" t="s">
        <v>109</v>
      </c>
      <c r="G19" s="25" t="s">
        <v>109</v>
      </c>
      <c r="H19" s="25" t="s">
        <v>109</v>
      </c>
      <c r="I19" s="25">
        <f>1+136</f>
        <v>137</v>
      </c>
      <c r="J19" s="25" t="s">
        <v>109</v>
      </c>
      <c r="K19" s="25" t="s">
        <v>109</v>
      </c>
      <c r="L19" s="25" t="s">
        <v>109</v>
      </c>
      <c r="M19" s="25" t="s">
        <v>109</v>
      </c>
      <c r="N19" s="25" t="s">
        <v>109</v>
      </c>
      <c r="O19" s="25" t="s">
        <v>109</v>
      </c>
      <c r="P19" s="25" t="s">
        <v>109</v>
      </c>
      <c r="Q19" s="25" t="s">
        <v>108</v>
      </c>
    </row>
    <row r="20" spans="1:17" ht="14.25">
      <c r="A20" s="25" t="s">
        <v>110</v>
      </c>
      <c r="B20" s="25">
        <v>774</v>
      </c>
      <c r="C20" s="25">
        <v>706</v>
      </c>
      <c r="D20" s="25" t="s">
        <v>109</v>
      </c>
      <c r="E20" s="25" t="s">
        <v>109</v>
      </c>
      <c r="F20" s="25" t="s">
        <v>109</v>
      </c>
      <c r="G20" s="25" t="s">
        <v>109</v>
      </c>
      <c r="H20" s="25" t="s">
        <v>109</v>
      </c>
      <c r="I20" s="25">
        <v>117</v>
      </c>
      <c r="J20" s="25" t="s">
        <v>109</v>
      </c>
      <c r="K20" s="25" t="s">
        <v>109</v>
      </c>
      <c r="L20" s="25" t="s">
        <v>109</v>
      </c>
      <c r="M20" s="25" t="s">
        <v>109</v>
      </c>
      <c r="N20" s="25" t="s">
        <v>109</v>
      </c>
      <c r="O20" s="25" t="s">
        <v>109</v>
      </c>
      <c r="P20" s="25" t="s">
        <v>109</v>
      </c>
      <c r="Q20" s="25" t="s">
        <v>111</v>
      </c>
    </row>
    <row r="21" spans="1:17" ht="14.25">
      <c r="A21" s="25" t="s">
        <v>26</v>
      </c>
      <c r="B21" s="25" t="s">
        <v>91</v>
      </c>
      <c r="C21" s="25" t="s">
        <v>91</v>
      </c>
      <c r="D21" s="25" t="s">
        <v>91</v>
      </c>
      <c r="E21" s="25" t="s">
        <v>91</v>
      </c>
      <c r="F21" s="25" t="s">
        <v>91</v>
      </c>
      <c r="G21" s="25" t="s">
        <v>91</v>
      </c>
      <c r="H21" s="25" t="s">
        <v>91</v>
      </c>
      <c r="I21" s="25" t="s">
        <v>91</v>
      </c>
      <c r="J21" s="25" t="s">
        <v>91</v>
      </c>
      <c r="K21" s="25" t="s">
        <v>91</v>
      </c>
      <c r="L21" s="25" t="s">
        <v>91</v>
      </c>
      <c r="M21" s="25" t="s">
        <v>91</v>
      </c>
      <c r="N21" s="25" t="s">
        <v>91</v>
      </c>
      <c r="O21" s="25" t="s">
        <v>91</v>
      </c>
      <c r="P21" s="25" t="s">
        <v>91</v>
      </c>
      <c r="Q21" s="25" t="s">
        <v>112</v>
      </c>
    </row>
    <row r="22" spans="1:17" ht="14.25">
      <c r="A22" s="25" t="s">
        <v>27</v>
      </c>
      <c r="B22" s="25">
        <v>520</v>
      </c>
      <c r="C22" s="25">
        <v>385</v>
      </c>
      <c r="D22" s="25">
        <v>117</v>
      </c>
      <c r="E22" s="25">
        <v>158</v>
      </c>
      <c r="F22" s="25">
        <v>110</v>
      </c>
      <c r="G22" s="25">
        <v>45</v>
      </c>
      <c r="H22" s="25">
        <v>72</v>
      </c>
      <c r="I22" s="25">
        <f>9+1</f>
        <v>10</v>
      </c>
      <c r="J22" s="25">
        <v>16.059999999999999</v>
      </c>
      <c r="K22" s="25" t="s">
        <v>109</v>
      </c>
      <c r="L22" s="25" t="s">
        <v>109</v>
      </c>
      <c r="M22" s="25" t="s">
        <v>109</v>
      </c>
      <c r="N22" s="25" t="s">
        <v>109</v>
      </c>
      <c r="O22" s="25" t="s">
        <v>109</v>
      </c>
      <c r="P22" s="25" t="s">
        <v>109</v>
      </c>
    </row>
    <row r="23" spans="1:17" ht="14.25">
      <c r="A23" s="25" t="s">
        <v>28</v>
      </c>
      <c r="B23" s="25">
        <v>120</v>
      </c>
      <c r="C23" s="25">
        <v>62</v>
      </c>
      <c r="D23" s="25">
        <v>34</v>
      </c>
      <c r="E23" s="25">
        <v>26</v>
      </c>
      <c r="F23" s="25">
        <v>2</v>
      </c>
      <c r="G23" s="25">
        <v>11</v>
      </c>
      <c r="H23" s="25">
        <v>23</v>
      </c>
      <c r="I23" s="25">
        <v>0</v>
      </c>
      <c r="J23" s="25" t="s">
        <v>109</v>
      </c>
      <c r="K23" s="25" t="s">
        <v>109</v>
      </c>
      <c r="L23" s="25" t="s">
        <v>109</v>
      </c>
      <c r="M23" s="25" t="s">
        <v>109</v>
      </c>
      <c r="N23" s="25" t="s">
        <v>109</v>
      </c>
      <c r="O23" s="25" t="s">
        <v>109</v>
      </c>
      <c r="P23" s="25" t="s">
        <v>109</v>
      </c>
    </row>
    <row r="24" spans="1:17" ht="14.25">
      <c r="A24" s="25" t="s">
        <v>29</v>
      </c>
      <c r="B24" s="25">
        <v>35</v>
      </c>
      <c r="C24" s="25">
        <v>25</v>
      </c>
      <c r="D24" s="25">
        <v>18</v>
      </c>
      <c r="E24" s="25">
        <v>7</v>
      </c>
      <c r="F24" s="25">
        <v>0</v>
      </c>
      <c r="G24" s="25">
        <v>4</v>
      </c>
      <c r="H24" s="25">
        <v>14</v>
      </c>
      <c r="I24" s="25">
        <v>0</v>
      </c>
      <c r="J24" s="25" t="s">
        <v>109</v>
      </c>
      <c r="K24" s="25" t="s">
        <v>109</v>
      </c>
      <c r="L24" s="25" t="s">
        <v>109</v>
      </c>
      <c r="M24" s="25" t="s">
        <v>109</v>
      </c>
      <c r="N24" s="25" t="s">
        <v>109</v>
      </c>
      <c r="O24" s="25" t="s">
        <v>109</v>
      </c>
      <c r="P24" s="25" t="s">
        <v>109</v>
      </c>
    </row>
    <row r="25" spans="1:17" ht="14.25">
      <c r="A25" s="25" t="s">
        <v>30</v>
      </c>
      <c r="B25" s="25">
        <v>1997</v>
      </c>
      <c r="C25" s="25">
        <v>1624</v>
      </c>
      <c r="D25" s="25">
        <f>1166-5-23-630</f>
        <v>508</v>
      </c>
      <c r="E25" s="25">
        <v>458</v>
      </c>
      <c r="F25" s="25">
        <f>5+23+630</f>
        <v>658</v>
      </c>
      <c r="G25" s="25">
        <f>117-23</f>
        <v>94</v>
      </c>
      <c r="H25" s="25">
        <f>1044-630</f>
        <v>414</v>
      </c>
      <c r="I25" s="25" t="s">
        <v>109</v>
      </c>
      <c r="J25" s="25" t="s">
        <v>109</v>
      </c>
      <c r="K25" s="25" t="s">
        <v>109</v>
      </c>
      <c r="L25" s="25" t="s">
        <v>109</v>
      </c>
      <c r="M25" s="25" t="s">
        <v>109</v>
      </c>
      <c r="N25" s="25" t="s">
        <v>109</v>
      </c>
      <c r="O25" s="25" t="s">
        <v>109</v>
      </c>
      <c r="P25" s="25" t="s">
        <v>109</v>
      </c>
      <c r="Q25" s="24" t="s">
        <v>113</v>
      </c>
    </row>
    <row r="26" spans="1:17" ht="14.25">
      <c r="A26" s="25" t="s">
        <v>31</v>
      </c>
      <c r="B26" s="25">
        <v>241</v>
      </c>
      <c r="C26" s="25">
        <v>187</v>
      </c>
      <c r="D26" s="25">
        <v>68</v>
      </c>
      <c r="E26" s="25">
        <f>44</f>
        <v>44</v>
      </c>
      <c r="F26" s="25">
        <v>75</v>
      </c>
      <c r="G26" s="25">
        <v>25</v>
      </c>
      <c r="H26" s="25">
        <v>43</v>
      </c>
      <c r="I26" s="25">
        <v>61</v>
      </c>
      <c r="J26" s="25" t="s">
        <v>109</v>
      </c>
      <c r="K26" s="25" t="s">
        <v>109</v>
      </c>
      <c r="L26" s="25" t="s">
        <v>109</v>
      </c>
      <c r="M26" s="25" t="s">
        <v>109</v>
      </c>
      <c r="N26" s="25" t="s">
        <v>109</v>
      </c>
      <c r="O26" s="25" t="s">
        <v>109</v>
      </c>
      <c r="P26" s="25" t="s">
        <v>109</v>
      </c>
    </row>
    <row r="27" spans="1:17" ht="14.25">
      <c r="A27" s="25" t="s">
        <v>32</v>
      </c>
      <c r="B27" s="25">
        <v>204</v>
      </c>
      <c r="C27" s="25">
        <v>120</v>
      </c>
      <c r="D27" s="25">
        <v>81</v>
      </c>
      <c r="E27" s="25">
        <v>29</v>
      </c>
      <c r="F27" s="25">
        <f>2+8</f>
        <v>10</v>
      </c>
      <c r="G27" s="25">
        <v>23</v>
      </c>
      <c r="H27" s="25">
        <v>58</v>
      </c>
      <c r="I27" s="25">
        <v>2</v>
      </c>
      <c r="J27" s="25" t="s">
        <v>109</v>
      </c>
      <c r="K27" s="25" t="s">
        <v>109</v>
      </c>
      <c r="L27" s="25" t="s">
        <v>109</v>
      </c>
      <c r="M27" s="25" t="s">
        <v>109</v>
      </c>
      <c r="N27" s="25" t="s">
        <v>109</v>
      </c>
      <c r="O27" s="25" t="s">
        <v>109</v>
      </c>
      <c r="P27" s="25" t="s">
        <v>109</v>
      </c>
      <c r="Q27" s="24" t="s">
        <v>114</v>
      </c>
    </row>
    <row r="28" spans="1:17" ht="14.25">
      <c r="A28" s="25" t="s">
        <v>33</v>
      </c>
      <c r="B28" s="25">
        <v>56</v>
      </c>
      <c r="C28" s="25">
        <v>54</v>
      </c>
      <c r="D28" s="25">
        <f>28-4</f>
        <v>24</v>
      </c>
      <c r="E28" s="25">
        <v>25</v>
      </c>
      <c r="F28" s="25">
        <v>5</v>
      </c>
      <c r="G28" s="25">
        <f>11-2</f>
        <v>9</v>
      </c>
      <c r="H28" s="25">
        <f>17-2</f>
        <v>15</v>
      </c>
      <c r="I28" s="25">
        <v>5</v>
      </c>
      <c r="J28" s="25" t="s">
        <v>109</v>
      </c>
      <c r="K28" s="25" t="s">
        <v>109</v>
      </c>
      <c r="L28" s="25" t="s">
        <v>109</v>
      </c>
      <c r="M28" s="25" t="s">
        <v>109</v>
      </c>
      <c r="N28" s="25" t="s">
        <v>109</v>
      </c>
      <c r="O28" s="25" t="s">
        <v>109</v>
      </c>
      <c r="P28" s="25" t="s">
        <v>109</v>
      </c>
    </row>
    <row r="29" spans="1:17" ht="14.25">
      <c r="A29" s="25" t="s">
        <v>34</v>
      </c>
      <c r="B29" s="25">
        <v>50</v>
      </c>
      <c r="C29" s="25">
        <v>35</v>
      </c>
      <c r="D29" s="25">
        <v>12</v>
      </c>
      <c r="E29" s="25">
        <v>17</v>
      </c>
      <c r="F29" s="25">
        <v>6</v>
      </c>
      <c r="G29" s="25">
        <v>2</v>
      </c>
      <c r="H29" s="25">
        <v>10</v>
      </c>
      <c r="I29" s="25" t="s">
        <v>109</v>
      </c>
      <c r="J29" s="25" t="s">
        <v>109</v>
      </c>
      <c r="K29" s="25" t="s">
        <v>109</v>
      </c>
      <c r="L29" s="25" t="s">
        <v>109</v>
      </c>
      <c r="M29" s="25" t="s">
        <v>109</v>
      </c>
      <c r="N29" s="25" t="s">
        <v>109</v>
      </c>
      <c r="O29" s="25" t="s">
        <v>109</v>
      </c>
      <c r="P29" s="25" t="s">
        <v>109</v>
      </c>
    </row>
    <row r="30" spans="1:17" ht="14.25">
      <c r="A30" s="25" t="s">
        <v>35</v>
      </c>
      <c r="B30" s="25">
        <v>72</v>
      </c>
      <c r="C30" s="25">
        <v>26</v>
      </c>
      <c r="D30" s="25">
        <v>6</v>
      </c>
      <c r="E30" s="25">
        <v>14</v>
      </c>
      <c r="F30" s="25">
        <v>6</v>
      </c>
      <c r="G30" s="25">
        <v>2</v>
      </c>
      <c r="H30" s="25">
        <v>4</v>
      </c>
      <c r="I30" s="25">
        <v>1</v>
      </c>
      <c r="J30" s="25" t="s">
        <v>109</v>
      </c>
      <c r="K30" s="25" t="s">
        <v>109</v>
      </c>
      <c r="L30" s="25" t="s">
        <v>109</v>
      </c>
      <c r="M30" s="25" t="s">
        <v>109</v>
      </c>
      <c r="N30" s="25" t="s">
        <v>109</v>
      </c>
      <c r="O30" s="25" t="s">
        <v>109</v>
      </c>
      <c r="P30" s="25" t="s">
        <v>109</v>
      </c>
    </row>
    <row r="31" spans="1:17" ht="14.25">
      <c r="A31" s="25" t="s">
        <v>36</v>
      </c>
      <c r="B31" s="25" t="s">
        <v>91</v>
      </c>
      <c r="C31" s="25" t="s">
        <v>91</v>
      </c>
      <c r="D31" s="25" t="s">
        <v>91</v>
      </c>
      <c r="E31" s="25" t="s">
        <v>91</v>
      </c>
      <c r="F31" s="25" t="s">
        <v>91</v>
      </c>
      <c r="G31" s="25" t="s">
        <v>91</v>
      </c>
      <c r="H31" s="25" t="s">
        <v>91</v>
      </c>
      <c r="I31" s="25" t="s">
        <v>91</v>
      </c>
      <c r="J31" s="25" t="s">
        <v>91</v>
      </c>
      <c r="K31" s="25" t="s">
        <v>91</v>
      </c>
      <c r="L31" s="25" t="s">
        <v>91</v>
      </c>
      <c r="M31" s="25" t="s">
        <v>91</v>
      </c>
      <c r="N31" s="25" t="s">
        <v>91</v>
      </c>
      <c r="O31" s="25" t="s">
        <v>91</v>
      </c>
      <c r="P31" s="25" t="s">
        <v>91</v>
      </c>
      <c r="Q31" s="25" t="s">
        <v>112</v>
      </c>
    </row>
    <row r="32" spans="1:17" ht="14.25">
      <c r="A32" s="25" t="s">
        <v>37</v>
      </c>
      <c r="B32" s="25">
        <v>35</v>
      </c>
      <c r="C32" s="25">
        <v>32</v>
      </c>
      <c r="D32" s="25">
        <v>21</v>
      </c>
      <c r="E32" s="25">
        <v>6</v>
      </c>
      <c r="F32" s="25">
        <v>5</v>
      </c>
      <c r="G32" s="25">
        <v>1</v>
      </c>
      <c r="H32" s="25">
        <v>20</v>
      </c>
      <c r="I32" s="25" t="s">
        <v>109</v>
      </c>
      <c r="J32" s="25" t="s">
        <v>109</v>
      </c>
      <c r="K32" s="25" t="s">
        <v>109</v>
      </c>
      <c r="L32" s="25" t="s">
        <v>109</v>
      </c>
      <c r="M32" s="25" t="s">
        <v>109</v>
      </c>
      <c r="N32" s="25" t="s">
        <v>109</v>
      </c>
      <c r="O32" s="25" t="s">
        <v>109</v>
      </c>
      <c r="P32" s="25" t="s">
        <v>109</v>
      </c>
    </row>
    <row r="33" spans="1:17" ht="14.25">
      <c r="A33" s="25" t="s">
        <v>38</v>
      </c>
      <c r="B33" s="25">
        <v>5</v>
      </c>
      <c r="C33" s="25">
        <v>3</v>
      </c>
      <c r="D33" s="25">
        <v>0</v>
      </c>
      <c r="E33" s="25">
        <v>3</v>
      </c>
      <c r="F33" s="25">
        <v>0</v>
      </c>
      <c r="G33" s="25">
        <v>0</v>
      </c>
      <c r="H33" s="25">
        <v>0</v>
      </c>
      <c r="I33" s="25">
        <v>0</v>
      </c>
      <c r="J33" s="25">
        <v>9.9160000000000004</v>
      </c>
      <c r="K33" s="25">
        <v>6.75</v>
      </c>
      <c r="L33" s="25">
        <v>13.5</v>
      </c>
      <c r="M33" s="25">
        <v>2</v>
      </c>
      <c r="N33" s="25">
        <v>3.1659999999999999</v>
      </c>
      <c r="O33" s="25">
        <v>6.33</v>
      </c>
      <c r="P33" s="25">
        <v>1</v>
      </c>
    </row>
    <row r="34" spans="1:17" ht="14.25">
      <c r="A34" s="25" t="s">
        <v>39</v>
      </c>
      <c r="B34" s="25">
        <v>1378</v>
      </c>
      <c r="C34" s="25">
        <v>1345</v>
      </c>
      <c r="D34" s="25">
        <f>446+125+33+35</f>
        <v>639</v>
      </c>
      <c r="E34" s="25">
        <f>506+79+28</f>
        <v>613</v>
      </c>
      <c r="F34" s="25">
        <f>33+2+3+35+5+7+32+11-35</f>
        <v>93</v>
      </c>
      <c r="G34" s="25">
        <f>125+33+21+6+1</f>
        <v>186</v>
      </c>
      <c r="H34" s="25">
        <f>446+7</f>
        <v>453</v>
      </c>
      <c r="I34" s="25">
        <v>7</v>
      </c>
      <c r="J34" s="25" t="s">
        <v>109</v>
      </c>
      <c r="K34" s="25">
        <v>18.440000000000001</v>
      </c>
      <c r="L34" s="25">
        <v>3</v>
      </c>
      <c r="M34" s="25">
        <v>2</v>
      </c>
      <c r="N34" s="25">
        <v>20.32</v>
      </c>
      <c r="O34" s="25">
        <v>3</v>
      </c>
      <c r="P34" s="25">
        <v>2</v>
      </c>
      <c r="Q34" s="24" t="s">
        <v>115</v>
      </c>
    </row>
    <row r="35" spans="1:17" ht="14.25">
      <c r="A35" s="25" t="s">
        <v>40</v>
      </c>
      <c r="B35" s="25" t="s">
        <v>91</v>
      </c>
      <c r="C35" s="25" t="s">
        <v>91</v>
      </c>
      <c r="D35" s="25" t="s">
        <v>91</v>
      </c>
      <c r="E35" s="25" t="s">
        <v>91</v>
      </c>
      <c r="F35" s="25" t="s">
        <v>91</v>
      </c>
      <c r="G35" s="25" t="s">
        <v>91</v>
      </c>
      <c r="H35" s="25" t="s">
        <v>91</v>
      </c>
      <c r="I35" s="25" t="s">
        <v>91</v>
      </c>
      <c r="J35" s="25" t="s">
        <v>91</v>
      </c>
      <c r="K35" s="25" t="s">
        <v>91</v>
      </c>
      <c r="L35" s="25" t="s">
        <v>91</v>
      </c>
      <c r="M35" s="25" t="s">
        <v>91</v>
      </c>
      <c r="N35" s="25" t="s">
        <v>91</v>
      </c>
      <c r="O35" s="25" t="s">
        <v>91</v>
      </c>
      <c r="P35" s="25" t="s">
        <v>91</v>
      </c>
      <c r="Q35" s="25" t="s">
        <v>116</v>
      </c>
    </row>
    <row r="36" spans="1:17" ht="14.25">
      <c r="A36" s="25" t="s">
        <v>41</v>
      </c>
      <c r="B36" s="25">
        <v>52</v>
      </c>
      <c r="C36" s="25">
        <v>26</v>
      </c>
      <c r="D36" s="25">
        <f>20-1</f>
        <v>19</v>
      </c>
      <c r="E36" s="25">
        <v>4</v>
      </c>
      <c r="F36" s="25">
        <v>3</v>
      </c>
      <c r="G36" s="25">
        <v>4</v>
      </c>
      <c r="H36" s="25">
        <f>16-1</f>
        <v>15</v>
      </c>
      <c r="I36" s="25">
        <v>2</v>
      </c>
      <c r="J36" s="25" t="s">
        <v>109</v>
      </c>
      <c r="K36" s="25" t="s">
        <v>109</v>
      </c>
      <c r="L36" s="25" t="s">
        <v>109</v>
      </c>
      <c r="M36" s="25" t="s">
        <v>109</v>
      </c>
      <c r="N36" s="25" t="s">
        <v>109</v>
      </c>
      <c r="O36" s="25" t="s">
        <v>109</v>
      </c>
      <c r="P36" s="25" t="s">
        <v>109</v>
      </c>
    </row>
    <row r="37" spans="1:17" ht="14.25">
      <c r="A37" s="25" t="s">
        <v>42</v>
      </c>
      <c r="B37" s="25">
        <v>15</v>
      </c>
      <c r="C37" s="25">
        <v>22</v>
      </c>
      <c r="D37" s="25">
        <f>15-3</f>
        <v>12</v>
      </c>
      <c r="E37" s="25">
        <v>7</v>
      </c>
      <c r="F37" s="25">
        <v>3</v>
      </c>
      <c r="G37" s="25">
        <v>5</v>
      </c>
      <c r="H37" s="25">
        <f>10-3</f>
        <v>7</v>
      </c>
      <c r="I37" s="25">
        <v>3</v>
      </c>
      <c r="J37" s="25" t="s">
        <v>109</v>
      </c>
      <c r="K37" s="25" t="s">
        <v>109</v>
      </c>
      <c r="L37" s="25" t="s">
        <v>109</v>
      </c>
      <c r="M37" s="25" t="s">
        <v>109</v>
      </c>
      <c r="N37" s="25" t="s">
        <v>109</v>
      </c>
      <c r="O37" s="25" t="s">
        <v>109</v>
      </c>
      <c r="P37" s="25" t="s">
        <v>109</v>
      </c>
      <c r="Q37" s="24" t="s">
        <v>117</v>
      </c>
    </row>
    <row r="38" spans="1:17" ht="14.25">
      <c r="A38" s="25" t="s">
        <v>43</v>
      </c>
      <c r="B38" s="25">
        <v>293</v>
      </c>
      <c r="C38" s="25">
        <v>211</v>
      </c>
      <c r="D38" s="25">
        <v>160</v>
      </c>
      <c r="E38" s="25">
        <v>17</v>
      </c>
      <c r="F38" s="25">
        <v>34</v>
      </c>
      <c r="G38" s="25" t="s">
        <v>109</v>
      </c>
      <c r="H38" s="25" t="s">
        <v>109</v>
      </c>
      <c r="I38" s="25">
        <v>13</v>
      </c>
      <c r="J38" s="25">
        <v>12.42</v>
      </c>
      <c r="K38" s="25">
        <f>((11.42+13.38+9.42+1+7.42+2.45+1.25+17.25+4.42+35.45+7.38+0.17+0.17+2.21)/14)</f>
        <v>8.0992857142857151</v>
      </c>
      <c r="L38" s="25" t="s">
        <v>109</v>
      </c>
      <c r="M38" s="25" t="s">
        <v>109</v>
      </c>
      <c r="N38" s="25">
        <f>((143.5+34.5+38.45+23.5+21.45+13.5+49.42+64.34+9.38+17.5)/10)</f>
        <v>41.553999999999995</v>
      </c>
      <c r="O38" s="25" t="s">
        <v>109</v>
      </c>
      <c r="P38" s="25" t="s">
        <v>109</v>
      </c>
      <c r="Q38" s="25" t="s">
        <v>126</v>
      </c>
    </row>
    <row r="39" spans="1:17" ht="14.25">
      <c r="A39" s="25" t="s">
        <v>44</v>
      </c>
      <c r="B39" s="25">
        <v>617</v>
      </c>
      <c r="C39" s="25">
        <v>604</v>
      </c>
      <c r="D39" s="25">
        <v>387</v>
      </c>
      <c r="E39" s="25">
        <v>165</v>
      </c>
      <c r="F39" s="25">
        <v>52</v>
      </c>
      <c r="G39" s="25">
        <v>69</v>
      </c>
      <c r="H39" s="25">
        <f>317+1</f>
        <v>318</v>
      </c>
      <c r="I39" s="25">
        <v>8</v>
      </c>
      <c r="J39" s="25" t="s">
        <v>109</v>
      </c>
      <c r="K39" s="25">
        <v>1</v>
      </c>
      <c r="L39" s="25">
        <v>16.305499999999999</v>
      </c>
      <c r="M39" s="25" t="s">
        <v>109</v>
      </c>
      <c r="N39" s="25">
        <v>6</v>
      </c>
      <c r="O39" s="28">
        <v>27.2287</v>
      </c>
      <c r="P39" s="25" t="s">
        <v>109</v>
      </c>
      <c r="Q39" s="24" t="s">
        <v>129</v>
      </c>
    </row>
    <row r="40" spans="1:17" ht="14.25">
      <c r="A40" s="25" t="s">
        <v>46</v>
      </c>
      <c r="B40" s="25">
        <v>110</v>
      </c>
      <c r="C40" s="25">
        <v>59</v>
      </c>
      <c r="D40" s="25">
        <v>52</v>
      </c>
      <c r="E40" s="25">
        <v>6</v>
      </c>
      <c r="F40" s="25">
        <v>1</v>
      </c>
      <c r="G40" s="25">
        <v>24</v>
      </c>
      <c r="H40" s="25">
        <v>28</v>
      </c>
      <c r="I40" s="25" t="s">
        <v>109</v>
      </c>
      <c r="J40" s="25" t="s">
        <v>109</v>
      </c>
      <c r="K40" s="25" t="s">
        <v>109</v>
      </c>
      <c r="L40" s="25" t="s">
        <v>109</v>
      </c>
      <c r="M40" s="25" t="s">
        <v>109</v>
      </c>
      <c r="N40" s="25" t="s">
        <v>109</v>
      </c>
      <c r="O40" s="25" t="s">
        <v>109</v>
      </c>
      <c r="P40" s="25" t="s">
        <v>109</v>
      </c>
    </row>
    <row r="41" spans="1:17" ht="14.25">
      <c r="A41" s="25" t="s">
        <v>47</v>
      </c>
      <c r="B41" s="25">
        <v>40</v>
      </c>
      <c r="C41" s="25">
        <v>24</v>
      </c>
      <c r="D41" s="25">
        <v>13</v>
      </c>
      <c r="E41" s="25">
        <v>5</v>
      </c>
      <c r="F41" s="25">
        <v>6</v>
      </c>
      <c r="G41" s="25">
        <v>2</v>
      </c>
      <c r="H41" s="25">
        <v>11</v>
      </c>
      <c r="I41" s="25">
        <v>0</v>
      </c>
      <c r="J41" s="25">
        <v>60.235219999999998</v>
      </c>
      <c r="K41" s="25">
        <v>9.8651730000000004</v>
      </c>
      <c r="L41" s="25">
        <v>7.1488100000000001</v>
      </c>
      <c r="M41" s="25">
        <v>12.1</v>
      </c>
      <c r="N41" s="25">
        <v>42.200710000000001</v>
      </c>
      <c r="O41" s="25">
        <v>40.107689999999998</v>
      </c>
      <c r="P41" s="25" t="s">
        <v>109</v>
      </c>
    </row>
    <row r="42" spans="1:17" ht="14.25">
      <c r="A42" s="25" t="s">
        <v>48</v>
      </c>
      <c r="B42" s="25">
        <v>126</v>
      </c>
      <c r="C42" s="25">
        <v>89</v>
      </c>
      <c r="D42" s="25">
        <v>73</v>
      </c>
      <c r="E42" s="25">
        <v>10</v>
      </c>
      <c r="F42" s="25">
        <v>6</v>
      </c>
      <c r="G42" s="25">
        <v>9</v>
      </c>
      <c r="H42" s="25">
        <v>64</v>
      </c>
      <c r="I42" s="25" t="s">
        <v>109</v>
      </c>
      <c r="J42" s="25" t="s">
        <v>109</v>
      </c>
      <c r="K42" s="25" t="s">
        <v>109</v>
      </c>
      <c r="L42" s="25" t="s">
        <v>109</v>
      </c>
      <c r="M42" s="25" t="s">
        <v>109</v>
      </c>
      <c r="N42" s="25" t="s">
        <v>109</v>
      </c>
      <c r="O42" s="25" t="s">
        <v>109</v>
      </c>
      <c r="P42" s="25" t="s">
        <v>109</v>
      </c>
    </row>
    <row r="43" spans="1:17" ht="14.25">
      <c r="A43" s="25" t="s">
        <v>49</v>
      </c>
      <c r="B43" s="25">
        <v>531</v>
      </c>
      <c r="C43" s="25">
        <v>526</v>
      </c>
      <c r="D43" s="25">
        <f>SUM(47+345+4)</f>
        <v>396</v>
      </c>
      <c r="E43" s="25">
        <f>SUM(11+17+8+3+24+9+17+11+12+1)</f>
        <v>113</v>
      </c>
      <c r="F43" s="25">
        <f>SUM(9+8)</f>
        <v>17</v>
      </c>
      <c r="G43" s="25">
        <f>47+4</f>
        <v>51</v>
      </c>
      <c r="H43" s="25">
        <v>345</v>
      </c>
      <c r="I43" s="25">
        <f>9</f>
        <v>9</v>
      </c>
      <c r="J43" s="25" t="s">
        <v>109</v>
      </c>
      <c r="K43" s="25" t="s">
        <v>109</v>
      </c>
      <c r="L43" s="25" t="s">
        <v>109</v>
      </c>
      <c r="M43" s="25" t="s">
        <v>109</v>
      </c>
      <c r="N43" s="25" t="s">
        <v>109</v>
      </c>
      <c r="O43" s="25" t="s">
        <v>109</v>
      </c>
      <c r="P43" s="25" t="s">
        <v>109</v>
      </c>
    </row>
    <row r="44" spans="1:17" ht="14.25">
      <c r="A44" s="25" t="s">
        <v>50</v>
      </c>
      <c r="B44" s="25" t="s">
        <v>91</v>
      </c>
      <c r="C44" s="25" t="s">
        <v>91</v>
      </c>
      <c r="D44" s="25" t="s">
        <v>91</v>
      </c>
      <c r="E44" s="25" t="s">
        <v>91</v>
      </c>
      <c r="F44" s="25" t="s">
        <v>91</v>
      </c>
      <c r="G44" s="25" t="s">
        <v>91</v>
      </c>
      <c r="H44" s="25" t="s">
        <v>91</v>
      </c>
      <c r="I44" s="25" t="s">
        <v>91</v>
      </c>
      <c r="J44" s="25" t="s">
        <v>91</v>
      </c>
      <c r="K44" s="25" t="s">
        <v>91</v>
      </c>
      <c r="L44" s="25" t="s">
        <v>91</v>
      </c>
      <c r="M44" s="25" t="s">
        <v>91</v>
      </c>
      <c r="N44" s="25" t="s">
        <v>91</v>
      </c>
      <c r="O44" s="25" t="s">
        <v>91</v>
      </c>
      <c r="P44" s="25" t="s">
        <v>91</v>
      </c>
      <c r="Q44" s="24" t="s">
        <v>119</v>
      </c>
    </row>
    <row r="45" spans="1:17" ht="14.25">
      <c r="A45" s="25" t="s">
        <v>51</v>
      </c>
      <c r="B45" s="25">
        <v>101</v>
      </c>
      <c r="C45" s="25">
        <v>49</v>
      </c>
      <c r="D45" s="25">
        <v>31</v>
      </c>
      <c r="E45" s="25">
        <v>12</v>
      </c>
      <c r="F45" s="25">
        <v>6</v>
      </c>
      <c r="G45" s="25">
        <v>13</v>
      </c>
      <c r="H45" s="25">
        <v>18</v>
      </c>
      <c r="I45" s="25">
        <v>2</v>
      </c>
      <c r="J45" s="25">
        <v>18</v>
      </c>
      <c r="K45" s="25">
        <v>12</v>
      </c>
      <c r="L45" s="25">
        <v>21</v>
      </c>
      <c r="M45" s="25">
        <v>21</v>
      </c>
      <c r="N45" s="25">
        <v>14</v>
      </c>
      <c r="O45" s="25">
        <v>12.5</v>
      </c>
      <c r="P45" s="25">
        <v>9</v>
      </c>
    </row>
    <row r="46" spans="1:17" ht="14.25">
      <c r="A46" s="25" t="s">
        <v>52</v>
      </c>
      <c r="B46" s="25">
        <v>108</v>
      </c>
      <c r="C46" s="25">
        <v>75</v>
      </c>
      <c r="D46" s="25">
        <v>42</v>
      </c>
      <c r="E46" s="25">
        <v>25</v>
      </c>
      <c r="F46" s="25">
        <v>8</v>
      </c>
      <c r="G46" s="25">
        <v>16</v>
      </c>
      <c r="H46" s="25">
        <v>26</v>
      </c>
      <c r="I46" s="25" t="s">
        <v>109</v>
      </c>
      <c r="J46" s="25" t="s">
        <v>109</v>
      </c>
      <c r="K46" s="25" t="s">
        <v>109</v>
      </c>
      <c r="L46" s="25" t="s">
        <v>109</v>
      </c>
      <c r="M46" s="25" t="s">
        <v>109</v>
      </c>
      <c r="N46" s="25" t="s">
        <v>109</v>
      </c>
      <c r="O46" s="25" t="s">
        <v>109</v>
      </c>
      <c r="P46" s="25" t="s">
        <v>109</v>
      </c>
      <c r="Q46" s="24" t="s">
        <v>118</v>
      </c>
    </row>
    <row r="47" spans="1:17" ht="14.25">
      <c r="A47" s="25" t="s">
        <v>53</v>
      </c>
      <c r="B47" s="25">
        <v>129</v>
      </c>
      <c r="C47" s="25">
        <v>88</v>
      </c>
      <c r="D47" s="25">
        <f>27+11+21+4+2-2</f>
        <v>63</v>
      </c>
      <c r="E47" s="25">
        <f>9+7+3+3+1</f>
        <v>23</v>
      </c>
      <c r="F47" s="25">
        <v>2</v>
      </c>
      <c r="G47" s="25">
        <f>11+4+2</f>
        <v>17</v>
      </c>
      <c r="H47" s="25">
        <f>27+21-2</f>
        <v>46</v>
      </c>
      <c r="I47" s="25">
        <v>0</v>
      </c>
      <c r="J47" s="25" t="s">
        <v>109</v>
      </c>
      <c r="K47" s="25" t="s">
        <v>109</v>
      </c>
      <c r="L47" s="25" t="s">
        <v>109</v>
      </c>
      <c r="M47" s="25" t="s">
        <v>109</v>
      </c>
      <c r="N47" s="25" t="s">
        <v>109</v>
      </c>
      <c r="O47" s="25" t="s">
        <v>109</v>
      </c>
      <c r="P47" s="25" t="s">
        <v>109</v>
      </c>
    </row>
    <row r="48" spans="1:17" ht="14.25">
      <c r="A48" s="25" t="s">
        <v>54</v>
      </c>
      <c r="B48" s="25">
        <v>124</v>
      </c>
      <c r="C48" s="25">
        <v>83</v>
      </c>
      <c r="D48" s="25">
        <v>31</v>
      </c>
      <c r="E48" s="25">
        <v>44</v>
      </c>
      <c r="F48" s="25">
        <v>8</v>
      </c>
      <c r="G48" s="25">
        <v>11</v>
      </c>
      <c r="H48" s="25">
        <v>20</v>
      </c>
      <c r="I48" s="25" t="s">
        <v>109</v>
      </c>
      <c r="J48" s="25" t="s">
        <v>109</v>
      </c>
      <c r="K48" s="25" t="s">
        <v>109</v>
      </c>
      <c r="L48" s="25" t="s">
        <v>109</v>
      </c>
      <c r="M48" s="25" t="s">
        <v>109</v>
      </c>
      <c r="N48" s="25" t="s">
        <v>109</v>
      </c>
      <c r="O48" s="25" t="s">
        <v>109</v>
      </c>
      <c r="P48" s="25" t="s">
        <v>109</v>
      </c>
    </row>
    <row r="49" spans="1:17" ht="14.25">
      <c r="A49" s="25" t="s">
        <v>55</v>
      </c>
      <c r="B49" s="25">
        <v>34</v>
      </c>
      <c r="C49" s="25">
        <v>49</v>
      </c>
      <c r="D49" s="25">
        <v>40</v>
      </c>
      <c r="E49" s="25">
        <v>3</v>
      </c>
      <c r="F49" s="25">
        <v>6</v>
      </c>
      <c r="G49" s="25">
        <v>18</v>
      </c>
      <c r="H49" s="25">
        <v>22</v>
      </c>
      <c r="I49" s="25" t="s">
        <v>109</v>
      </c>
      <c r="J49" s="25" t="s">
        <v>109</v>
      </c>
      <c r="K49" s="25" t="s">
        <v>109</v>
      </c>
      <c r="L49" s="25" t="s">
        <v>109</v>
      </c>
      <c r="M49" s="25" t="s">
        <v>109</v>
      </c>
      <c r="N49" s="25" t="s">
        <v>109</v>
      </c>
      <c r="O49" s="25" t="s">
        <v>109</v>
      </c>
      <c r="P49" s="25" t="s">
        <v>109</v>
      </c>
    </row>
    <row r="50" spans="1:17" ht="14.25">
      <c r="A50" s="25" t="s">
        <v>56</v>
      </c>
      <c r="B50" s="25" t="s">
        <v>91</v>
      </c>
      <c r="C50" s="25" t="s">
        <v>91</v>
      </c>
      <c r="D50" s="25" t="s">
        <v>91</v>
      </c>
      <c r="E50" s="25" t="s">
        <v>91</v>
      </c>
      <c r="F50" s="25" t="s">
        <v>91</v>
      </c>
      <c r="G50" s="25" t="s">
        <v>91</v>
      </c>
      <c r="H50" s="25" t="s">
        <v>91</v>
      </c>
      <c r="I50" s="25" t="s">
        <v>91</v>
      </c>
      <c r="J50" s="25" t="s">
        <v>91</v>
      </c>
      <c r="K50" s="25" t="s">
        <v>91</v>
      </c>
      <c r="L50" s="25" t="s">
        <v>91</v>
      </c>
      <c r="M50" s="25" t="s">
        <v>91</v>
      </c>
      <c r="N50" s="25" t="s">
        <v>91</v>
      </c>
      <c r="O50" s="25" t="s">
        <v>91</v>
      </c>
      <c r="P50" s="25" t="s">
        <v>91</v>
      </c>
      <c r="Q50" s="24" t="s">
        <v>127</v>
      </c>
    </row>
    <row r="51" spans="1:17" ht="14.25">
      <c r="A51" s="25" t="s">
        <v>57</v>
      </c>
      <c r="B51" s="25">
        <v>250</v>
      </c>
      <c r="C51" s="25">
        <v>122</v>
      </c>
      <c r="D51" s="25">
        <v>16</v>
      </c>
      <c r="E51" s="25">
        <v>9</v>
      </c>
      <c r="F51" s="25">
        <v>97</v>
      </c>
      <c r="G51" s="25">
        <v>3</v>
      </c>
      <c r="H51" s="25">
        <v>13</v>
      </c>
      <c r="I51" s="25">
        <v>1</v>
      </c>
      <c r="J51" s="25">
        <v>27</v>
      </c>
      <c r="K51" s="25" t="s">
        <v>109</v>
      </c>
      <c r="L51" s="25" t="s">
        <v>109</v>
      </c>
      <c r="M51" s="25" t="s">
        <v>109</v>
      </c>
      <c r="N51" s="25" t="s">
        <v>109</v>
      </c>
      <c r="O51" s="25" t="s">
        <v>109</v>
      </c>
      <c r="P51" s="25" t="s">
        <v>109</v>
      </c>
    </row>
    <row r="52" spans="1:17" ht="14.25">
      <c r="A52" s="25" t="s">
        <v>58</v>
      </c>
      <c r="B52" s="25" t="s">
        <v>91</v>
      </c>
      <c r="C52" s="25" t="s">
        <v>91</v>
      </c>
      <c r="D52" s="25" t="s">
        <v>91</v>
      </c>
      <c r="E52" s="25" t="s">
        <v>91</v>
      </c>
      <c r="F52" s="25" t="s">
        <v>91</v>
      </c>
      <c r="G52" s="25" t="s">
        <v>91</v>
      </c>
      <c r="H52" s="25" t="s">
        <v>91</v>
      </c>
      <c r="I52" s="25" t="s">
        <v>91</v>
      </c>
      <c r="J52" s="25" t="s">
        <v>91</v>
      </c>
      <c r="K52" s="25" t="s">
        <v>91</v>
      </c>
      <c r="L52" s="25" t="s">
        <v>91</v>
      </c>
      <c r="M52" s="25" t="s">
        <v>91</v>
      </c>
      <c r="N52" s="25" t="s">
        <v>91</v>
      </c>
      <c r="O52" s="25" t="s">
        <v>91</v>
      </c>
      <c r="P52" s="25" t="s">
        <v>91</v>
      </c>
      <c r="Q52" s="24" t="s">
        <v>122</v>
      </c>
    </row>
    <row r="53" spans="1:17" ht="14.25">
      <c r="A53" s="25" t="s">
        <v>59</v>
      </c>
      <c r="B53" s="25">
        <v>24</v>
      </c>
      <c r="C53" s="25">
        <v>15</v>
      </c>
      <c r="D53" s="24">
        <v>12</v>
      </c>
      <c r="E53" s="24">
        <v>3</v>
      </c>
      <c r="F53" s="24">
        <v>0</v>
      </c>
      <c r="G53" s="24" t="s">
        <v>109</v>
      </c>
      <c r="H53" s="24" t="s">
        <v>109</v>
      </c>
      <c r="I53" s="24" t="s">
        <v>89</v>
      </c>
      <c r="J53" s="25" t="s">
        <v>109</v>
      </c>
      <c r="K53" s="25" t="s">
        <v>109</v>
      </c>
      <c r="L53" s="25" t="s">
        <v>109</v>
      </c>
      <c r="M53" s="25" t="s">
        <v>109</v>
      </c>
      <c r="N53" s="25" t="s">
        <v>109</v>
      </c>
      <c r="O53" s="25" t="s">
        <v>109</v>
      </c>
      <c r="P53" s="25" t="s">
        <v>109</v>
      </c>
      <c r="Q53" s="24" t="s">
        <v>120</v>
      </c>
    </row>
    <row r="54" spans="1:17" ht="14.25">
      <c r="A54" s="25" t="s">
        <v>60</v>
      </c>
      <c r="B54" s="25">
        <v>62</v>
      </c>
      <c r="C54" s="25">
        <v>56</v>
      </c>
      <c r="D54" s="25">
        <v>40</v>
      </c>
      <c r="E54" s="25">
        <v>16</v>
      </c>
      <c r="F54" s="25">
        <v>12</v>
      </c>
      <c r="G54" s="25">
        <v>8</v>
      </c>
      <c r="H54" s="25">
        <v>32</v>
      </c>
      <c r="I54" s="25" t="s">
        <v>109</v>
      </c>
      <c r="J54" s="25" t="s">
        <v>109</v>
      </c>
      <c r="K54" s="25" t="s">
        <v>109</v>
      </c>
      <c r="L54" s="25" t="s">
        <v>109</v>
      </c>
      <c r="M54" s="25" t="s">
        <v>109</v>
      </c>
      <c r="N54" s="25" t="s">
        <v>109</v>
      </c>
      <c r="O54" s="25" t="s">
        <v>109</v>
      </c>
      <c r="P54" s="25" t="s">
        <v>109</v>
      </c>
    </row>
    <row r="55" spans="1:17" ht="14.25">
      <c r="A55" s="25" t="s">
        <v>61</v>
      </c>
      <c r="B55" s="25">
        <v>509</v>
      </c>
      <c r="C55" s="25">
        <v>990</v>
      </c>
      <c r="D55" s="25">
        <v>578</v>
      </c>
      <c r="E55" s="25">
        <v>265</v>
      </c>
      <c r="F55" s="25">
        <v>147</v>
      </c>
      <c r="G55" s="25">
        <v>159</v>
      </c>
      <c r="H55" s="25">
        <v>419</v>
      </c>
      <c r="I55" s="25">
        <v>10.3</v>
      </c>
      <c r="J55" s="25" t="s">
        <v>109</v>
      </c>
      <c r="K55" s="25" t="s">
        <v>109</v>
      </c>
      <c r="L55" s="25" t="s">
        <v>109</v>
      </c>
      <c r="M55" s="25" t="s">
        <v>109</v>
      </c>
      <c r="N55" s="25" t="s">
        <v>109</v>
      </c>
      <c r="O55" s="25" t="s">
        <v>109</v>
      </c>
      <c r="P55" s="25" t="s">
        <v>109</v>
      </c>
      <c r="Q55" s="24" t="s">
        <v>121</v>
      </c>
    </row>
    <row r="56" spans="1:17" ht="14.25">
      <c r="A56" s="25" t="s">
        <v>62</v>
      </c>
      <c r="B56" s="25">
        <v>34</v>
      </c>
      <c r="C56" s="25">
        <v>17</v>
      </c>
      <c r="D56" s="25">
        <v>9</v>
      </c>
      <c r="E56" s="25">
        <v>1</v>
      </c>
      <c r="F56" s="25">
        <v>7</v>
      </c>
      <c r="G56" s="25">
        <v>4</v>
      </c>
      <c r="H56" s="25">
        <v>5</v>
      </c>
      <c r="I56" s="25">
        <v>1</v>
      </c>
      <c r="J56" s="25" t="s">
        <v>109</v>
      </c>
      <c r="K56" s="25" t="s">
        <v>109</v>
      </c>
      <c r="L56" s="25" t="s">
        <v>109</v>
      </c>
      <c r="M56" s="25" t="s">
        <v>109</v>
      </c>
      <c r="N56" s="25" t="s">
        <v>109</v>
      </c>
      <c r="O56" s="25" t="s">
        <v>109</v>
      </c>
      <c r="P56" s="25" t="s">
        <v>109</v>
      </c>
    </row>
    <row r="57" spans="1:17" ht="14.25">
      <c r="A57" s="25" t="s">
        <v>63</v>
      </c>
      <c r="B57" s="25">
        <v>49</v>
      </c>
      <c r="C57" s="25">
        <v>40</v>
      </c>
      <c r="D57" s="25">
        <v>23</v>
      </c>
      <c r="E57" s="25">
        <v>17</v>
      </c>
      <c r="F57" s="25">
        <v>0</v>
      </c>
      <c r="G57" s="25">
        <v>5</v>
      </c>
      <c r="H57" s="25">
        <v>18</v>
      </c>
      <c r="I57" s="25">
        <v>0</v>
      </c>
      <c r="J57" s="25">
        <v>27.46</v>
      </c>
      <c r="K57" s="25">
        <v>14.42</v>
      </c>
      <c r="L57" s="25" t="s">
        <v>109</v>
      </c>
      <c r="M57" s="25" t="s">
        <v>109</v>
      </c>
      <c r="N57" s="25">
        <v>40.46</v>
      </c>
      <c r="O57" s="25" t="s">
        <v>109</v>
      </c>
      <c r="P57" s="25" t="s">
        <v>109</v>
      </c>
      <c r="Q57" s="24" t="s">
        <v>118</v>
      </c>
    </row>
    <row r="58" spans="1:17" ht="14.25">
      <c r="A58" s="25" t="s">
        <v>64</v>
      </c>
      <c r="B58" s="25">
        <v>57</v>
      </c>
      <c r="C58" s="25">
        <v>34</v>
      </c>
      <c r="D58" s="25">
        <f>19+3</f>
        <v>22</v>
      </c>
      <c r="E58" s="25">
        <v>12</v>
      </c>
      <c r="F58" s="25">
        <v>0</v>
      </c>
      <c r="G58" s="25">
        <v>10</v>
      </c>
      <c r="H58" s="25">
        <v>12</v>
      </c>
      <c r="I58" s="25">
        <v>0</v>
      </c>
      <c r="J58" s="25" t="s">
        <v>109</v>
      </c>
      <c r="K58" s="25" t="s">
        <v>109</v>
      </c>
      <c r="L58" s="25" t="s">
        <v>109</v>
      </c>
      <c r="M58" s="25" t="s">
        <v>109</v>
      </c>
      <c r="N58" s="25" t="s">
        <v>109</v>
      </c>
      <c r="O58" s="25" t="s">
        <v>109</v>
      </c>
      <c r="P58" s="25" t="s">
        <v>109</v>
      </c>
    </row>
    <row r="59" spans="1:17" ht="14.25">
      <c r="A59" s="25" t="s">
        <v>65</v>
      </c>
      <c r="B59" s="25">
        <v>21</v>
      </c>
      <c r="C59" s="25">
        <v>20</v>
      </c>
      <c r="D59" s="25">
        <f>15-2</f>
        <v>13</v>
      </c>
      <c r="E59" s="25">
        <v>5</v>
      </c>
      <c r="F59" s="25">
        <v>2</v>
      </c>
      <c r="G59" s="25">
        <f>5-1</f>
        <v>4</v>
      </c>
      <c r="H59" s="25">
        <f>10-1</f>
        <v>9</v>
      </c>
      <c r="I59" s="25">
        <v>0</v>
      </c>
      <c r="J59" s="25">
        <v>120</v>
      </c>
      <c r="K59" s="25">
        <v>60</v>
      </c>
      <c r="L59" s="25" t="s">
        <v>109</v>
      </c>
      <c r="M59" s="25" t="s">
        <v>109</v>
      </c>
      <c r="N59" s="25">
        <v>196</v>
      </c>
      <c r="O59" s="25" t="s">
        <v>109</v>
      </c>
      <c r="P59" s="25" t="s">
        <v>109</v>
      </c>
    </row>
    <row r="60" spans="1:17" ht="14.25">
      <c r="A60" s="25" t="s">
        <v>67</v>
      </c>
      <c r="B60" s="25" t="s">
        <v>91</v>
      </c>
      <c r="C60" s="25" t="s">
        <v>91</v>
      </c>
      <c r="D60" s="25" t="s">
        <v>91</v>
      </c>
      <c r="E60" s="25" t="s">
        <v>91</v>
      </c>
      <c r="F60" s="25" t="s">
        <v>91</v>
      </c>
      <c r="G60" s="25" t="s">
        <v>91</v>
      </c>
      <c r="H60" s="25" t="s">
        <v>91</v>
      </c>
      <c r="I60" s="25" t="s">
        <v>91</v>
      </c>
      <c r="J60" s="25" t="s">
        <v>91</v>
      </c>
      <c r="K60" s="25" t="s">
        <v>91</v>
      </c>
      <c r="L60" s="25" t="s">
        <v>91</v>
      </c>
      <c r="M60" s="25" t="s">
        <v>91</v>
      </c>
      <c r="N60" s="25" t="s">
        <v>91</v>
      </c>
      <c r="O60" s="25" t="s">
        <v>91</v>
      </c>
      <c r="P60" s="25" t="s">
        <v>91</v>
      </c>
      <c r="Q60" s="24" t="s">
        <v>123</v>
      </c>
    </row>
    <row r="61" spans="1:17" ht="14.25">
      <c r="A61" s="25" t="s">
        <v>69</v>
      </c>
      <c r="B61" s="25">
        <v>34</v>
      </c>
      <c r="C61" s="25">
        <v>9</v>
      </c>
      <c r="D61" s="25">
        <v>7</v>
      </c>
      <c r="E61" s="25">
        <v>2</v>
      </c>
      <c r="F61" s="25">
        <v>0</v>
      </c>
      <c r="G61" s="25">
        <v>2</v>
      </c>
      <c r="H61" s="25">
        <v>5</v>
      </c>
      <c r="I61" s="25">
        <v>0</v>
      </c>
      <c r="J61" s="25" t="s">
        <v>109</v>
      </c>
      <c r="K61" s="25" t="s">
        <v>109</v>
      </c>
      <c r="L61" s="25" t="s">
        <v>109</v>
      </c>
      <c r="M61" s="25" t="s">
        <v>109</v>
      </c>
      <c r="N61" s="25" t="s">
        <v>109</v>
      </c>
      <c r="O61" s="25" t="s">
        <v>109</v>
      </c>
      <c r="P61" s="25" t="s">
        <v>109</v>
      </c>
    </row>
    <row r="62" spans="1:17" ht="14.25">
      <c r="A62" s="25" t="s">
        <v>73</v>
      </c>
      <c r="B62" s="25">
        <v>6</v>
      </c>
      <c r="C62" s="25">
        <v>6</v>
      </c>
      <c r="D62" s="25">
        <f>6-1</f>
        <v>5</v>
      </c>
      <c r="E62" s="25">
        <v>0</v>
      </c>
      <c r="F62" s="25">
        <v>1</v>
      </c>
      <c r="G62" s="25">
        <v>1</v>
      </c>
      <c r="H62" s="25">
        <f>5-1</f>
        <v>4</v>
      </c>
      <c r="I62" s="25">
        <v>0</v>
      </c>
      <c r="J62" s="29">
        <v>43130</v>
      </c>
      <c r="K62" s="29">
        <v>43103</v>
      </c>
      <c r="L62" s="25" t="s">
        <v>109</v>
      </c>
      <c r="M62" s="25" t="s">
        <v>109</v>
      </c>
      <c r="N62" s="25" t="s">
        <v>90</v>
      </c>
      <c r="O62" s="25" t="s">
        <v>109</v>
      </c>
      <c r="P62" s="25" t="s">
        <v>109</v>
      </c>
    </row>
    <row r="63" spans="1:17" ht="14.25">
      <c r="A63" s="25" t="s">
        <v>74</v>
      </c>
      <c r="B63" s="25">
        <v>94</v>
      </c>
      <c r="C63" s="25">
        <v>45</v>
      </c>
      <c r="D63" s="25">
        <v>25</v>
      </c>
      <c r="E63" s="25">
        <v>9</v>
      </c>
      <c r="F63" s="25">
        <v>11</v>
      </c>
      <c r="G63" s="25">
        <v>14</v>
      </c>
      <c r="H63" s="25">
        <v>11</v>
      </c>
      <c r="I63" s="25" t="s">
        <v>109</v>
      </c>
      <c r="J63" s="25" t="s">
        <v>109</v>
      </c>
      <c r="K63" s="25" t="s">
        <v>109</v>
      </c>
      <c r="L63" s="25" t="s">
        <v>109</v>
      </c>
      <c r="M63" s="25" t="s">
        <v>109</v>
      </c>
      <c r="N63" s="25" t="s">
        <v>109</v>
      </c>
      <c r="O63" s="25" t="s">
        <v>109</v>
      </c>
      <c r="P63" s="25" t="s">
        <v>109</v>
      </c>
    </row>
    <row r="64" spans="1:17" ht="14.25">
      <c r="A64" s="25" t="s">
        <v>75</v>
      </c>
      <c r="B64" s="25">
        <v>104</v>
      </c>
      <c r="C64" s="25">
        <v>85</v>
      </c>
      <c r="D64" s="25">
        <v>18</v>
      </c>
      <c r="E64" s="25">
        <v>13</v>
      </c>
      <c r="F64" s="25">
        <f>2+2+2+2+1+1+38+2+4</f>
        <v>54</v>
      </c>
      <c r="G64" s="25">
        <v>4</v>
      </c>
      <c r="H64" s="25">
        <v>14</v>
      </c>
      <c r="I64" s="25">
        <v>0</v>
      </c>
      <c r="J64" s="25" t="s">
        <v>109</v>
      </c>
      <c r="K64" s="25" t="s">
        <v>109</v>
      </c>
      <c r="L64" s="25" t="s">
        <v>109</v>
      </c>
      <c r="M64" s="25" t="s">
        <v>109</v>
      </c>
      <c r="N64" s="25" t="s">
        <v>109</v>
      </c>
      <c r="O64" s="25" t="s">
        <v>109</v>
      </c>
      <c r="P64" s="25" t="s">
        <v>109</v>
      </c>
      <c r="Q64" s="24" t="s">
        <v>125</v>
      </c>
    </row>
    <row r="65" spans="1:16" ht="14.25">
      <c r="A65" s="25" t="s">
        <v>77</v>
      </c>
      <c r="B65" s="25">
        <v>240</v>
      </c>
      <c r="C65" s="25">
        <v>171</v>
      </c>
      <c r="D65" s="25">
        <v>18</v>
      </c>
      <c r="E65" s="25">
        <v>38</v>
      </c>
      <c r="F65" s="25">
        <v>115</v>
      </c>
      <c r="G65" s="25">
        <v>6</v>
      </c>
      <c r="H65" s="25">
        <v>12</v>
      </c>
      <c r="I65" s="25">
        <v>108</v>
      </c>
      <c r="J65" s="25" t="s">
        <v>109</v>
      </c>
      <c r="K65" s="25" t="s">
        <v>109</v>
      </c>
      <c r="L65" s="25" t="s">
        <v>109</v>
      </c>
      <c r="M65" s="25" t="s">
        <v>109</v>
      </c>
      <c r="N65" s="25" t="s">
        <v>109</v>
      </c>
      <c r="O65" s="25" t="s">
        <v>109</v>
      </c>
      <c r="P65" s="25" t="s">
        <v>109</v>
      </c>
    </row>
    <row r="66" spans="1:16" ht="14.25">
      <c r="A66" s="25" t="s">
        <v>78</v>
      </c>
      <c r="B66" s="25">
        <v>713</v>
      </c>
      <c r="C66" s="25">
        <v>701</v>
      </c>
      <c r="D66" s="25">
        <v>491</v>
      </c>
      <c r="E66" s="25">
        <v>91</v>
      </c>
      <c r="F66" s="25">
        <v>119</v>
      </c>
      <c r="G66" s="25">
        <v>117</v>
      </c>
      <c r="H66" s="25">
        <v>374</v>
      </c>
      <c r="I66" s="25" t="s">
        <v>109</v>
      </c>
      <c r="J66" s="25">
        <v>21.9</v>
      </c>
      <c r="K66" s="25" t="s">
        <v>109</v>
      </c>
      <c r="L66" s="25" t="s">
        <v>109</v>
      </c>
      <c r="M66" s="25" t="s">
        <v>109</v>
      </c>
      <c r="N66" s="26" t="s">
        <v>109</v>
      </c>
      <c r="O66" s="26" t="s">
        <v>109</v>
      </c>
      <c r="P66" s="26" t="s">
        <v>109</v>
      </c>
    </row>
    <row r="67" spans="1:16" ht="14.25">
      <c r="A67" s="25" t="s">
        <v>81</v>
      </c>
      <c r="B67" s="25">
        <v>42</v>
      </c>
      <c r="C67" s="25">
        <v>23</v>
      </c>
      <c r="D67" s="25">
        <v>18</v>
      </c>
      <c r="E67" s="25">
        <v>5</v>
      </c>
      <c r="F67" s="25">
        <v>0</v>
      </c>
      <c r="G67" s="25">
        <v>11</v>
      </c>
      <c r="H67" s="25">
        <v>7</v>
      </c>
      <c r="I67" s="25">
        <v>0</v>
      </c>
      <c r="J67" s="25">
        <v>17</v>
      </c>
      <c r="K67" s="25">
        <v>12</v>
      </c>
      <c r="L67" s="25" t="s">
        <v>109</v>
      </c>
      <c r="M67" s="25" t="s">
        <v>109</v>
      </c>
      <c r="N67" s="25">
        <v>5</v>
      </c>
      <c r="O67" s="25" t="s">
        <v>109</v>
      </c>
      <c r="P67" s="25" t="s">
        <v>109</v>
      </c>
    </row>
    <row r="68" spans="1:16" ht="12.75"/>
    <row r="69" spans="1:16" ht="12.75"/>
    <row r="70" spans="1:16" ht="12.75"/>
    <row r="71" spans="1:16" ht="12.75"/>
    <row r="72" spans="1:16" ht="12.75"/>
    <row r="73" spans="1:16" ht="12.75"/>
    <row r="74" spans="1:16" ht="12.75"/>
    <row r="75" spans="1:16" ht="12.75"/>
    <row r="76" spans="1:16" ht="12.75"/>
    <row r="77" spans="1:16" ht="12.75"/>
    <row r="78" spans="1:16" ht="12.75"/>
    <row r="79" spans="1:16" ht="12.75"/>
    <row r="80" spans="1:16"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sheetData>
  <printOptions horizontalCentered="1" gridLines="1"/>
  <pageMargins left="0.7" right="0.7" top="0.75" bottom="0.75" header="0" footer="0"/>
  <pageSetup fitToHeight="0" pageOrder="overThenDown" orientation="landscape" cellComments="atEnd"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H5"/>
  <sheetViews>
    <sheetView workbookViewId="0"/>
  </sheetViews>
  <sheetFormatPr defaultColWidth="14.3984375" defaultRowHeight="15.75" customHeight="1"/>
  <sheetData>
    <row r="3" spans="1:8">
      <c r="A3" s="2" t="s">
        <v>1</v>
      </c>
      <c r="B3" s="6">
        <v>0</v>
      </c>
      <c r="C3" s="6">
        <v>9</v>
      </c>
      <c r="D3" s="6">
        <v>5</v>
      </c>
      <c r="E3" s="6">
        <v>3</v>
      </c>
      <c r="F3" s="6">
        <v>1</v>
      </c>
      <c r="G3" s="6">
        <v>1</v>
      </c>
      <c r="H3" s="6">
        <v>4</v>
      </c>
    </row>
    <row r="4" spans="1:8">
      <c r="A4" s="2" t="s">
        <v>4</v>
      </c>
      <c r="B4" s="6">
        <v>0</v>
      </c>
      <c r="C4" s="6">
        <v>2</v>
      </c>
      <c r="D4" s="6">
        <v>2</v>
      </c>
      <c r="E4" s="6">
        <v>0</v>
      </c>
      <c r="F4" s="6">
        <v>0</v>
      </c>
      <c r="G4" s="6">
        <v>0</v>
      </c>
      <c r="H4" s="6">
        <v>2</v>
      </c>
    </row>
    <row r="5" spans="1:8">
      <c r="A5" s="2" t="s">
        <v>6</v>
      </c>
      <c r="B5" s="6">
        <v>0</v>
      </c>
      <c r="C5" s="6">
        <v>0</v>
      </c>
      <c r="D5" s="8">
        <v>6</v>
      </c>
      <c r="E5" s="8">
        <v>0</v>
      </c>
      <c r="F5" s="8">
        <v>0</v>
      </c>
      <c r="G5" s="8">
        <v>3</v>
      </c>
      <c r="H5" s="8">
        <v>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68"/>
  <sheetViews>
    <sheetView tabSelected="1" workbookViewId="0">
      <pane ySplit="1" topLeftCell="A2" activePane="bottomLeft" state="frozen"/>
      <selection pane="bottomLeft" activeCell="D10" sqref="D10"/>
    </sheetView>
  </sheetViews>
  <sheetFormatPr defaultColWidth="14.3984375" defaultRowHeight="15.75" customHeight="1"/>
  <cols>
    <col min="1" max="1" width="23.1328125" style="21" customWidth="1"/>
    <col min="2" max="2" width="16.86328125" style="21" customWidth="1"/>
    <col min="3" max="4" width="14.3984375" style="21"/>
    <col min="5" max="5" width="20.53125" style="21" customWidth="1"/>
    <col min="6" max="6" width="19.3984375" style="21" customWidth="1"/>
    <col min="7" max="16384" width="14.3984375" style="21"/>
  </cols>
  <sheetData>
    <row r="1" spans="1:8" s="21" customFormat="1">
      <c r="A1" s="22" t="s">
        <v>0</v>
      </c>
      <c r="B1" s="22" t="s">
        <v>138</v>
      </c>
      <c r="C1" s="22" t="s">
        <v>139</v>
      </c>
      <c r="D1" s="22" t="s">
        <v>140</v>
      </c>
      <c r="E1" s="22" t="s">
        <v>141</v>
      </c>
      <c r="F1" s="22" t="s">
        <v>142</v>
      </c>
      <c r="G1" s="22" t="s">
        <v>76</v>
      </c>
      <c r="H1" s="22" t="s">
        <v>92</v>
      </c>
    </row>
    <row r="2" spans="1:8" s="21" customFormat="1">
      <c r="A2" s="22" t="s">
        <v>3</v>
      </c>
      <c r="B2" s="23">
        <v>136</v>
      </c>
      <c r="C2" s="23">
        <f>921-451</f>
        <v>470</v>
      </c>
      <c r="D2" s="23">
        <v>451</v>
      </c>
      <c r="E2" s="23">
        <f>10+1</f>
        <v>11</v>
      </c>
      <c r="F2" s="23">
        <v>1</v>
      </c>
      <c r="G2" s="23">
        <v>0</v>
      </c>
    </row>
    <row r="3" spans="1:8" s="21" customFormat="1">
      <c r="A3" s="22" t="s">
        <v>5</v>
      </c>
      <c r="B3" s="23">
        <v>3</v>
      </c>
      <c r="C3" s="23">
        <v>43</v>
      </c>
      <c r="D3" s="23">
        <v>75</v>
      </c>
      <c r="E3" s="23">
        <v>0</v>
      </c>
      <c r="F3" s="23">
        <v>0</v>
      </c>
      <c r="G3" s="23">
        <v>0</v>
      </c>
    </row>
    <row r="4" spans="1:8" s="21" customFormat="1">
      <c r="A4" s="22" t="s">
        <v>7</v>
      </c>
      <c r="B4" s="23">
        <v>314</v>
      </c>
      <c r="C4" s="23">
        <v>674</v>
      </c>
      <c r="D4" s="23">
        <v>33</v>
      </c>
      <c r="E4" s="23">
        <v>13</v>
      </c>
      <c r="F4" s="23">
        <v>0</v>
      </c>
      <c r="G4" s="23">
        <v>1</v>
      </c>
    </row>
    <row r="5" spans="1:8" s="21" customFormat="1">
      <c r="A5" s="22" t="s">
        <v>8</v>
      </c>
      <c r="B5" s="23">
        <v>21</v>
      </c>
      <c r="C5" s="23">
        <v>17</v>
      </c>
      <c r="D5" s="23">
        <v>2</v>
      </c>
      <c r="E5" s="23">
        <v>1</v>
      </c>
      <c r="F5" s="23">
        <v>0</v>
      </c>
      <c r="G5" s="23">
        <v>0</v>
      </c>
    </row>
    <row r="6" spans="1:8" s="21" customFormat="1">
      <c r="A6" s="22" t="s">
        <v>9</v>
      </c>
      <c r="B6" s="23" t="s">
        <v>91</v>
      </c>
      <c r="C6" s="23" t="s">
        <v>91</v>
      </c>
      <c r="D6" s="23" t="s">
        <v>91</v>
      </c>
      <c r="E6" s="23" t="s">
        <v>91</v>
      </c>
      <c r="F6" s="23" t="s">
        <v>91</v>
      </c>
      <c r="G6" s="23" t="s">
        <v>91</v>
      </c>
    </row>
    <row r="7" spans="1:8" s="21" customFormat="1">
      <c r="A7" s="22" t="s">
        <v>11</v>
      </c>
      <c r="B7" s="23">
        <v>0</v>
      </c>
      <c r="C7" s="23">
        <v>4</v>
      </c>
      <c r="D7" s="23">
        <v>2</v>
      </c>
      <c r="E7" s="23">
        <v>0</v>
      </c>
      <c r="F7" s="23">
        <v>0</v>
      </c>
      <c r="G7" s="23">
        <v>0</v>
      </c>
    </row>
    <row r="8" spans="1:8" s="21" customFormat="1">
      <c r="A8" s="22" t="s">
        <v>12</v>
      </c>
      <c r="B8" s="23">
        <v>0</v>
      </c>
      <c r="C8" s="23">
        <v>14</v>
      </c>
      <c r="D8" s="23">
        <v>18</v>
      </c>
      <c r="E8" s="23">
        <v>0</v>
      </c>
      <c r="F8" s="23">
        <v>0</v>
      </c>
      <c r="G8" s="23">
        <v>0</v>
      </c>
    </row>
    <row r="9" spans="1:8" s="21" customFormat="1">
      <c r="A9" s="22" t="s">
        <v>13</v>
      </c>
      <c r="B9" s="23" t="s">
        <v>109</v>
      </c>
      <c r="C9" s="23" t="s">
        <v>109</v>
      </c>
      <c r="D9" s="23" t="s">
        <v>109</v>
      </c>
      <c r="E9" s="23" t="s">
        <v>109</v>
      </c>
      <c r="F9" s="23" t="s">
        <v>109</v>
      </c>
      <c r="G9" s="23" t="s">
        <v>109</v>
      </c>
    </row>
    <row r="10" spans="1:8" s="21" customFormat="1">
      <c r="A10" s="22" t="s">
        <v>15</v>
      </c>
      <c r="B10" s="23">
        <v>3</v>
      </c>
      <c r="C10" s="23">
        <v>69</v>
      </c>
      <c r="D10" s="23">
        <v>20</v>
      </c>
      <c r="E10" s="23">
        <v>1</v>
      </c>
      <c r="F10" s="23">
        <v>1</v>
      </c>
      <c r="G10" s="23">
        <v>0</v>
      </c>
    </row>
    <row r="11" spans="1:8" s="21" customFormat="1">
      <c r="A11" s="22" t="s">
        <v>16</v>
      </c>
      <c r="B11" s="23">
        <v>4</v>
      </c>
      <c r="C11" s="23">
        <v>58</v>
      </c>
      <c r="D11" s="23">
        <v>20</v>
      </c>
      <c r="E11" s="23">
        <v>0</v>
      </c>
      <c r="F11" s="23">
        <v>1</v>
      </c>
      <c r="G11" s="23">
        <v>0</v>
      </c>
    </row>
    <row r="12" spans="1:8" s="21" customFormat="1">
      <c r="A12" s="22" t="s">
        <v>17</v>
      </c>
      <c r="B12" s="23" t="s">
        <v>91</v>
      </c>
      <c r="C12" s="23" t="s">
        <v>91</v>
      </c>
      <c r="D12" s="23" t="s">
        <v>91</v>
      </c>
      <c r="E12" s="23" t="s">
        <v>91</v>
      </c>
      <c r="F12" s="23" t="s">
        <v>91</v>
      </c>
      <c r="G12" s="23" t="s">
        <v>91</v>
      </c>
    </row>
    <row r="13" spans="1:8" s="21" customFormat="1">
      <c r="A13" s="22" t="s">
        <v>18</v>
      </c>
      <c r="B13" s="23">
        <v>3</v>
      </c>
      <c r="C13" s="23">
        <v>33</v>
      </c>
      <c r="D13" s="23">
        <v>41</v>
      </c>
      <c r="E13" s="23">
        <v>0</v>
      </c>
      <c r="F13" s="23">
        <v>0</v>
      </c>
      <c r="G13" s="23">
        <v>0</v>
      </c>
    </row>
    <row r="14" spans="1:8" s="21" customFormat="1">
      <c r="A14" s="22" t="s">
        <v>19</v>
      </c>
      <c r="B14" s="23">
        <v>2</v>
      </c>
      <c r="C14" s="23">
        <v>13</v>
      </c>
      <c r="D14" s="23">
        <v>26</v>
      </c>
      <c r="E14" s="23">
        <v>1</v>
      </c>
      <c r="F14" s="23">
        <v>0</v>
      </c>
      <c r="G14" s="23">
        <v>0</v>
      </c>
    </row>
    <row r="15" spans="1:8" s="21" customFormat="1">
      <c r="A15" s="22" t="s">
        <v>20</v>
      </c>
      <c r="B15" s="23">
        <v>0</v>
      </c>
      <c r="C15" s="23">
        <v>5</v>
      </c>
      <c r="D15" s="23">
        <v>9</v>
      </c>
      <c r="E15" s="23">
        <v>0</v>
      </c>
      <c r="F15" s="23">
        <v>0</v>
      </c>
      <c r="G15" s="23">
        <v>0</v>
      </c>
    </row>
    <row r="16" spans="1:8" s="21" customFormat="1">
      <c r="A16" s="22" t="s">
        <v>21</v>
      </c>
      <c r="B16" s="23">
        <v>0</v>
      </c>
      <c r="C16" s="23">
        <v>10</v>
      </c>
      <c r="D16" s="23">
        <v>3</v>
      </c>
      <c r="E16" s="23">
        <v>0</v>
      </c>
      <c r="F16" s="23">
        <v>0</v>
      </c>
      <c r="G16" s="23">
        <v>0</v>
      </c>
    </row>
    <row r="17" spans="1:8" s="21" customFormat="1">
      <c r="A17" s="22" t="s">
        <v>22</v>
      </c>
      <c r="B17" s="23">
        <v>0</v>
      </c>
      <c r="C17" s="23">
        <v>8</v>
      </c>
      <c r="D17" s="23">
        <v>6</v>
      </c>
      <c r="E17" s="23">
        <v>0</v>
      </c>
      <c r="F17" s="23">
        <v>0</v>
      </c>
      <c r="G17" s="23">
        <v>0</v>
      </c>
    </row>
    <row r="18" spans="1:8" s="21" customFormat="1">
      <c r="A18" s="22" t="s">
        <v>23</v>
      </c>
      <c r="B18" s="23">
        <v>0</v>
      </c>
      <c r="C18" s="23">
        <v>39</v>
      </c>
      <c r="D18" s="23">
        <f>6+4</f>
        <v>10</v>
      </c>
      <c r="E18" s="23">
        <v>0</v>
      </c>
      <c r="F18" s="23">
        <v>0</v>
      </c>
      <c r="G18" s="23">
        <v>3</v>
      </c>
    </row>
    <row r="19" spans="1:8" s="21" customFormat="1">
      <c r="A19" s="22" t="s">
        <v>24</v>
      </c>
      <c r="B19" s="23">
        <v>414</v>
      </c>
      <c r="C19" s="23">
        <v>576</v>
      </c>
      <c r="D19" s="23">
        <v>365</v>
      </c>
      <c r="E19" s="23">
        <v>13</v>
      </c>
      <c r="F19" s="23">
        <v>15</v>
      </c>
      <c r="G19" s="23">
        <v>7</v>
      </c>
    </row>
    <row r="20" spans="1:8" s="21" customFormat="1">
      <c r="A20" s="22" t="s">
        <v>25</v>
      </c>
      <c r="B20" s="23">
        <v>172</v>
      </c>
      <c r="C20" s="23">
        <v>319</v>
      </c>
      <c r="D20" s="23">
        <v>200</v>
      </c>
      <c r="E20" s="23">
        <v>5</v>
      </c>
      <c r="F20" s="23">
        <v>6</v>
      </c>
      <c r="G20" s="23">
        <v>4</v>
      </c>
    </row>
    <row r="21" spans="1:8" s="21" customFormat="1">
      <c r="A21" s="22" t="s">
        <v>26</v>
      </c>
      <c r="B21" s="23">
        <v>0</v>
      </c>
      <c r="C21" s="23">
        <v>4</v>
      </c>
      <c r="D21" s="23">
        <v>2</v>
      </c>
      <c r="E21" s="23">
        <v>0</v>
      </c>
      <c r="F21" s="23">
        <v>0</v>
      </c>
      <c r="G21" s="23">
        <v>0</v>
      </c>
    </row>
    <row r="22" spans="1:8" s="21" customFormat="1">
      <c r="A22" s="22" t="s">
        <v>27</v>
      </c>
      <c r="B22" s="23">
        <v>51</v>
      </c>
      <c r="C22" s="23">
        <f>326-78</f>
        <v>248</v>
      </c>
      <c r="D22" s="23">
        <v>78</v>
      </c>
      <c r="E22" s="23">
        <v>2</v>
      </c>
      <c r="F22" s="23">
        <v>5</v>
      </c>
      <c r="G22" s="23">
        <v>1</v>
      </c>
    </row>
    <row r="23" spans="1:8" s="21" customFormat="1">
      <c r="A23" s="22" t="s">
        <v>28</v>
      </c>
      <c r="B23" s="23">
        <v>3</v>
      </c>
      <c r="C23" s="23">
        <v>31</v>
      </c>
      <c r="D23" s="23">
        <v>27</v>
      </c>
      <c r="E23" s="23">
        <v>1</v>
      </c>
      <c r="F23" s="23">
        <v>0</v>
      </c>
      <c r="G23" s="23">
        <v>0</v>
      </c>
    </row>
    <row r="24" spans="1:8" s="21" customFormat="1">
      <c r="A24" s="22" t="s">
        <v>29</v>
      </c>
      <c r="B24" s="23">
        <v>1</v>
      </c>
      <c r="C24" s="23">
        <v>19</v>
      </c>
      <c r="D24" s="23">
        <v>4</v>
      </c>
      <c r="E24" s="23" t="s">
        <v>109</v>
      </c>
      <c r="F24" s="23">
        <v>1</v>
      </c>
      <c r="G24" s="23" t="s">
        <v>109</v>
      </c>
    </row>
    <row r="25" spans="1:8" s="21" customFormat="1">
      <c r="A25" s="22" t="s">
        <v>30</v>
      </c>
      <c r="B25" s="23">
        <v>339</v>
      </c>
      <c r="C25" s="23">
        <v>890</v>
      </c>
      <c r="D25" s="23">
        <v>365</v>
      </c>
      <c r="E25" s="23">
        <v>15</v>
      </c>
      <c r="F25" s="23">
        <v>10</v>
      </c>
      <c r="G25" s="23">
        <v>5</v>
      </c>
      <c r="H25" s="21" t="s">
        <v>143</v>
      </c>
    </row>
    <row r="26" spans="1:8" s="21" customFormat="1">
      <c r="A26" s="22" t="s">
        <v>31</v>
      </c>
      <c r="B26" s="23" t="s">
        <v>109</v>
      </c>
      <c r="C26" s="23" t="s">
        <v>109</v>
      </c>
      <c r="D26" s="23" t="s">
        <v>109</v>
      </c>
      <c r="E26" s="23" t="s">
        <v>109</v>
      </c>
      <c r="F26" s="23" t="s">
        <v>109</v>
      </c>
      <c r="G26" s="23" t="s">
        <v>109</v>
      </c>
    </row>
    <row r="27" spans="1:8" s="21" customFormat="1">
      <c r="A27" s="22" t="s">
        <v>32</v>
      </c>
      <c r="B27" s="23" t="s">
        <v>109</v>
      </c>
      <c r="C27" s="23" t="s">
        <v>109</v>
      </c>
      <c r="D27" s="23" t="s">
        <v>109</v>
      </c>
      <c r="E27" s="23" t="s">
        <v>109</v>
      </c>
      <c r="F27" s="23" t="s">
        <v>109</v>
      </c>
      <c r="G27" s="23" t="s">
        <v>109</v>
      </c>
    </row>
    <row r="28" spans="1:8" s="21" customFormat="1">
      <c r="A28" s="22" t="s">
        <v>33</v>
      </c>
      <c r="B28" s="23">
        <v>4</v>
      </c>
      <c r="C28" s="23">
        <v>36</v>
      </c>
      <c r="D28" s="23">
        <v>14</v>
      </c>
      <c r="E28" s="23">
        <v>0</v>
      </c>
      <c r="F28" s="23">
        <v>0</v>
      </c>
      <c r="G28" s="23">
        <v>0</v>
      </c>
    </row>
    <row r="29" spans="1:8" s="21" customFormat="1">
      <c r="A29" s="22" t="s">
        <v>34</v>
      </c>
      <c r="B29" s="23" t="s">
        <v>109</v>
      </c>
      <c r="C29" s="23" t="s">
        <v>109</v>
      </c>
      <c r="D29" s="23" t="s">
        <v>109</v>
      </c>
      <c r="E29" s="23" t="s">
        <v>109</v>
      </c>
      <c r="F29" s="23" t="s">
        <v>109</v>
      </c>
      <c r="G29" s="23" t="s">
        <v>109</v>
      </c>
    </row>
    <row r="30" spans="1:8" s="21" customFormat="1">
      <c r="A30" s="22" t="s">
        <v>35</v>
      </c>
      <c r="B30" s="23" t="s">
        <v>109</v>
      </c>
      <c r="C30" s="23" t="s">
        <v>109</v>
      </c>
      <c r="D30" s="23" t="s">
        <v>109</v>
      </c>
      <c r="E30" s="23" t="s">
        <v>109</v>
      </c>
      <c r="F30" s="23" t="s">
        <v>109</v>
      </c>
      <c r="G30" s="23" t="s">
        <v>109</v>
      </c>
    </row>
    <row r="31" spans="1:8" s="21" customFormat="1">
      <c r="A31" s="22" t="s">
        <v>36</v>
      </c>
      <c r="B31" s="23" t="s">
        <v>91</v>
      </c>
      <c r="C31" s="23" t="s">
        <v>91</v>
      </c>
      <c r="D31" s="23" t="s">
        <v>91</v>
      </c>
      <c r="E31" s="23" t="s">
        <v>91</v>
      </c>
      <c r="F31" s="23" t="s">
        <v>91</v>
      </c>
      <c r="G31" s="23" t="s">
        <v>91</v>
      </c>
    </row>
    <row r="32" spans="1:8" s="21" customFormat="1">
      <c r="A32" s="22" t="s">
        <v>37</v>
      </c>
      <c r="B32" s="23" t="s">
        <v>109</v>
      </c>
      <c r="C32" s="23" t="s">
        <v>109</v>
      </c>
      <c r="D32" s="23" t="s">
        <v>109</v>
      </c>
      <c r="E32" s="23" t="s">
        <v>109</v>
      </c>
      <c r="F32" s="23" t="s">
        <v>109</v>
      </c>
      <c r="G32" s="23" t="s">
        <v>109</v>
      </c>
    </row>
    <row r="33" spans="1:8" s="21" customFormat="1">
      <c r="A33" s="22" t="s">
        <v>38</v>
      </c>
      <c r="B33" s="23">
        <v>0</v>
      </c>
      <c r="C33" s="23">
        <v>1</v>
      </c>
      <c r="D33" s="23">
        <v>2</v>
      </c>
      <c r="E33" s="23">
        <v>0</v>
      </c>
      <c r="F33" s="23">
        <v>0</v>
      </c>
      <c r="G33" s="23">
        <v>0</v>
      </c>
    </row>
    <row r="34" spans="1:8" s="21" customFormat="1">
      <c r="A34" s="22" t="s">
        <v>39</v>
      </c>
      <c r="B34" s="23">
        <f>52+2+37</f>
        <v>91</v>
      </c>
      <c r="C34" s="23">
        <f>484+464</f>
        <v>948</v>
      </c>
      <c r="D34" s="23">
        <f>271+3</f>
        <v>274</v>
      </c>
      <c r="E34" s="23">
        <f>4+5</f>
        <v>9</v>
      </c>
      <c r="F34" s="23">
        <f>5+1+3</f>
        <v>9</v>
      </c>
      <c r="G34" s="23">
        <f>10+4</f>
        <v>14</v>
      </c>
    </row>
    <row r="35" spans="1:8" s="21" customFormat="1">
      <c r="A35" s="22" t="s">
        <v>40</v>
      </c>
      <c r="B35" s="23" t="s">
        <v>91</v>
      </c>
      <c r="C35" s="23" t="s">
        <v>91</v>
      </c>
      <c r="D35" s="23" t="s">
        <v>91</v>
      </c>
      <c r="E35" s="23" t="s">
        <v>91</v>
      </c>
      <c r="F35" s="23" t="s">
        <v>91</v>
      </c>
      <c r="G35" s="23" t="s">
        <v>91</v>
      </c>
    </row>
    <row r="36" spans="1:8" s="21" customFormat="1">
      <c r="A36" s="22" t="s">
        <v>41</v>
      </c>
      <c r="B36" s="23">
        <v>2</v>
      </c>
      <c r="C36" s="23">
        <v>14</v>
      </c>
      <c r="D36" s="23">
        <v>10</v>
      </c>
      <c r="E36" s="23">
        <v>0</v>
      </c>
      <c r="F36" s="23">
        <v>0</v>
      </c>
      <c r="G36" s="23">
        <v>0</v>
      </c>
    </row>
    <row r="37" spans="1:8" s="21" customFormat="1">
      <c r="A37" s="22" t="s">
        <v>42</v>
      </c>
      <c r="B37" s="23">
        <v>0</v>
      </c>
      <c r="C37" s="23">
        <v>8</v>
      </c>
      <c r="D37" s="23">
        <v>14</v>
      </c>
      <c r="E37" s="23">
        <v>0</v>
      </c>
      <c r="F37" s="23">
        <v>0</v>
      </c>
      <c r="G37" s="23">
        <v>0</v>
      </c>
    </row>
    <row r="38" spans="1:8" s="21" customFormat="1">
      <c r="A38" s="22" t="s">
        <v>43</v>
      </c>
      <c r="B38" s="23">
        <f>9+1</f>
        <v>10</v>
      </c>
      <c r="C38" s="23">
        <v>120</v>
      </c>
      <c r="D38" s="23">
        <v>35</v>
      </c>
      <c r="E38" s="23">
        <v>1</v>
      </c>
      <c r="F38" s="23">
        <f>39+5</f>
        <v>44</v>
      </c>
      <c r="G38" s="23">
        <v>1</v>
      </c>
      <c r="H38" s="21" t="s">
        <v>144</v>
      </c>
    </row>
    <row r="39" spans="1:8" s="21" customFormat="1">
      <c r="A39" s="22" t="s">
        <v>44</v>
      </c>
      <c r="B39" s="23">
        <v>42</v>
      </c>
      <c r="C39" s="23">
        <v>420</v>
      </c>
      <c r="D39" s="23">
        <v>133</v>
      </c>
      <c r="E39" s="23">
        <v>2</v>
      </c>
      <c r="F39" s="23">
        <v>6</v>
      </c>
      <c r="G39" s="23">
        <v>1</v>
      </c>
    </row>
    <row r="40" spans="1:8" s="21" customFormat="1">
      <c r="A40" s="22" t="s">
        <v>46</v>
      </c>
      <c r="B40" s="23" t="s">
        <v>109</v>
      </c>
      <c r="C40" s="23" t="s">
        <v>109</v>
      </c>
      <c r="D40" s="23" t="s">
        <v>109</v>
      </c>
      <c r="E40" s="23" t="s">
        <v>109</v>
      </c>
      <c r="F40" s="23" t="s">
        <v>109</v>
      </c>
      <c r="G40" s="23" t="s">
        <v>109</v>
      </c>
    </row>
    <row r="41" spans="1:8" s="21" customFormat="1">
      <c r="A41" s="22" t="s">
        <v>47</v>
      </c>
      <c r="B41" s="23">
        <v>0</v>
      </c>
      <c r="C41" s="23">
        <v>21</v>
      </c>
      <c r="D41" s="23">
        <v>3</v>
      </c>
      <c r="E41" s="23">
        <v>0</v>
      </c>
      <c r="F41" s="23">
        <v>0</v>
      </c>
      <c r="G41" s="23">
        <v>0</v>
      </c>
    </row>
    <row r="42" spans="1:8" s="21" customFormat="1">
      <c r="A42" s="22" t="s">
        <v>48</v>
      </c>
      <c r="B42" s="23" t="s">
        <v>109</v>
      </c>
      <c r="C42" s="23" t="s">
        <v>109</v>
      </c>
      <c r="D42" s="23" t="s">
        <v>109</v>
      </c>
      <c r="E42" s="23" t="s">
        <v>109</v>
      </c>
      <c r="F42" s="23" t="s">
        <v>109</v>
      </c>
      <c r="G42" s="23" t="s">
        <v>109</v>
      </c>
    </row>
    <row r="43" spans="1:8" s="21" customFormat="1">
      <c r="A43" s="22" t="s">
        <v>49</v>
      </c>
      <c r="B43" s="23">
        <v>32</v>
      </c>
      <c r="C43" s="23">
        <v>389</v>
      </c>
      <c r="D43" s="23">
        <v>96</v>
      </c>
      <c r="E43" s="23">
        <v>5</v>
      </c>
      <c r="F43" s="23">
        <v>4</v>
      </c>
      <c r="G43" s="23">
        <v>0</v>
      </c>
      <c r="H43" s="21" t="s">
        <v>145</v>
      </c>
    </row>
    <row r="44" spans="1:8" s="21" customFormat="1">
      <c r="A44" s="22" t="s">
        <v>50</v>
      </c>
      <c r="B44" s="23" t="s">
        <v>91</v>
      </c>
      <c r="C44" s="23" t="s">
        <v>91</v>
      </c>
      <c r="D44" s="23" t="s">
        <v>91</v>
      </c>
      <c r="E44" s="23" t="s">
        <v>91</v>
      </c>
      <c r="F44" s="23" t="s">
        <v>91</v>
      </c>
      <c r="G44" s="23" t="s">
        <v>91</v>
      </c>
    </row>
    <row r="45" spans="1:8" s="21" customFormat="1">
      <c r="A45" s="22" t="s">
        <v>51</v>
      </c>
      <c r="B45" s="23">
        <v>3</v>
      </c>
      <c r="C45" s="23">
        <v>38</v>
      </c>
      <c r="D45" s="23">
        <v>8</v>
      </c>
      <c r="E45" s="23">
        <v>0</v>
      </c>
      <c r="F45" s="23">
        <v>0</v>
      </c>
      <c r="G45" s="23">
        <v>0</v>
      </c>
    </row>
    <row r="46" spans="1:8" s="21" customFormat="1">
      <c r="A46" s="22" t="s">
        <v>52</v>
      </c>
      <c r="B46" s="23" t="s">
        <v>109</v>
      </c>
      <c r="C46" s="23" t="s">
        <v>109</v>
      </c>
      <c r="D46" s="23" t="s">
        <v>109</v>
      </c>
      <c r="E46" s="23" t="s">
        <v>109</v>
      </c>
      <c r="F46" s="23" t="s">
        <v>109</v>
      </c>
      <c r="G46" s="23" t="s">
        <v>109</v>
      </c>
    </row>
    <row r="47" spans="1:8" s="21" customFormat="1">
      <c r="A47" s="22" t="s">
        <v>53</v>
      </c>
      <c r="B47" s="23">
        <v>1</v>
      </c>
      <c r="C47" s="23">
        <v>56</v>
      </c>
      <c r="D47" s="23">
        <v>28</v>
      </c>
      <c r="E47" s="23">
        <v>0</v>
      </c>
      <c r="F47" s="23">
        <v>3</v>
      </c>
      <c r="G47" s="23">
        <v>0</v>
      </c>
    </row>
    <row r="48" spans="1:8" s="21" customFormat="1">
      <c r="A48" s="22" t="s">
        <v>54</v>
      </c>
      <c r="B48" s="23">
        <v>4</v>
      </c>
      <c r="C48" s="23">
        <f>76-28-3</f>
        <v>45</v>
      </c>
      <c r="D48" s="23">
        <v>28</v>
      </c>
      <c r="E48" s="23">
        <v>0</v>
      </c>
      <c r="F48" s="23">
        <v>0</v>
      </c>
      <c r="G48" s="23">
        <v>3</v>
      </c>
    </row>
    <row r="49" spans="1:7" s="21" customFormat="1">
      <c r="A49" s="22" t="s">
        <v>55</v>
      </c>
      <c r="B49" s="23" t="s">
        <v>109</v>
      </c>
      <c r="C49" s="23" t="s">
        <v>109</v>
      </c>
      <c r="D49" s="23" t="s">
        <v>109</v>
      </c>
      <c r="E49" s="23" t="s">
        <v>109</v>
      </c>
      <c r="F49" s="23" t="s">
        <v>109</v>
      </c>
      <c r="G49" s="23" t="s">
        <v>109</v>
      </c>
    </row>
    <row r="50" spans="1:7" s="21" customFormat="1">
      <c r="A50" s="22" t="s">
        <v>56</v>
      </c>
      <c r="B50" s="23" t="s">
        <v>91</v>
      </c>
      <c r="C50" s="23" t="s">
        <v>91</v>
      </c>
      <c r="D50" s="23" t="s">
        <v>91</v>
      </c>
      <c r="E50" s="23" t="s">
        <v>91</v>
      </c>
      <c r="F50" s="23" t="s">
        <v>91</v>
      </c>
      <c r="G50" s="23" t="s">
        <v>91</v>
      </c>
    </row>
    <row r="51" spans="1:7" s="21" customFormat="1">
      <c r="A51" s="22" t="s">
        <v>57</v>
      </c>
      <c r="B51" s="23">
        <v>13</v>
      </c>
      <c r="C51" s="23">
        <v>63</v>
      </c>
      <c r="D51" s="23">
        <v>42</v>
      </c>
      <c r="E51" s="23">
        <v>2</v>
      </c>
      <c r="F51" s="23">
        <v>2</v>
      </c>
      <c r="G51" s="23" t="s">
        <v>109</v>
      </c>
    </row>
    <row r="52" spans="1:7" s="21" customFormat="1">
      <c r="A52" s="22" t="s">
        <v>58</v>
      </c>
      <c r="B52" s="23" t="s">
        <v>91</v>
      </c>
      <c r="C52" s="23" t="s">
        <v>91</v>
      </c>
      <c r="D52" s="23" t="s">
        <v>91</v>
      </c>
      <c r="E52" s="23" t="s">
        <v>91</v>
      </c>
      <c r="F52" s="23" t="s">
        <v>91</v>
      </c>
      <c r="G52" s="23" t="s">
        <v>91</v>
      </c>
    </row>
    <row r="53" spans="1:7" s="21" customFormat="1">
      <c r="A53" s="22" t="s">
        <v>59</v>
      </c>
      <c r="B53" s="23">
        <v>0</v>
      </c>
      <c r="C53" s="23">
        <v>15</v>
      </c>
      <c r="D53" s="23">
        <v>0</v>
      </c>
      <c r="E53" s="23">
        <v>0</v>
      </c>
      <c r="F53" s="23">
        <v>0</v>
      </c>
      <c r="G53" s="23">
        <v>0</v>
      </c>
    </row>
    <row r="54" spans="1:7" s="21" customFormat="1">
      <c r="A54" s="22" t="s">
        <v>60</v>
      </c>
      <c r="B54" s="23">
        <v>0</v>
      </c>
      <c r="C54" s="23">
        <v>2</v>
      </c>
      <c r="D54" s="23">
        <v>0</v>
      </c>
      <c r="E54" s="23">
        <v>0</v>
      </c>
      <c r="F54" s="23">
        <v>0</v>
      </c>
      <c r="G54" s="23">
        <v>0</v>
      </c>
    </row>
    <row r="55" spans="1:7" s="21" customFormat="1">
      <c r="A55" s="22" t="s">
        <v>61</v>
      </c>
      <c r="B55" s="23">
        <v>35.21</v>
      </c>
      <c r="C55" s="23">
        <v>423.7</v>
      </c>
      <c r="D55" s="23">
        <v>513.19000000000005</v>
      </c>
      <c r="E55" s="23">
        <v>2</v>
      </c>
      <c r="F55" s="23">
        <v>10</v>
      </c>
      <c r="G55" s="23">
        <v>6</v>
      </c>
    </row>
    <row r="56" spans="1:7" s="21" customFormat="1">
      <c r="A56" s="22" t="s">
        <v>62</v>
      </c>
      <c r="B56" s="23" t="s">
        <v>109</v>
      </c>
      <c r="C56" s="23" t="s">
        <v>109</v>
      </c>
      <c r="D56" s="23" t="s">
        <v>109</v>
      </c>
      <c r="E56" s="23" t="s">
        <v>109</v>
      </c>
      <c r="F56" s="23" t="s">
        <v>109</v>
      </c>
      <c r="G56" s="23" t="s">
        <v>109</v>
      </c>
    </row>
    <row r="57" spans="1:7" s="21" customFormat="1">
      <c r="A57" s="22" t="s">
        <v>63</v>
      </c>
      <c r="B57" s="23">
        <v>0</v>
      </c>
      <c r="C57" s="23">
        <v>11</v>
      </c>
      <c r="D57" s="23">
        <v>28</v>
      </c>
      <c r="E57" s="23">
        <v>0</v>
      </c>
      <c r="F57" s="23">
        <v>1</v>
      </c>
      <c r="G57" s="23">
        <v>0</v>
      </c>
    </row>
    <row r="58" spans="1:7" s="21" customFormat="1">
      <c r="A58" s="22" t="s">
        <v>64</v>
      </c>
      <c r="B58" s="23" t="s">
        <v>109</v>
      </c>
      <c r="C58" s="23" t="s">
        <v>109</v>
      </c>
      <c r="D58" s="23" t="s">
        <v>109</v>
      </c>
      <c r="E58" s="23" t="s">
        <v>109</v>
      </c>
      <c r="F58" s="23" t="s">
        <v>109</v>
      </c>
      <c r="G58" s="23" t="s">
        <v>109</v>
      </c>
    </row>
    <row r="59" spans="1:7" s="21" customFormat="1">
      <c r="A59" s="22" t="s">
        <v>65</v>
      </c>
      <c r="B59" s="23">
        <v>0</v>
      </c>
      <c r="C59" s="23">
        <v>5</v>
      </c>
      <c r="D59" s="23">
        <v>13</v>
      </c>
      <c r="E59" s="23">
        <v>2</v>
      </c>
      <c r="F59" s="23">
        <v>0</v>
      </c>
      <c r="G59" s="23">
        <v>0</v>
      </c>
    </row>
    <row r="60" spans="1:7" s="21" customFormat="1">
      <c r="A60" s="22" t="s">
        <v>67</v>
      </c>
      <c r="B60" s="23" t="s">
        <v>91</v>
      </c>
      <c r="C60" s="23" t="s">
        <v>91</v>
      </c>
      <c r="D60" s="23" t="s">
        <v>91</v>
      </c>
      <c r="E60" s="23" t="s">
        <v>91</v>
      </c>
      <c r="F60" s="23" t="s">
        <v>91</v>
      </c>
      <c r="G60" s="23" t="s">
        <v>91</v>
      </c>
    </row>
    <row r="61" spans="1:7" s="21" customFormat="1">
      <c r="A61" s="22" t="s">
        <v>69</v>
      </c>
      <c r="B61" s="23">
        <v>1</v>
      </c>
      <c r="C61" s="23">
        <v>3</v>
      </c>
      <c r="D61" s="23">
        <v>1</v>
      </c>
      <c r="E61" s="23">
        <v>0</v>
      </c>
      <c r="F61" s="23">
        <v>1</v>
      </c>
      <c r="G61" s="23">
        <v>3</v>
      </c>
    </row>
    <row r="62" spans="1:7" s="21" customFormat="1">
      <c r="A62" s="22" t="s">
        <v>73</v>
      </c>
      <c r="B62" s="23">
        <v>0</v>
      </c>
      <c r="C62" s="23">
        <v>3</v>
      </c>
      <c r="D62" s="23">
        <v>3</v>
      </c>
      <c r="E62" s="23">
        <v>0</v>
      </c>
      <c r="F62" s="23">
        <v>0</v>
      </c>
      <c r="G62" s="23">
        <v>0</v>
      </c>
    </row>
    <row r="63" spans="1:7" s="21" customFormat="1">
      <c r="A63" s="22" t="s">
        <v>74</v>
      </c>
      <c r="B63" s="23" t="s">
        <v>109</v>
      </c>
      <c r="C63" s="23" t="s">
        <v>109</v>
      </c>
      <c r="D63" s="23" t="s">
        <v>109</v>
      </c>
      <c r="E63" s="23" t="s">
        <v>109</v>
      </c>
      <c r="F63" s="23" t="s">
        <v>109</v>
      </c>
      <c r="G63" s="23" t="s">
        <v>109</v>
      </c>
    </row>
    <row r="64" spans="1:7" s="21" customFormat="1">
      <c r="A64" s="22" t="s">
        <v>75</v>
      </c>
      <c r="B64" s="23">
        <v>10</v>
      </c>
      <c r="C64" s="23">
        <v>74</v>
      </c>
      <c r="D64" s="23" t="s">
        <v>109</v>
      </c>
      <c r="E64" s="23">
        <v>0</v>
      </c>
      <c r="F64" s="23">
        <v>1</v>
      </c>
      <c r="G64" s="23">
        <v>0</v>
      </c>
    </row>
    <row r="65" spans="1:7" s="21" customFormat="1">
      <c r="A65" s="22" t="s">
        <v>77</v>
      </c>
      <c r="B65" s="23" t="s">
        <v>109</v>
      </c>
      <c r="C65" s="23" t="s">
        <v>109</v>
      </c>
      <c r="D65" s="23" t="s">
        <v>109</v>
      </c>
      <c r="E65" s="23" t="s">
        <v>109</v>
      </c>
      <c r="F65" s="23" t="s">
        <v>109</v>
      </c>
      <c r="G65" s="23" t="s">
        <v>109</v>
      </c>
    </row>
    <row r="66" spans="1:7" s="21" customFormat="1">
      <c r="A66" s="22" t="s">
        <v>78</v>
      </c>
      <c r="B66" s="23" t="s">
        <v>109</v>
      </c>
      <c r="C66" s="23" t="s">
        <v>109</v>
      </c>
      <c r="D66" s="23" t="s">
        <v>109</v>
      </c>
      <c r="E66" s="23" t="s">
        <v>109</v>
      </c>
      <c r="F66" s="23" t="s">
        <v>109</v>
      </c>
      <c r="G66" s="23" t="s">
        <v>109</v>
      </c>
    </row>
    <row r="67" spans="1:7" s="21" customFormat="1">
      <c r="A67" s="22" t="s">
        <v>81</v>
      </c>
      <c r="B67" s="23">
        <v>0</v>
      </c>
      <c r="C67" s="23">
        <v>16</v>
      </c>
      <c r="D67" s="23">
        <v>7</v>
      </c>
      <c r="E67" s="23">
        <v>0</v>
      </c>
      <c r="F67" s="23">
        <v>0</v>
      </c>
      <c r="G67" s="23">
        <v>0</v>
      </c>
    </row>
    <row r="68" spans="1:7" s="21" customFormat="1">
      <c r="A68" s="20"/>
      <c r="B68" s="20"/>
      <c r="C68" s="20"/>
      <c r="D68" s="20"/>
      <c r="E68" s="20"/>
      <c r="F68" s="20"/>
      <c r="G68" s="20"/>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67"/>
  <sheetViews>
    <sheetView workbookViewId="0">
      <pane ySplit="1" topLeftCell="A2" activePane="bottomLeft" state="frozen"/>
      <selection pane="bottomLeft" activeCell="D22" sqref="D22"/>
    </sheetView>
  </sheetViews>
  <sheetFormatPr defaultColWidth="14.3984375" defaultRowHeight="15.75" customHeight="1"/>
  <cols>
    <col min="1" max="1" width="25.86328125" customWidth="1"/>
    <col min="2" max="2" width="27.53125" customWidth="1"/>
    <col min="3" max="3" width="26.1328125" customWidth="1"/>
    <col min="4" max="4" width="33.73046875" customWidth="1"/>
    <col min="5" max="5" width="25.3984375" customWidth="1"/>
    <col min="6" max="6" width="22" customWidth="1"/>
  </cols>
  <sheetData>
    <row r="1" spans="1:6">
      <c r="A1" s="1" t="s">
        <v>0</v>
      </c>
      <c r="B1" s="3" t="s">
        <v>68</v>
      </c>
      <c r="C1" s="3" t="s">
        <v>70</v>
      </c>
      <c r="D1" s="3" t="s">
        <v>71</v>
      </c>
      <c r="E1" s="3" t="s">
        <v>72</v>
      </c>
      <c r="F1" s="3" t="s">
        <v>2</v>
      </c>
    </row>
    <row r="2" spans="1:6">
      <c r="A2" s="9" t="s">
        <v>3</v>
      </c>
      <c r="B2" s="5">
        <v>34</v>
      </c>
      <c r="C2" s="5">
        <v>0</v>
      </c>
      <c r="D2" s="5">
        <v>12</v>
      </c>
      <c r="E2" s="7">
        <f>43+84+1</f>
        <v>128</v>
      </c>
      <c r="F2" s="7">
        <f t="shared" ref="F2:F8" si="0">SUM(B2:E2)</f>
        <v>174</v>
      </c>
    </row>
    <row r="3" spans="1:6">
      <c r="A3" s="9" t="s">
        <v>82</v>
      </c>
      <c r="B3" s="5">
        <f>7+2</f>
        <v>9</v>
      </c>
      <c r="C3" s="5" t="s">
        <v>83</v>
      </c>
      <c r="D3" s="15">
        <v>1</v>
      </c>
      <c r="E3" s="7">
        <v>10</v>
      </c>
      <c r="F3" s="7">
        <f t="shared" si="0"/>
        <v>20</v>
      </c>
    </row>
    <row r="4" spans="1:6">
      <c r="A4" s="9" t="s">
        <v>7</v>
      </c>
      <c r="B4" s="10"/>
      <c r="C4" s="10"/>
      <c r="D4" s="10"/>
      <c r="E4" s="7"/>
      <c r="F4" s="7">
        <f t="shared" si="0"/>
        <v>0</v>
      </c>
    </row>
    <row r="5" spans="1:6">
      <c r="A5" s="9" t="s">
        <v>8</v>
      </c>
      <c r="B5" s="5">
        <v>0</v>
      </c>
      <c r="C5" s="5">
        <v>0</v>
      </c>
      <c r="D5" s="5">
        <v>0</v>
      </c>
      <c r="E5" s="7">
        <v>0</v>
      </c>
      <c r="F5" s="7">
        <f t="shared" si="0"/>
        <v>0</v>
      </c>
    </row>
    <row r="6" spans="1:6">
      <c r="A6" s="4" t="s">
        <v>9</v>
      </c>
      <c r="B6" s="15">
        <v>1</v>
      </c>
      <c r="C6" s="15">
        <v>0</v>
      </c>
      <c r="D6" s="15">
        <v>0</v>
      </c>
      <c r="E6" s="17">
        <v>0</v>
      </c>
      <c r="F6" s="7">
        <f t="shared" si="0"/>
        <v>1</v>
      </c>
    </row>
    <row r="7" spans="1:6">
      <c r="A7" s="4" t="s">
        <v>11</v>
      </c>
      <c r="B7" s="5">
        <v>1</v>
      </c>
      <c r="C7" s="5">
        <v>0</v>
      </c>
      <c r="D7" s="5">
        <v>0</v>
      </c>
      <c r="E7" s="7">
        <v>0</v>
      </c>
      <c r="F7" s="7">
        <f t="shared" si="0"/>
        <v>1</v>
      </c>
    </row>
    <row r="8" spans="1:6">
      <c r="A8" s="4" t="s">
        <v>12</v>
      </c>
      <c r="B8" s="5">
        <v>0</v>
      </c>
      <c r="C8" s="5">
        <v>0</v>
      </c>
      <c r="D8" s="5">
        <v>4</v>
      </c>
      <c r="E8" s="7">
        <v>0</v>
      </c>
      <c r="F8" s="7">
        <f t="shared" si="0"/>
        <v>4</v>
      </c>
    </row>
    <row r="9" spans="1:6">
      <c r="A9" s="4" t="s">
        <v>13</v>
      </c>
      <c r="B9" s="5">
        <v>8</v>
      </c>
      <c r="C9" s="5" t="s">
        <v>14</v>
      </c>
      <c r="D9" s="5" t="s">
        <v>14</v>
      </c>
      <c r="E9" s="5" t="s">
        <v>14</v>
      </c>
      <c r="F9" s="5" t="s">
        <v>14</v>
      </c>
    </row>
    <row r="10" spans="1:6">
      <c r="A10" s="4" t="s">
        <v>15</v>
      </c>
      <c r="B10" s="5" t="s">
        <v>10</v>
      </c>
      <c r="C10" s="5" t="s">
        <v>10</v>
      </c>
      <c r="D10" s="5" t="s">
        <v>10</v>
      </c>
      <c r="E10" s="7">
        <v>9</v>
      </c>
      <c r="F10" s="7">
        <f t="shared" ref="F10:F67" si="1">SUM(B10:E10)</f>
        <v>9</v>
      </c>
    </row>
    <row r="11" spans="1:6">
      <c r="A11" s="4" t="s">
        <v>16</v>
      </c>
      <c r="B11" s="5">
        <v>19</v>
      </c>
      <c r="C11" s="10"/>
      <c r="D11" s="5" t="s">
        <v>84</v>
      </c>
      <c r="E11" s="7"/>
      <c r="F11" s="7">
        <f t="shared" si="1"/>
        <v>19</v>
      </c>
    </row>
    <row r="12" spans="1:6">
      <c r="A12" s="4" t="s">
        <v>17</v>
      </c>
      <c r="B12" s="10"/>
      <c r="C12" s="10"/>
      <c r="D12" s="10"/>
      <c r="E12" s="7"/>
      <c r="F12" s="7">
        <f t="shared" si="1"/>
        <v>0</v>
      </c>
    </row>
    <row r="13" spans="1:6">
      <c r="A13" s="4" t="s">
        <v>18</v>
      </c>
      <c r="B13" s="10"/>
      <c r="C13" s="10"/>
      <c r="D13" s="10"/>
      <c r="E13" s="7"/>
      <c r="F13" s="7">
        <f t="shared" si="1"/>
        <v>0</v>
      </c>
    </row>
    <row r="14" spans="1:6">
      <c r="A14" s="4" t="s">
        <v>19</v>
      </c>
      <c r="B14" s="5">
        <v>14</v>
      </c>
      <c r="C14" s="5">
        <v>0</v>
      </c>
      <c r="D14" s="5">
        <v>2</v>
      </c>
      <c r="E14" s="7"/>
      <c r="F14" s="7">
        <f t="shared" si="1"/>
        <v>16</v>
      </c>
    </row>
    <row r="15" spans="1:6">
      <c r="A15" s="4" t="s">
        <v>20</v>
      </c>
      <c r="B15" s="5">
        <v>0</v>
      </c>
      <c r="C15" s="5">
        <v>0</v>
      </c>
      <c r="D15" s="5">
        <v>0</v>
      </c>
      <c r="E15" s="7">
        <v>0</v>
      </c>
      <c r="F15" s="7">
        <f t="shared" si="1"/>
        <v>0</v>
      </c>
    </row>
    <row r="16" spans="1:6">
      <c r="A16" s="4" t="s">
        <v>21</v>
      </c>
      <c r="B16" s="5">
        <v>1</v>
      </c>
      <c r="C16" s="5">
        <v>0</v>
      </c>
      <c r="D16" s="5">
        <v>0</v>
      </c>
      <c r="E16" s="7">
        <v>0</v>
      </c>
      <c r="F16" s="7">
        <f t="shared" si="1"/>
        <v>1</v>
      </c>
    </row>
    <row r="17" spans="1:6">
      <c r="A17" s="4" t="s">
        <v>22</v>
      </c>
      <c r="B17" s="5">
        <v>3</v>
      </c>
      <c r="C17" s="5">
        <v>0</v>
      </c>
      <c r="D17" s="5">
        <v>0</v>
      </c>
      <c r="E17" s="7">
        <v>0</v>
      </c>
      <c r="F17" s="7">
        <f t="shared" si="1"/>
        <v>3</v>
      </c>
    </row>
    <row r="18" spans="1:6">
      <c r="A18" s="4" t="s">
        <v>23</v>
      </c>
      <c r="B18" s="5">
        <v>5</v>
      </c>
      <c r="C18" s="5">
        <v>0</v>
      </c>
      <c r="D18" s="5">
        <v>8</v>
      </c>
      <c r="E18" s="7">
        <v>0</v>
      </c>
      <c r="F18" s="7">
        <f t="shared" si="1"/>
        <v>13</v>
      </c>
    </row>
    <row r="19" spans="1:6">
      <c r="A19" s="4" t="s">
        <v>24</v>
      </c>
      <c r="B19" s="15">
        <v>523</v>
      </c>
      <c r="C19" s="15">
        <v>11</v>
      </c>
      <c r="D19" s="16">
        <f>1+136</f>
        <v>137</v>
      </c>
      <c r="E19" s="17">
        <f>13+9+10+23+2+839+600+8+33+366</f>
        <v>1903</v>
      </c>
      <c r="F19" s="7">
        <f t="shared" si="1"/>
        <v>2574</v>
      </c>
    </row>
    <row r="20" spans="1:6">
      <c r="A20" s="4" t="s">
        <v>25</v>
      </c>
      <c r="B20" s="15">
        <v>308</v>
      </c>
      <c r="C20" s="15">
        <v>1</v>
      </c>
      <c r="D20" s="15">
        <v>117</v>
      </c>
      <c r="E20" s="16">
        <f>4+21+1+1+1+416+358+2+1+168</f>
        <v>973</v>
      </c>
      <c r="F20" s="7">
        <f t="shared" si="1"/>
        <v>1399</v>
      </c>
    </row>
    <row r="21" spans="1:6">
      <c r="A21" s="4" t="s">
        <v>26</v>
      </c>
      <c r="B21" s="10"/>
      <c r="C21" s="10"/>
      <c r="D21" s="10"/>
      <c r="E21" s="7"/>
      <c r="F21" s="7">
        <f t="shared" si="1"/>
        <v>0</v>
      </c>
    </row>
    <row r="22" spans="1:6">
      <c r="A22" s="4" t="s">
        <v>27</v>
      </c>
      <c r="B22" s="16">
        <f>14+55+24+3+4</f>
        <v>100</v>
      </c>
      <c r="C22" s="15">
        <v>0</v>
      </c>
      <c r="D22" s="15">
        <v>10</v>
      </c>
      <c r="E22" s="17">
        <v>0</v>
      </c>
      <c r="F22" s="7">
        <f t="shared" si="1"/>
        <v>110</v>
      </c>
    </row>
    <row r="23" spans="1:6">
      <c r="A23" s="4" t="s">
        <v>28</v>
      </c>
      <c r="B23" s="5">
        <v>2</v>
      </c>
      <c r="C23" s="5">
        <v>0</v>
      </c>
      <c r="D23" s="5">
        <v>0</v>
      </c>
      <c r="E23" s="7">
        <v>0</v>
      </c>
      <c r="F23" s="7">
        <f t="shared" si="1"/>
        <v>2</v>
      </c>
    </row>
    <row r="24" spans="1:6">
      <c r="A24" s="4" t="s">
        <v>29</v>
      </c>
      <c r="B24" s="10"/>
      <c r="C24" s="10"/>
      <c r="D24" s="10"/>
      <c r="E24" s="7"/>
      <c r="F24" s="7">
        <f t="shared" si="1"/>
        <v>0</v>
      </c>
    </row>
    <row r="25" spans="1:6">
      <c r="A25" s="9" t="s">
        <v>30</v>
      </c>
      <c r="B25" s="16"/>
      <c r="C25" s="16"/>
      <c r="D25" s="16"/>
      <c r="E25" s="17"/>
      <c r="F25" s="7">
        <f t="shared" si="1"/>
        <v>0</v>
      </c>
    </row>
    <row r="26" spans="1:6">
      <c r="A26" s="4" t="s">
        <v>31</v>
      </c>
      <c r="B26" s="10"/>
      <c r="C26" s="10"/>
      <c r="D26" s="10"/>
      <c r="E26" s="7"/>
      <c r="F26" s="7">
        <f t="shared" si="1"/>
        <v>0</v>
      </c>
    </row>
    <row r="27" spans="1:6">
      <c r="A27" s="4" t="s">
        <v>32</v>
      </c>
      <c r="B27" s="10"/>
      <c r="C27" s="10"/>
      <c r="D27" s="5"/>
      <c r="E27" s="7"/>
      <c r="F27" s="7">
        <f t="shared" si="1"/>
        <v>0</v>
      </c>
    </row>
    <row r="28" spans="1:6">
      <c r="A28" s="4" t="s">
        <v>33</v>
      </c>
      <c r="B28" s="15">
        <v>0</v>
      </c>
      <c r="C28" s="15">
        <v>0</v>
      </c>
      <c r="D28" s="15">
        <v>5</v>
      </c>
      <c r="E28" s="17">
        <v>0</v>
      </c>
      <c r="F28" s="7">
        <f t="shared" si="1"/>
        <v>5</v>
      </c>
    </row>
    <row r="29" spans="1:6">
      <c r="A29" s="4" t="s">
        <v>34</v>
      </c>
      <c r="B29" s="10"/>
      <c r="C29" s="10"/>
      <c r="D29" s="10"/>
      <c r="E29" s="7"/>
      <c r="F29" s="7">
        <f t="shared" si="1"/>
        <v>0</v>
      </c>
    </row>
    <row r="30" spans="1:6">
      <c r="A30" s="4" t="s">
        <v>35</v>
      </c>
      <c r="B30" s="5">
        <v>1</v>
      </c>
      <c r="C30" s="5">
        <v>0</v>
      </c>
      <c r="D30" s="5">
        <v>1</v>
      </c>
      <c r="E30" s="7">
        <v>0</v>
      </c>
      <c r="F30" s="7">
        <f t="shared" si="1"/>
        <v>2</v>
      </c>
    </row>
    <row r="31" spans="1:6">
      <c r="A31" s="4" t="s">
        <v>36</v>
      </c>
      <c r="B31" s="5">
        <v>0</v>
      </c>
      <c r="C31" s="5">
        <v>0</v>
      </c>
      <c r="D31" s="5">
        <v>0</v>
      </c>
      <c r="E31" s="7">
        <v>0</v>
      </c>
      <c r="F31" s="7">
        <f t="shared" si="1"/>
        <v>0</v>
      </c>
    </row>
    <row r="32" spans="1:6">
      <c r="A32" s="4" t="s">
        <v>37</v>
      </c>
      <c r="B32" s="10"/>
      <c r="C32" s="10"/>
      <c r="D32" s="10"/>
      <c r="E32" s="7"/>
      <c r="F32" s="7">
        <f t="shared" si="1"/>
        <v>0</v>
      </c>
    </row>
    <row r="33" spans="1:6">
      <c r="A33" s="4" t="s">
        <v>38</v>
      </c>
      <c r="B33" s="5">
        <v>0</v>
      </c>
      <c r="C33" s="5">
        <v>0</v>
      </c>
      <c r="D33" s="5">
        <v>0</v>
      </c>
      <c r="E33" s="7">
        <v>0</v>
      </c>
      <c r="F33" s="7">
        <f t="shared" si="1"/>
        <v>0</v>
      </c>
    </row>
    <row r="34" spans="1:6">
      <c r="A34" s="4" t="s">
        <v>39</v>
      </c>
      <c r="B34" s="16">
        <f>33+2+3+5+32+11</f>
        <v>86</v>
      </c>
      <c r="C34" s="15" t="s">
        <v>10</v>
      </c>
      <c r="D34" s="15">
        <v>7</v>
      </c>
      <c r="E34" s="17">
        <v>0</v>
      </c>
      <c r="F34" s="7">
        <f t="shared" si="1"/>
        <v>93</v>
      </c>
    </row>
    <row r="35" spans="1:6">
      <c r="A35" s="4" t="s">
        <v>40</v>
      </c>
      <c r="B35" s="5">
        <v>0</v>
      </c>
      <c r="C35" s="5">
        <v>0</v>
      </c>
      <c r="D35" s="5">
        <v>0</v>
      </c>
      <c r="E35" s="7">
        <v>0</v>
      </c>
      <c r="F35" s="7">
        <f t="shared" si="1"/>
        <v>0</v>
      </c>
    </row>
    <row r="36" spans="1:6">
      <c r="A36" s="4" t="s">
        <v>41</v>
      </c>
      <c r="B36" s="5">
        <v>0</v>
      </c>
      <c r="C36" s="5">
        <v>0</v>
      </c>
      <c r="D36" s="5">
        <v>2</v>
      </c>
      <c r="E36" s="7">
        <v>1</v>
      </c>
      <c r="F36" s="7">
        <f t="shared" si="1"/>
        <v>3</v>
      </c>
    </row>
    <row r="37" spans="1:6">
      <c r="A37" s="4" t="s">
        <v>42</v>
      </c>
      <c r="B37" s="5">
        <v>0</v>
      </c>
      <c r="C37" s="5">
        <v>0</v>
      </c>
      <c r="D37" s="5">
        <v>3</v>
      </c>
      <c r="E37" s="7">
        <v>0</v>
      </c>
      <c r="F37" s="7">
        <f t="shared" si="1"/>
        <v>3</v>
      </c>
    </row>
    <row r="38" spans="1:6">
      <c r="A38" s="4" t="s">
        <v>43</v>
      </c>
      <c r="B38" s="16"/>
      <c r="C38" s="16"/>
      <c r="D38" s="15">
        <v>13</v>
      </c>
      <c r="E38" s="17">
        <v>21</v>
      </c>
      <c r="F38" s="7">
        <f t="shared" si="1"/>
        <v>34</v>
      </c>
    </row>
    <row r="39" spans="1:6">
      <c r="A39" s="4" t="s">
        <v>44</v>
      </c>
      <c r="B39" s="7">
        <v>14</v>
      </c>
      <c r="C39" s="7">
        <v>0</v>
      </c>
      <c r="D39" s="7">
        <v>8</v>
      </c>
      <c r="E39" s="7">
        <v>0</v>
      </c>
      <c r="F39" s="7">
        <f t="shared" si="1"/>
        <v>22</v>
      </c>
    </row>
    <row r="40" spans="1:6">
      <c r="A40" s="4" t="s">
        <v>46</v>
      </c>
      <c r="B40" s="10"/>
      <c r="C40" s="10"/>
      <c r="D40" s="10"/>
      <c r="E40" s="7"/>
      <c r="F40" s="7">
        <f t="shared" si="1"/>
        <v>0</v>
      </c>
    </row>
    <row r="41" spans="1:6">
      <c r="A41" s="4" t="s">
        <v>47</v>
      </c>
      <c r="B41" s="10"/>
      <c r="C41" s="10"/>
      <c r="D41" s="10"/>
      <c r="E41" s="7"/>
      <c r="F41" s="7">
        <f t="shared" si="1"/>
        <v>0</v>
      </c>
    </row>
    <row r="42" spans="1:6">
      <c r="A42" s="4" t="s">
        <v>48</v>
      </c>
      <c r="B42" s="10"/>
      <c r="C42" s="10"/>
      <c r="D42" s="10"/>
      <c r="E42" s="7"/>
      <c r="F42" s="7">
        <f t="shared" si="1"/>
        <v>0</v>
      </c>
    </row>
    <row r="43" spans="1:6">
      <c r="A43" s="9" t="s">
        <v>49</v>
      </c>
      <c r="B43" s="5">
        <f>8</f>
        <v>8</v>
      </c>
      <c r="C43" s="15">
        <v>0</v>
      </c>
      <c r="D43" s="15">
        <v>9</v>
      </c>
      <c r="E43" s="7">
        <v>0</v>
      </c>
      <c r="F43" s="7">
        <f t="shared" si="1"/>
        <v>17</v>
      </c>
    </row>
    <row r="44" spans="1:6">
      <c r="A44" s="4" t="s">
        <v>50</v>
      </c>
      <c r="B44" s="5">
        <v>0</v>
      </c>
      <c r="C44" s="5">
        <v>0</v>
      </c>
      <c r="D44" s="5">
        <v>0</v>
      </c>
      <c r="E44" s="7">
        <v>0</v>
      </c>
      <c r="F44" s="7">
        <f t="shared" si="1"/>
        <v>0</v>
      </c>
    </row>
    <row r="45" spans="1:6">
      <c r="A45" s="4" t="s">
        <v>51</v>
      </c>
      <c r="B45" s="5">
        <v>4</v>
      </c>
      <c r="C45" s="5">
        <v>0</v>
      </c>
      <c r="D45" s="5">
        <v>2</v>
      </c>
      <c r="E45" s="7">
        <v>0</v>
      </c>
      <c r="F45" s="7">
        <f t="shared" si="1"/>
        <v>6</v>
      </c>
    </row>
    <row r="46" spans="1:6">
      <c r="A46" s="4" t="s">
        <v>52</v>
      </c>
      <c r="B46" s="10"/>
      <c r="C46" s="10"/>
      <c r="D46" s="10"/>
      <c r="E46" s="7"/>
      <c r="F46" s="7">
        <f t="shared" si="1"/>
        <v>0</v>
      </c>
    </row>
    <row r="47" spans="1:6">
      <c r="A47" s="4" t="s">
        <v>53</v>
      </c>
      <c r="B47" s="10"/>
      <c r="C47" s="10"/>
      <c r="D47" s="10"/>
      <c r="E47" s="7"/>
      <c r="F47" s="7">
        <f t="shared" si="1"/>
        <v>0</v>
      </c>
    </row>
    <row r="48" spans="1:6">
      <c r="A48" s="9" t="s">
        <v>54</v>
      </c>
      <c r="B48" s="5">
        <v>4</v>
      </c>
      <c r="C48" s="15">
        <v>0</v>
      </c>
      <c r="D48" s="15">
        <v>0</v>
      </c>
      <c r="E48" s="7">
        <v>7</v>
      </c>
      <c r="F48" s="7">
        <f t="shared" si="1"/>
        <v>11</v>
      </c>
    </row>
    <row r="49" spans="1:6">
      <c r="A49" s="4" t="s">
        <v>55</v>
      </c>
      <c r="B49" s="10"/>
      <c r="C49" s="10"/>
      <c r="D49" s="10"/>
      <c r="E49" s="7"/>
      <c r="F49" s="7">
        <f t="shared" si="1"/>
        <v>0</v>
      </c>
    </row>
    <row r="50" spans="1:6">
      <c r="A50" s="4" t="s">
        <v>56</v>
      </c>
      <c r="B50" s="10"/>
      <c r="C50" s="10"/>
      <c r="D50" s="10"/>
      <c r="E50" s="7"/>
      <c r="F50" s="7">
        <f t="shared" si="1"/>
        <v>0</v>
      </c>
    </row>
    <row r="51" spans="1:6">
      <c r="A51" s="4" t="s">
        <v>57</v>
      </c>
      <c r="B51" s="5">
        <v>96</v>
      </c>
      <c r="C51" s="5">
        <v>0</v>
      </c>
      <c r="D51" s="5">
        <v>1</v>
      </c>
      <c r="E51" s="7">
        <v>0</v>
      </c>
      <c r="F51" s="7">
        <f t="shared" si="1"/>
        <v>97</v>
      </c>
    </row>
    <row r="52" spans="1:6">
      <c r="A52" s="4" t="s">
        <v>58</v>
      </c>
      <c r="B52" s="10"/>
      <c r="C52" s="10"/>
      <c r="D52" s="10"/>
      <c r="E52" s="7"/>
      <c r="F52" s="7">
        <f t="shared" si="1"/>
        <v>0</v>
      </c>
    </row>
    <row r="53" spans="1:6">
      <c r="A53" s="4" t="s">
        <v>59</v>
      </c>
      <c r="B53" s="10"/>
      <c r="C53" s="10"/>
      <c r="D53" s="10"/>
      <c r="E53" s="7"/>
      <c r="F53" s="7">
        <f t="shared" si="1"/>
        <v>0</v>
      </c>
    </row>
    <row r="54" spans="1:6">
      <c r="A54" s="4" t="s">
        <v>60</v>
      </c>
      <c r="B54" s="10"/>
      <c r="C54" s="10"/>
      <c r="D54" s="10"/>
      <c r="E54" s="7"/>
      <c r="F54" s="7">
        <f t="shared" si="1"/>
        <v>0</v>
      </c>
    </row>
    <row r="55" spans="1:6">
      <c r="A55" s="4" t="s">
        <v>61</v>
      </c>
      <c r="B55" s="5">
        <f>54.13</f>
        <v>54.13</v>
      </c>
      <c r="C55" s="5" t="s">
        <v>10</v>
      </c>
      <c r="D55" s="5">
        <v>10.3</v>
      </c>
      <c r="E55" s="5" t="s">
        <v>10</v>
      </c>
      <c r="F55" s="7">
        <f t="shared" si="1"/>
        <v>64.430000000000007</v>
      </c>
    </row>
    <row r="56" spans="1:6">
      <c r="A56" s="4" t="s">
        <v>62</v>
      </c>
      <c r="B56" s="5">
        <v>4</v>
      </c>
      <c r="C56" s="5">
        <v>0</v>
      </c>
      <c r="D56" s="5">
        <v>1</v>
      </c>
      <c r="E56" s="7">
        <v>0</v>
      </c>
      <c r="F56" s="7">
        <f t="shared" si="1"/>
        <v>5</v>
      </c>
    </row>
    <row r="57" spans="1:6">
      <c r="A57" s="4" t="s">
        <v>63</v>
      </c>
      <c r="B57" s="10"/>
      <c r="C57" s="10"/>
      <c r="D57" s="10"/>
      <c r="E57" s="7"/>
      <c r="F57" s="7">
        <f t="shared" si="1"/>
        <v>0</v>
      </c>
    </row>
    <row r="58" spans="1:6">
      <c r="A58" s="4" t="s">
        <v>64</v>
      </c>
      <c r="B58" s="10"/>
      <c r="C58" s="10"/>
      <c r="D58" s="10"/>
      <c r="E58" s="7"/>
      <c r="F58" s="7">
        <f t="shared" si="1"/>
        <v>0</v>
      </c>
    </row>
    <row r="59" spans="1:6">
      <c r="A59" s="4" t="s">
        <v>65</v>
      </c>
      <c r="B59" s="5">
        <v>2</v>
      </c>
      <c r="C59" s="5">
        <v>0</v>
      </c>
      <c r="D59" s="5">
        <v>0</v>
      </c>
      <c r="E59" s="7">
        <v>0</v>
      </c>
      <c r="F59" s="7">
        <f t="shared" si="1"/>
        <v>2</v>
      </c>
    </row>
    <row r="60" spans="1:6">
      <c r="A60" s="4" t="s">
        <v>67</v>
      </c>
      <c r="B60" s="5">
        <v>0</v>
      </c>
      <c r="C60" s="5">
        <v>0</v>
      </c>
      <c r="D60" s="5">
        <v>0</v>
      </c>
      <c r="E60" s="7">
        <v>0</v>
      </c>
      <c r="F60" s="7">
        <f t="shared" si="1"/>
        <v>0</v>
      </c>
    </row>
    <row r="61" spans="1:6">
      <c r="A61" s="4" t="s">
        <v>69</v>
      </c>
      <c r="B61" s="5">
        <v>0</v>
      </c>
      <c r="C61" s="5">
        <v>0</v>
      </c>
      <c r="D61" s="5">
        <v>0</v>
      </c>
      <c r="E61" s="7">
        <v>0</v>
      </c>
      <c r="F61" s="7">
        <f t="shared" si="1"/>
        <v>0</v>
      </c>
    </row>
    <row r="62" spans="1:6">
      <c r="A62" s="4" t="s">
        <v>73</v>
      </c>
      <c r="B62" s="5">
        <v>1</v>
      </c>
      <c r="C62" s="5">
        <v>0</v>
      </c>
      <c r="D62" s="5">
        <v>0</v>
      </c>
      <c r="E62" s="7">
        <v>0</v>
      </c>
      <c r="F62" s="7">
        <f t="shared" si="1"/>
        <v>1</v>
      </c>
    </row>
    <row r="63" spans="1:6">
      <c r="A63" s="4" t="s">
        <v>74</v>
      </c>
      <c r="B63" s="10"/>
      <c r="C63" s="10"/>
      <c r="D63" s="10"/>
      <c r="E63" s="7"/>
      <c r="F63" s="7">
        <f t="shared" si="1"/>
        <v>0</v>
      </c>
    </row>
    <row r="64" spans="1:6">
      <c r="A64" s="9" t="s">
        <v>75</v>
      </c>
      <c r="B64" s="10">
        <f>4+2</f>
        <v>6</v>
      </c>
      <c r="C64" s="5">
        <v>38</v>
      </c>
      <c r="D64" s="5">
        <v>0</v>
      </c>
      <c r="E64" s="7">
        <v>10</v>
      </c>
      <c r="F64" s="7">
        <f t="shared" si="1"/>
        <v>54</v>
      </c>
    </row>
    <row r="65" spans="1:6">
      <c r="A65" s="4" t="s">
        <v>77</v>
      </c>
      <c r="B65" s="10"/>
      <c r="C65" s="10"/>
      <c r="D65" s="10"/>
      <c r="E65" s="7"/>
      <c r="F65" s="7">
        <f t="shared" si="1"/>
        <v>0</v>
      </c>
    </row>
    <row r="66" spans="1:6">
      <c r="A66" s="9" t="s">
        <v>78</v>
      </c>
      <c r="B66" s="5">
        <v>74</v>
      </c>
      <c r="C66" s="15" t="s">
        <v>83</v>
      </c>
      <c r="D66" s="15" t="s">
        <v>83</v>
      </c>
      <c r="E66" s="15" t="s">
        <v>83</v>
      </c>
      <c r="F66" s="7">
        <f t="shared" si="1"/>
        <v>74</v>
      </c>
    </row>
    <row r="67" spans="1:6">
      <c r="A67" s="4" t="s">
        <v>81</v>
      </c>
      <c r="B67" s="10"/>
      <c r="C67" s="10"/>
      <c r="D67" s="10"/>
      <c r="E67" s="7"/>
      <c r="F67" s="7">
        <f t="shared" si="1"/>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T5"/>
  <sheetViews>
    <sheetView workbookViewId="0"/>
  </sheetViews>
  <sheetFormatPr defaultColWidth="14.3984375" defaultRowHeight="15.75" customHeight="1"/>
  <cols>
    <col min="1" max="1" width="41.59765625" bestFit="1" customWidth="1"/>
  </cols>
  <sheetData>
    <row r="2" spans="1:20" ht="15.75" customHeight="1">
      <c r="A2" s="18" t="s">
        <v>86</v>
      </c>
    </row>
    <row r="4" spans="1:20" ht="14.25">
      <c r="A4" s="9" t="s">
        <v>87</v>
      </c>
      <c r="B4" s="5">
        <v>1500</v>
      </c>
      <c r="C4" s="11">
        <v>1390</v>
      </c>
      <c r="D4" s="19">
        <v>1156</v>
      </c>
      <c r="E4" s="19">
        <v>234</v>
      </c>
      <c r="F4" s="19">
        <v>2574</v>
      </c>
      <c r="G4" s="19">
        <v>50</v>
      </c>
      <c r="H4" s="19">
        <v>662</v>
      </c>
      <c r="I4" s="15">
        <f>1+136</f>
        <v>137</v>
      </c>
      <c r="J4" s="5" t="s">
        <v>45</v>
      </c>
      <c r="K4" s="5" t="s">
        <v>45</v>
      </c>
      <c r="L4" s="5" t="s">
        <v>45</v>
      </c>
      <c r="M4" s="5" t="s">
        <v>45</v>
      </c>
      <c r="N4" s="5" t="s">
        <v>45</v>
      </c>
      <c r="O4" s="5" t="s">
        <v>45</v>
      </c>
      <c r="P4" s="12" t="s">
        <v>45</v>
      </c>
      <c r="Q4" s="13"/>
      <c r="R4" s="14">
        <f t="shared" ref="R4:R5" si="0">C4/B4</f>
        <v>0.92666666666666664</v>
      </c>
      <c r="S4" s="14"/>
      <c r="T4" s="14"/>
    </row>
    <row r="5" spans="1:20" ht="14.25">
      <c r="A5" s="9" t="s">
        <v>88</v>
      </c>
      <c r="B5" s="5">
        <v>774</v>
      </c>
      <c r="C5" s="11">
        <v>706</v>
      </c>
      <c r="D5" s="19">
        <v>336</v>
      </c>
      <c r="E5" s="19">
        <v>370</v>
      </c>
      <c r="F5" s="19">
        <v>1399</v>
      </c>
      <c r="G5" s="19">
        <v>5</v>
      </c>
      <c r="H5" s="19">
        <v>231</v>
      </c>
      <c r="I5" s="15">
        <v>117</v>
      </c>
      <c r="J5" s="5" t="s">
        <v>45</v>
      </c>
      <c r="K5" s="5" t="s">
        <v>45</v>
      </c>
      <c r="L5" s="5" t="s">
        <v>45</v>
      </c>
      <c r="M5" s="5" t="s">
        <v>45</v>
      </c>
      <c r="N5" s="5" t="s">
        <v>45</v>
      </c>
      <c r="O5" s="5" t="s">
        <v>45</v>
      </c>
      <c r="P5" s="12" t="s">
        <v>45</v>
      </c>
      <c r="Q5" s="13"/>
      <c r="R5" s="14">
        <f t="shared" si="0"/>
        <v>0.91214470284237725</v>
      </c>
      <c r="S5" s="14"/>
      <c r="T5"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Pretrial Overview</vt:lpstr>
      <vt:lpstr>Bookings</vt:lpstr>
      <vt:lpstr>RacialEthnic Data</vt:lpstr>
      <vt:lpstr>Hold Breakdowns</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garrett h</cp:lastModifiedBy>
  <dcterms:created xsi:type="dcterms:W3CDTF">2019-01-10T19:42:59Z</dcterms:created>
  <dcterms:modified xsi:type="dcterms:W3CDTF">2019-01-11T04:35:44Z</dcterms:modified>
</cp:coreProperties>
</file>