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 Pranav\Desktop\NFHS Indexes\"/>
    </mc:Choice>
  </mc:AlternateContent>
  <bookViews>
    <workbookView xWindow="0" yWindow="0" windowWidth="20490" windowHeight="8235" activeTab="2"/>
  </bookViews>
  <sheets>
    <sheet name="HV201DWS" sheetId="1" r:id="rId1"/>
    <sheet name="HV202NDWS" sheetId="2" r:id="rId2"/>
    <sheet name="Toilet Facilit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G17" i="3"/>
  <c r="F17" i="3"/>
  <c r="E17" i="3"/>
  <c r="D17" i="3"/>
  <c r="C17" i="3"/>
  <c r="H17" i="3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D39" i="2"/>
  <c r="D38" i="2"/>
  <c r="D37" i="2"/>
  <c r="D35" i="2"/>
  <c r="D34" i="2"/>
  <c r="D33" i="2"/>
  <c r="D32" i="2"/>
  <c r="D31" i="2"/>
  <c r="D30" i="2"/>
  <c r="D29" i="2"/>
  <c r="D28" i="2"/>
  <c r="D27" i="2"/>
  <c r="C39" i="2"/>
  <c r="C37" i="2"/>
  <c r="C35" i="2"/>
  <c r="C33" i="2"/>
  <c r="C32" i="2"/>
  <c r="C31" i="2"/>
  <c r="C30" i="2"/>
  <c r="C29" i="2"/>
  <c r="C28" i="2"/>
  <c r="C27" i="2"/>
  <c r="I19" i="2"/>
  <c r="G19" i="2"/>
  <c r="F19" i="2"/>
  <c r="E19" i="2"/>
  <c r="D19" i="2"/>
  <c r="C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9" i="2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C39" i="1"/>
  <c r="C37" i="1"/>
  <c r="C35" i="1"/>
  <c r="C33" i="1"/>
  <c r="C32" i="1"/>
  <c r="C31" i="1"/>
  <c r="C30" i="1"/>
  <c r="C29" i="1"/>
  <c r="C28" i="1"/>
  <c r="C27" i="1"/>
  <c r="C26" i="1"/>
  <c r="D19" i="1"/>
  <c r="E19" i="1"/>
  <c r="F19" i="1"/>
  <c r="G19" i="1"/>
  <c r="H19" i="1"/>
  <c r="I19" i="1"/>
  <c r="C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</calcChain>
</file>

<file path=xl/sharedStrings.xml><?xml version="1.0" encoding="utf-8"?>
<sst xmlns="http://schemas.openxmlformats.org/spreadsheetml/2006/main" count="140" uniqueCount="40">
  <si>
    <t>Urban</t>
  </si>
  <si>
    <t>Capital, large city</t>
  </si>
  <si>
    <t>Large City</t>
  </si>
  <si>
    <t>Mega City</t>
  </si>
  <si>
    <t>Small City</t>
  </si>
  <si>
    <t>Town</t>
  </si>
  <si>
    <t>Large Town</t>
  </si>
  <si>
    <t>Small Town</t>
  </si>
  <si>
    <t>Rural/Countryside</t>
  </si>
  <si>
    <t xml:space="preserve">River/dam/lake/ponds/stream/canal/irrigation channel </t>
  </si>
  <si>
    <t>Bottled Water</t>
  </si>
  <si>
    <t>Piped into dwelling</t>
  </si>
  <si>
    <t>Piped to yard/plot</t>
  </si>
  <si>
    <t>Tanker truck</t>
  </si>
  <si>
    <t>Tube well or borehole</t>
  </si>
  <si>
    <t>Protected well</t>
  </si>
  <si>
    <t xml:space="preserve">Public tap/standpipe </t>
  </si>
  <si>
    <t>Unprotected well</t>
  </si>
  <si>
    <t>Unprotected spring</t>
  </si>
  <si>
    <t>Protected spring</t>
  </si>
  <si>
    <t>Cart with small tank</t>
  </si>
  <si>
    <t>Rainwater</t>
  </si>
  <si>
    <t>other</t>
  </si>
  <si>
    <t>NA's</t>
  </si>
  <si>
    <t>HV201/Drinking Water Source</t>
  </si>
  <si>
    <t>Urban Total</t>
  </si>
  <si>
    <t>Total</t>
  </si>
  <si>
    <t>HV202/Non-Drinking Water Source</t>
  </si>
  <si>
    <t>Composting toilet</t>
  </si>
  <si>
    <t>Flush to piped sewer system</t>
  </si>
  <si>
    <t>Flush to septic tank</t>
  </si>
  <si>
    <t>Flush, don't know where</t>
  </si>
  <si>
    <t>Dry toilet</t>
  </si>
  <si>
    <t>?</t>
  </si>
  <si>
    <t>Flush to pit latrine</t>
  </si>
  <si>
    <t>Flush to somewhere else</t>
  </si>
  <si>
    <t>No facility/bush/field</t>
  </si>
  <si>
    <t>Pit latrine with slab</t>
  </si>
  <si>
    <t>Pit latrine without slab/open pit</t>
  </si>
  <si>
    <t>Ventilated Improved  Pit latrine(VIP)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</si>
</sst>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C5C8C6"/>
      <name val="Lucida Console"/>
      <family val="3"/>
    </font>
    <font>
      <sz val="1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17" workbookViewId="0">
      <selection activeCell="N22" sqref="N22"/>
    </sheetView>
  </sheetViews>
  <sheetFormatPr defaultRowHeight="15" x14ac:dyDescent="0.25"/>
  <cols>
    <col min="2" max="2" width="20.85546875" bestFit="1" customWidth="1"/>
    <col min="3" max="6" width="12" bestFit="1" customWidth="1"/>
    <col min="7" max="7" width="11.140625" bestFit="1" customWidth="1"/>
    <col min="8" max="8" width="11.140625" customWidth="1"/>
    <col min="9" max="9" width="17.42578125" bestFit="1" customWidth="1"/>
  </cols>
  <sheetData>
    <row r="1" spans="1:19" x14ac:dyDescent="0.25">
      <c r="A1" s="12" t="s">
        <v>24</v>
      </c>
      <c r="B1" s="12"/>
      <c r="C1" s="11" t="s">
        <v>0</v>
      </c>
      <c r="D1" s="11"/>
      <c r="E1" s="11"/>
      <c r="F1" s="11"/>
      <c r="G1" s="11"/>
      <c r="H1" s="11" t="s">
        <v>25</v>
      </c>
      <c r="I1" s="5" t="s">
        <v>8</v>
      </c>
      <c r="J1" s="6"/>
      <c r="K1" s="3"/>
    </row>
    <row r="2" spans="1:19" x14ac:dyDescent="0.25">
      <c r="A2" s="12"/>
      <c r="B2" s="12"/>
      <c r="C2" s="11" t="s">
        <v>1</v>
      </c>
      <c r="D2" s="11"/>
      <c r="E2" s="5" t="s">
        <v>4</v>
      </c>
      <c r="F2" s="11" t="s">
        <v>5</v>
      </c>
      <c r="G2" s="11"/>
      <c r="H2" s="11"/>
      <c r="I2" s="5"/>
      <c r="J2" s="6"/>
      <c r="K2" s="3"/>
    </row>
    <row r="3" spans="1:19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  <c r="M3" s="3"/>
      <c r="N3" s="10"/>
      <c r="O3" s="10"/>
      <c r="P3" s="10"/>
      <c r="Q3" s="10"/>
      <c r="R3" s="10"/>
      <c r="S3" s="10"/>
    </row>
    <row r="4" spans="1:19" x14ac:dyDescent="0.25">
      <c r="A4" s="6"/>
      <c r="B4" s="6" t="s">
        <v>10</v>
      </c>
      <c r="C4" s="5">
        <v>347</v>
      </c>
      <c r="D4" s="5">
        <v>35</v>
      </c>
      <c r="E4" s="5">
        <v>8</v>
      </c>
      <c r="F4" s="5">
        <v>8</v>
      </c>
      <c r="G4" s="5">
        <v>65</v>
      </c>
      <c r="H4" s="5">
        <f>SUM(C4:G4)</f>
        <v>463</v>
      </c>
      <c r="I4" s="5">
        <v>55</v>
      </c>
      <c r="J4" s="6"/>
      <c r="K4" s="3"/>
      <c r="M4" s="3"/>
      <c r="N4" s="10"/>
      <c r="O4" s="10"/>
      <c r="P4" s="10"/>
      <c r="Q4" s="10"/>
      <c r="R4" s="10"/>
      <c r="S4" s="10"/>
    </row>
    <row r="5" spans="1:19" x14ac:dyDescent="0.25">
      <c r="A5" s="6"/>
      <c r="B5" s="6" t="s">
        <v>11</v>
      </c>
      <c r="C5" s="5">
        <v>3941</v>
      </c>
      <c r="D5" s="5">
        <v>5875</v>
      </c>
      <c r="E5" s="5">
        <v>2608</v>
      </c>
      <c r="F5" s="5">
        <v>1420</v>
      </c>
      <c r="G5" s="5">
        <v>3852</v>
      </c>
      <c r="H5" s="5">
        <f t="shared" ref="H5:H18" si="0">SUM(C5:G5)</f>
        <v>17696</v>
      </c>
      <c r="I5" s="5">
        <v>3573</v>
      </c>
      <c r="J5" s="6"/>
      <c r="K5" s="3"/>
      <c r="M5" s="3"/>
      <c r="N5" s="10"/>
      <c r="O5" s="10"/>
      <c r="P5" s="10"/>
      <c r="Q5" s="10"/>
      <c r="R5" s="10"/>
      <c r="S5" s="10"/>
    </row>
    <row r="6" spans="1:19" x14ac:dyDescent="0.25">
      <c r="A6" s="6"/>
      <c r="B6" s="6" t="s">
        <v>12</v>
      </c>
      <c r="C6" s="5">
        <v>1084</v>
      </c>
      <c r="D6" s="5">
        <v>4254</v>
      </c>
      <c r="E6" s="5">
        <v>1310</v>
      </c>
      <c r="F6" s="5">
        <v>630</v>
      </c>
      <c r="G6" s="5">
        <v>2600</v>
      </c>
      <c r="H6" s="5">
        <f t="shared" si="0"/>
        <v>9878</v>
      </c>
      <c r="I6" s="5">
        <v>5442</v>
      </c>
      <c r="J6" s="6"/>
      <c r="K6" s="3"/>
      <c r="M6" s="3"/>
      <c r="N6" s="10"/>
      <c r="O6" s="10"/>
      <c r="P6" s="10"/>
      <c r="Q6" s="10"/>
      <c r="R6" s="10"/>
      <c r="S6" s="10"/>
    </row>
    <row r="7" spans="1:19" x14ac:dyDescent="0.25">
      <c r="A7" s="6"/>
      <c r="B7" s="6" t="s">
        <v>14</v>
      </c>
      <c r="C7" s="5">
        <v>311</v>
      </c>
      <c r="D7" s="5">
        <v>2905</v>
      </c>
      <c r="E7" s="5">
        <v>1938</v>
      </c>
      <c r="F7" s="5">
        <v>850</v>
      </c>
      <c r="G7" s="5">
        <v>2707</v>
      </c>
      <c r="H7" s="5">
        <f t="shared" si="0"/>
        <v>8711</v>
      </c>
      <c r="I7" s="5">
        <v>23593</v>
      </c>
      <c r="J7" s="6"/>
      <c r="K7" s="3"/>
      <c r="M7" s="3"/>
      <c r="N7" s="10"/>
      <c r="O7" s="10"/>
      <c r="P7" s="10"/>
      <c r="Q7" s="10"/>
      <c r="R7" s="10"/>
      <c r="S7" s="10"/>
    </row>
    <row r="8" spans="1:19" x14ac:dyDescent="0.25">
      <c r="A8" s="6"/>
      <c r="B8" s="6" t="s">
        <v>13</v>
      </c>
      <c r="C8" s="5">
        <v>406</v>
      </c>
      <c r="D8" s="5">
        <v>138</v>
      </c>
      <c r="E8" s="5">
        <v>40</v>
      </c>
      <c r="F8" s="5">
        <v>17</v>
      </c>
      <c r="G8" s="5">
        <v>148</v>
      </c>
      <c r="H8" s="5">
        <f t="shared" si="0"/>
        <v>749</v>
      </c>
      <c r="I8" s="5">
        <v>170</v>
      </c>
      <c r="J8" s="6"/>
      <c r="K8" s="3"/>
      <c r="M8" s="3"/>
      <c r="N8" s="10"/>
      <c r="O8" s="10"/>
      <c r="P8" s="10"/>
      <c r="Q8" s="10"/>
      <c r="R8" s="10"/>
      <c r="S8" s="10"/>
    </row>
    <row r="9" spans="1:19" x14ac:dyDescent="0.25">
      <c r="A9" s="6"/>
      <c r="B9" s="6" t="s">
        <v>15</v>
      </c>
      <c r="C9" s="5">
        <v>10</v>
      </c>
      <c r="D9" s="5">
        <v>158</v>
      </c>
      <c r="E9" s="5">
        <v>153</v>
      </c>
      <c r="F9" s="5">
        <v>340</v>
      </c>
      <c r="G9" s="5">
        <v>456</v>
      </c>
      <c r="H9" s="5">
        <f t="shared" si="0"/>
        <v>1117</v>
      </c>
      <c r="I9" s="5">
        <v>2246</v>
      </c>
      <c r="J9" s="5"/>
      <c r="K9" s="4"/>
      <c r="M9" s="3"/>
      <c r="N9" s="10"/>
      <c r="O9" s="10"/>
      <c r="P9" s="10"/>
      <c r="Q9" s="10"/>
      <c r="R9" s="10"/>
      <c r="S9" s="10"/>
    </row>
    <row r="10" spans="1:19" x14ac:dyDescent="0.25">
      <c r="A10" s="6"/>
      <c r="B10" s="8" t="s">
        <v>9</v>
      </c>
      <c r="C10" s="5">
        <v>87</v>
      </c>
      <c r="D10" s="5">
        <v>43</v>
      </c>
      <c r="E10" s="5">
        <v>43</v>
      </c>
      <c r="F10" s="5">
        <v>42</v>
      </c>
      <c r="G10" s="5">
        <v>447</v>
      </c>
      <c r="H10" s="5">
        <f t="shared" si="0"/>
        <v>662</v>
      </c>
      <c r="I10" s="9">
        <v>2144</v>
      </c>
      <c r="J10" s="5"/>
      <c r="K10" s="4"/>
      <c r="M10" s="3"/>
      <c r="N10" s="10"/>
      <c r="O10" s="10"/>
      <c r="P10" s="10"/>
      <c r="Q10" s="10"/>
      <c r="R10" s="10"/>
      <c r="S10" s="10"/>
    </row>
    <row r="11" spans="1:19" x14ac:dyDescent="0.25">
      <c r="A11" s="6"/>
      <c r="B11" s="8" t="s">
        <v>16</v>
      </c>
      <c r="C11" s="5">
        <v>1471</v>
      </c>
      <c r="D11" s="5">
        <v>2522</v>
      </c>
      <c r="E11" s="5">
        <v>1237</v>
      </c>
      <c r="F11" s="5">
        <v>454</v>
      </c>
      <c r="G11" s="5">
        <v>2827</v>
      </c>
      <c r="H11" s="5">
        <f t="shared" si="0"/>
        <v>8511</v>
      </c>
      <c r="I11" s="5">
        <v>10050</v>
      </c>
      <c r="J11" s="5"/>
      <c r="K11" s="4"/>
      <c r="M11" s="3"/>
      <c r="N11" s="10"/>
      <c r="O11" s="10"/>
      <c r="P11" s="10"/>
      <c r="Q11" s="10"/>
      <c r="R11" s="10"/>
      <c r="S11" s="10"/>
    </row>
    <row r="12" spans="1:19" x14ac:dyDescent="0.25">
      <c r="A12" s="6"/>
      <c r="B12" s="8" t="s">
        <v>19</v>
      </c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4"/>
      <c r="M12" s="3"/>
      <c r="N12" s="10"/>
      <c r="O12" s="10"/>
      <c r="P12" s="10"/>
      <c r="Q12" s="10"/>
      <c r="R12" s="10"/>
      <c r="S12" s="10"/>
    </row>
    <row r="13" spans="1:19" x14ac:dyDescent="0.25">
      <c r="A13" s="6"/>
      <c r="B13" s="6" t="s">
        <v>17</v>
      </c>
      <c r="C13" s="5">
        <v>1</v>
      </c>
      <c r="D13" s="5">
        <v>210</v>
      </c>
      <c r="E13" s="5">
        <v>331</v>
      </c>
      <c r="F13" s="5">
        <v>253</v>
      </c>
      <c r="G13" s="5">
        <v>782</v>
      </c>
      <c r="H13" s="5">
        <f t="shared" si="0"/>
        <v>1577</v>
      </c>
      <c r="I13" s="5">
        <v>7516</v>
      </c>
      <c r="J13" s="5"/>
      <c r="K13" s="4"/>
      <c r="M13" s="3"/>
      <c r="N13" s="10"/>
      <c r="O13" s="10"/>
      <c r="P13" s="10"/>
      <c r="Q13" s="10"/>
      <c r="R13" s="10"/>
      <c r="S13" s="10"/>
    </row>
    <row r="14" spans="1:19" x14ac:dyDescent="0.25">
      <c r="A14" s="6"/>
      <c r="B14" s="6" t="s">
        <v>18</v>
      </c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4"/>
      <c r="M14" s="3"/>
      <c r="N14" s="10"/>
      <c r="O14" s="10"/>
      <c r="P14" s="10"/>
      <c r="Q14" s="10"/>
      <c r="R14" s="10"/>
      <c r="S14" s="10"/>
    </row>
    <row r="15" spans="1:19" x14ac:dyDescent="0.25">
      <c r="A15" s="6"/>
      <c r="B15" s="8" t="s">
        <v>20</v>
      </c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4"/>
      <c r="M15" s="3"/>
      <c r="N15" s="10"/>
      <c r="O15" s="10"/>
      <c r="P15" s="10"/>
      <c r="Q15" s="10"/>
      <c r="R15" s="10"/>
      <c r="S15" s="10"/>
    </row>
    <row r="16" spans="1:19" x14ac:dyDescent="0.25">
      <c r="A16" s="6"/>
      <c r="B16" s="8" t="s">
        <v>21</v>
      </c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4"/>
      <c r="M16" s="3"/>
      <c r="N16" s="10"/>
      <c r="O16" s="10"/>
      <c r="P16" s="10"/>
      <c r="Q16" s="10"/>
      <c r="R16" s="10"/>
      <c r="S16" s="10"/>
    </row>
    <row r="17" spans="1:19" x14ac:dyDescent="0.25">
      <c r="A17" s="6"/>
      <c r="B17" s="8" t="s">
        <v>22</v>
      </c>
      <c r="C17" s="5">
        <v>1</v>
      </c>
      <c r="D17" s="5">
        <v>19</v>
      </c>
      <c r="E17" s="5">
        <v>11</v>
      </c>
      <c r="F17" s="5">
        <v>5</v>
      </c>
      <c r="G17" s="5">
        <v>113</v>
      </c>
      <c r="H17" s="5">
        <f t="shared" si="0"/>
        <v>149</v>
      </c>
      <c r="I17" s="5">
        <v>146</v>
      </c>
      <c r="J17" s="5"/>
      <c r="K17" s="4"/>
      <c r="M17" s="3"/>
      <c r="N17" s="10"/>
      <c r="O17" s="10"/>
      <c r="P17" s="10"/>
      <c r="Q17" s="10"/>
      <c r="R17" s="10"/>
      <c r="S17" s="10"/>
    </row>
    <row r="18" spans="1:19" x14ac:dyDescent="0.25">
      <c r="A18" s="6"/>
      <c r="B18" s="8" t="s">
        <v>23</v>
      </c>
      <c r="C18" s="5">
        <v>0</v>
      </c>
      <c r="D18" s="5">
        <v>2</v>
      </c>
      <c r="E18" s="5">
        <v>1</v>
      </c>
      <c r="F18" s="5">
        <v>0</v>
      </c>
      <c r="G18" s="5">
        <v>0</v>
      </c>
      <c r="H18" s="5">
        <f t="shared" si="0"/>
        <v>3</v>
      </c>
      <c r="I18" s="5">
        <v>6</v>
      </c>
      <c r="J18" s="5"/>
      <c r="K18" s="4"/>
      <c r="M18" s="3"/>
      <c r="N18" s="10"/>
      <c r="O18" s="10"/>
      <c r="P18" s="10"/>
      <c r="Q18" s="10"/>
      <c r="R18" s="10"/>
      <c r="S18" s="10"/>
    </row>
    <row r="19" spans="1:19" x14ac:dyDescent="0.25">
      <c r="A19" s="6"/>
      <c r="B19" s="8" t="s">
        <v>26</v>
      </c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4"/>
      <c r="M19" s="3"/>
      <c r="N19" s="10"/>
      <c r="O19" s="10"/>
      <c r="P19" s="10"/>
      <c r="Q19" s="10"/>
      <c r="R19" s="10"/>
      <c r="S19" s="10"/>
    </row>
    <row r="20" spans="1:19" x14ac:dyDescent="0.25">
      <c r="A20" s="6"/>
      <c r="B20" s="6"/>
      <c r="C20" s="5"/>
      <c r="D20" s="5"/>
      <c r="E20" s="5"/>
      <c r="F20" s="5"/>
      <c r="G20" s="5"/>
      <c r="H20" s="5"/>
      <c r="I20" s="5"/>
      <c r="J20" s="5"/>
      <c r="K20" s="4"/>
      <c r="M20" s="3"/>
      <c r="N20" s="10"/>
      <c r="O20" s="10"/>
      <c r="P20" s="10"/>
      <c r="Q20" s="10"/>
      <c r="R20" s="10"/>
      <c r="S20" s="10"/>
    </row>
    <row r="21" spans="1:19" x14ac:dyDescent="0.25">
      <c r="A21" s="6"/>
      <c r="B21" s="6"/>
      <c r="C21" s="5"/>
      <c r="D21" s="5"/>
      <c r="E21" s="5"/>
      <c r="F21" s="5"/>
      <c r="G21" s="5"/>
      <c r="H21" s="5"/>
      <c r="I21" s="5"/>
      <c r="J21" s="5"/>
      <c r="K21" s="4"/>
      <c r="M21" s="3"/>
      <c r="N21" s="10"/>
      <c r="O21" s="10"/>
      <c r="P21" s="10"/>
      <c r="Q21" s="10"/>
      <c r="R21" s="10"/>
      <c r="S21" s="10"/>
    </row>
    <row r="22" spans="1:19" x14ac:dyDescent="0.25">
      <c r="C22" s="1"/>
      <c r="D22" s="1"/>
      <c r="E22" s="1"/>
      <c r="F22" s="1"/>
      <c r="G22" s="1"/>
      <c r="H22" s="1"/>
      <c r="I22" s="1"/>
      <c r="J22" s="1"/>
      <c r="K22" s="4"/>
      <c r="M22" s="3"/>
      <c r="N22" s="10"/>
      <c r="O22" s="10"/>
      <c r="P22" s="10"/>
      <c r="Q22" s="10"/>
      <c r="R22" s="10"/>
      <c r="S22" s="10"/>
    </row>
    <row r="23" spans="1:19" x14ac:dyDescent="0.25">
      <c r="C23" s="11" t="s">
        <v>0</v>
      </c>
      <c r="D23" s="11"/>
      <c r="E23" s="11"/>
      <c r="F23" s="11"/>
      <c r="G23" s="11"/>
      <c r="H23" s="11" t="s">
        <v>25</v>
      </c>
      <c r="I23" s="5" t="s">
        <v>8</v>
      </c>
      <c r="K23" s="3"/>
      <c r="M23" s="3"/>
      <c r="N23" s="10"/>
      <c r="O23" s="10"/>
      <c r="P23" s="10"/>
      <c r="Q23" s="10"/>
      <c r="R23" s="10"/>
      <c r="S23" s="10"/>
    </row>
    <row r="24" spans="1:19" x14ac:dyDescent="0.25">
      <c r="C24" s="11" t="s">
        <v>1</v>
      </c>
      <c r="D24" s="11"/>
      <c r="E24" s="5" t="s">
        <v>4</v>
      </c>
      <c r="F24" s="11" t="s">
        <v>5</v>
      </c>
      <c r="G24" s="11"/>
      <c r="H24" s="11"/>
      <c r="I24" s="5"/>
      <c r="K24" s="3"/>
      <c r="M24" s="3"/>
      <c r="N24" s="10"/>
      <c r="O24" s="10"/>
      <c r="P24" s="10"/>
      <c r="Q24" s="10"/>
      <c r="R24" s="10"/>
      <c r="S24" s="10"/>
    </row>
    <row r="25" spans="1:19" x14ac:dyDescent="0.25"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  <c r="M25" s="3"/>
      <c r="N25" s="10"/>
      <c r="O25" s="10"/>
      <c r="P25" s="10"/>
      <c r="Q25" s="10"/>
      <c r="R25" s="10"/>
      <c r="S25" s="10"/>
    </row>
    <row r="26" spans="1:19" x14ac:dyDescent="0.25">
      <c r="B26" s="6" t="s">
        <v>10</v>
      </c>
      <c r="C26" s="5">
        <f>347/74.64</f>
        <v>4.64898177920686</v>
      </c>
      <c r="D26" s="5">
        <f>35/161.73</f>
        <v>0.21641006615964881</v>
      </c>
      <c r="E26" s="5">
        <f>8/77.61</f>
        <v>0.10307950006442469</v>
      </c>
      <c r="F26" s="5">
        <f>8/41.16</f>
        <v>0.19436345966958213</v>
      </c>
      <c r="G26" s="5">
        <f>65/145.12</f>
        <v>0.44790518191841233</v>
      </c>
      <c r="H26" s="5">
        <f>463/502.36</f>
        <v>0.92164981288319137</v>
      </c>
      <c r="I26" s="5">
        <f>55/588.05</f>
        <v>9.3529461780460857E-2</v>
      </c>
      <c r="K26" s="3"/>
      <c r="M26" s="3"/>
      <c r="N26" s="10"/>
      <c r="O26" s="10"/>
      <c r="P26" s="10"/>
      <c r="Q26" s="10"/>
      <c r="R26" s="10"/>
      <c r="S26" s="10"/>
    </row>
    <row r="27" spans="1:19" x14ac:dyDescent="0.25">
      <c r="B27" s="6" t="s">
        <v>11</v>
      </c>
      <c r="C27" s="5">
        <f>3941/74.64</f>
        <v>52.80010718113612</v>
      </c>
      <c r="D27" s="5">
        <f>5875/161.73</f>
        <v>36.325975391083908</v>
      </c>
      <c r="E27" s="5">
        <f>2608/77.61</f>
        <v>33.603917021002445</v>
      </c>
      <c r="F27" s="5">
        <f>1420/41.16</f>
        <v>34.499514091350832</v>
      </c>
      <c r="G27" s="5">
        <f>3852/145.12</f>
        <v>26.543550165380374</v>
      </c>
      <c r="H27" s="5">
        <f>17696/502.36</f>
        <v>35.225734533004221</v>
      </c>
      <c r="I27" s="5">
        <f>3573/588.05</f>
        <v>6.0760139443924839</v>
      </c>
      <c r="K27" s="3"/>
      <c r="M27" s="3"/>
      <c r="N27" s="10"/>
      <c r="O27" s="10"/>
      <c r="P27" s="10"/>
      <c r="Q27" s="10"/>
      <c r="R27" s="10"/>
      <c r="S27" s="10"/>
    </row>
    <row r="28" spans="1:19" x14ac:dyDescent="0.25">
      <c r="B28" s="6" t="s">
        <v>12</v>
      </c>
      <c r="C28" s="5">
        <f>1084/74.64</f>
        <v>14.52304394426581</v>
      </c>
      <c r="D28" s="5">
        <f>4254/161.73</f>
        <v>26.303097755518458</v>
      </c>
      <c r="E28" s="5">
        <f>1310/77.61</f>
        <v>16.879268135549541</v>
      </c>
      <c r="F28" s="5">
        <f>630/41.16</f>
        <v>15.306122448979593</v>
      </c>
      <c r="G28" s="5">
        <f>2600/145.12</f>
        <v>17.916207276736493</v>
      </c>
      <c r="H28" s="5">
        <f>9878/502.36</f>
        <v>19.663189744406402</v>
      </c>
      <c r="I28" s="5">
        <f>5442/588.05</f>
        <v>9.2543151092594176</v>
      </c>
      <c r="K28" s="3"/>
      <c r="M28" s="3"/>
      <c r="N28" s="10"/>
      <c r="O28" s="10"/>
      <c r="P28" s="10"/>
      <c r="Q28" s="10"/>
      <c r="R28" s="10"/>
      <c r="S28" s="10"/>
    </row>
    <row r="29" spans="1:19" x14ac:dyDescent="0.25">
      <c r="B29" s="6" t="s">
        <v>14</v>
      </c>
      <c r="C29" s="5">
        <f>311/74.64</f>
        <v>4.166666666666667</v>
      </c>
      <c r="D29" s="5">
        <f>2905/161.73</f>
        <v>17.962035491250852</v>
      </c>
      <c r="E29" s="5">
        <f>1938/77.61</f>
        <v>24.971008890606882</v>
      </c>
      <c r="F29" s="5">
        <f>850/41.16</f>
        <v>20.651117589893101</v>
      </c>
      <c r="G29" s="5">
        <f>2707/145.12</f>
        <v>18.653528114663725</v>
      </c>
      <c r="H29" s="5">
        <f>8711/502.36</f>
        <v>17.340154470897364</v>
      </c>
      <c r="I29" s="5">
        <f>23593/588.05</f>
        <v>40.120738032480233</v>
      </c>
      <c r="K29" s="3"/>
      <c r="M29" s="3"/>
      <c r="N29" s="10"/>
      <c r="O29" s="10"/>
      <c r="P29" s="10"/>
      <c r="Q29" s="10"/>
      <c r="R29" s="10"/>
      <c r="S29" s="10"/>
    </row>
    <row r="30" spans="1:19" x14ac:dyDescent="0.25">
      <c r="B30" s="6" t="s">
        <v>13</v>
      </c>
      <c r="C30" s="5">
        <f>406/74.64</f>
        <v>5.439442658092176</v>
      </c>
      <c r="D30" s="5">
        <f>138/161.73</f>
        <v>0.85327397514375813</v>
      </c>
      <c r="E30" s="5">
        <f>40/77.61</f>
        <v>0.51539750032212339</v>
      </c>
      <c r="F30" s="5">
        <f>17/41.16</f>
        <v>0.41302235179786201</v>
      </c>
      <c r="G30" s="5">
        <f>148/145.12</f>
        <v>1.0198456449834619</v>
      </c>
      <c r="H30" s="5">
        <f>749/502.36</f>
        <v>1.4909626562624412</v>
      </c>
      <c r="I30" s="5">
        <f>170/588.05</f>
        <v>0.28909106368506082</v>
      </c>
      <c r="K30" s="3"/>
      <c r="M30" s="3"/>
      <c r="N30" s="10"/>
      <c r="O30" s="10"/>
      <c r="P30" s="10"/>
      <c r="Q30" s="10"/>
      <c r="R30" s="10"/>
      <c r="S30" s="10"/>
    </row>
    <row r="31" spans="1:19" x14ac:dyDescent="0.25">
      <c r="B31" s="6" t="s">
        <v>15</v>
      </c>
      <c r="C31" s="5">
        <f>10/74.64</f>
        <v>0.13397642015005359</v>
      </c>
      <c r="D31" s="5">
        <f>158/161.73</f>
        <v>0.97693687009212893</v>
      </c>
      <c r="E31" s="5">
        <f>153/77.61</f>
        <v>1.9713954387321222</v>
      </c>
      <c r="F31" s="5">
        <f>340/41.16</f>
        <v>8.2604470359572399</v>
      </c>
      <c r="G31" s="5">
        <f>456/145.12</f>
        <v>3.1422271223814775</v>
      </c>
      <c r="H31" s="5">
        <f>1117/502.36</f>
        <v>2.2235050561350427</v>
      </c>
      <c r="I31" s="5">
        <f>2246/588.05</f>
        <v>3.8194031119802743</v>
      </c>
      <c r="K31" s="3"/>
      <c r="M31" s="3"/>
      <c r="N31" s="10"/>
      <c r="O31" s="10"/>
      <c r="P31" s="10"/>
      <c r="Q31" s="10"/>
      <c r="R31" s="10"/>
      <c r="S31" s="10"/>
    </row>
    <row r="32" spans="1:19" x14ac:dyDescent="0.25">
      <c r="B32" s="8" t="s">
        <v>9</v>
      </c>
      <c r="C32" s="5">
        <f>87/74.64</f>
        <v>1.1655948553054662</v>
      </c>
      <c r="D32" s="5">
        <f>43/161.73</f>
        <v>0.26587522413899711</v>
      </c>
      <c r="E32" s="5">
        <f>43/77.61</f>
        <v>0.55405231284628265</v>
      </c>
      <c r="F32" s="5">
        <f>42/41.16</f>
        <v>1.0204081632653061</v>
      </c>
      <c r="G32" s="5">
        <f>447/145.12</f>
        <v>3.0802094818081587</v>
      </c>
      <c r="H32" s="5">
        <f>662/502.36</f>
        <v>1.3177800780316904</v>
      </c>
      <c r="I32" s="9">
        <f>2144/588.05</f>
        <v>3.6459484737692378</v>
      </c>
      <c r="K32" s="3"/>
      <c r="M32" s="2"/>
    </row>
    <row r="33" spans="2:11" x14ac:dyDescent="0.25">
      <c r="B33" s="8" t="s">
        <v>16</v>
      </c>
      <c r="C33" s="5">
        <f>1471/74.64</f>
        <v>19.707931404072884</v>
      </c>
      <c r="D33" s="5">
        <f>2522/161.73</f>
        <v>15.593891052989552</v>
      </c>
      <c r="E33" s="5">
        <f>1237/77.61</f>
        <v>15.938667697461668</v>
      </c>
      <c r="F33" s="5">
        <f>454/41.16</f>
        <v>11.030126336248786</v>
      </c>
      <c r="G33" s="5">
        <f>2827/145.12</f>
        <v>19.480429988974642</v>
      </c>
      <c r="H33" s="5">
        <f>8511/502.36</f>
        <v>16.942033601401384</v>
      </c>
      <c r="I33" s="5">
        <f>10050/588.05</f>
        <v>17.090383470793302</v>
      </c>
      <c r="K33" s="3"/>
    </row>
    <row r="34" spans="2:11" x14ac:dyDescent="0.25">
      <c r="B34" s="8" t="s">
        <v>19</v>
      </c>
      <c r="C34" s="5">
        <v>0</v>
      </c>
      <c r="D34" s="5">
        <f>9/161.73</f>
        <v>5.5648302726766838E-2</v>
      </c>
      <c r="E34" s="5">
        <f>44/77.61</f>
        <v>0.56693725035433573</v>
      </c>
      <c r="F34" s="5">
        <f>45/41.16</f>
        <v>1.0932944606413995</v>
      </c>
      <c r="G34" s="5">
        <f>183/145.12</f>
        <v>1.2610253583241455</v>
      </c>
      <c r="H34" s="5">
        <f>281/502.36</f>
        <v>0.5593598216418505</v>
      </c>
      <c r="I34" s="5">
        <f>1535/588.05</f>
        <v>2.6103222515092255</v>
      </c>
      <c r="K34" s="3"/>
    </row>
    <row r="35" spans="2:11" x14ac:dyDescent="0.25">
      <c r="B35" s="6" t="s">
        <v>17</v>
      </c>
      <c r="C35" s="5">
        <f>1/74.64</f>
        <v>1.3397642015005359E-2</v>
      </c>
      <c r="D35" s="5">
        <f>210/161.73</f>
        <v>1.2984603969578929</v>
      </c>
      <c r="E35" s="5">
        <f>331/77.61</f>
        <v>4.2649143151655711</v>
      </c>
      <c r="F35" s="5">
        <f>253/41.16</f>
        <v>6.146744412050535</v>
      </c>
      <c r="G35" s="5">
        <f>782/145.12</f>
        <v>5.3886438809261303</v>
      </c>
      <c r="H35" s="5">
        <f>1577/502.36</f>
        <v>3.1391830559757943</v>
      </c>
      <c r="I35" s="5">
        <f>7516/588.05</f>
        <v>12.78122608621716</v>
      </c>
      <c r="K35" s="3"/>
    </row>
    <row r="36" spans="2:11" x14ac:dyDescent="0.25">
      <c r="B36" s="6" t="s">
        <v>18</v>
      </c>
      <c r="C36" s="5">
        <v>0</v>
      </c>
      <c r="D36" s="5">
        <f>0/161.73</f>
        <v>0</v>
      </c>
      <c r="E36" s="5">
        <f>21/77.61</f>
        <v>0.27058368766911478</v>
      </c>
      <c r="F36" s="5">
        <f>39/41.16</f>
        <v>0.94752186588921294</v>
      </c>
      <c r="G36" s="5">
        <f>245/145.12</f>
        <v>1.688257993384785</v>
      </c>
      <c r="H36" s="5">
        <f>305/502.36</f>
        <v>0.60713432598136796</v>
      </c>
      <c r="I36" s="5">
        <f>2069/588.05</f>
        <v>3.5184082986140637</v>
      </c>
    </row>
    <row r="37" spans="2:11" x14ac:dyDescent="0.25">
      <c r="B37" s="8" t="s">
        <v>20</v>
      </c>
      <c r="C37" s="5">
        <f>15/74.64</f>
        <v>0.20096463022508038</v>
      </c>
      <c r="D37" s="5">
        <f>2/161.73</f>
        <v>1.2366289494837075E-2</v>
      </c>
      <c r="E37" s="5">
        <f>8/77.61</f>
        <v>0.10307950006442469</v>
      </c>
      <c r="F37" s="5">
        <f>6/41.16</f>
        <v>0.1457725947521866</v>
      </c>
      <c r="G37" s="5">
        <f>65/145.12</f>
        <v>0.44790518191841233</v>
      </c>
      <c r="H37" s="5">
        <f>96/502.36</f>
        <v>0.19109801735806992</v>
      </c>
      <c r="I37" s="5">
        <f>104/588.05</f>
        <v>0.17685570954850779</v>
      </c>
    </row>
    <row r="38" spans="2:11" x14ac:dyDescent="0.25">
      <c r="B38" s="8" t="s">
        <v>21</v>
      </c>
      <c r="C38" s="5">
        <v>0</v>
      </c>
      <c r="D38" s="5">
        <f>1/161.73</f>
        <v>6.1831447474185374E-3</v>
      </c>
      <c r="E38" s="5">
        <f>8/77.61</f>
        <v>0.10307950006442469</v>
      </c>
      <c r="F38" s="5">
        <f>7/41.16</f>
        <v>0.17006802721088438</v>
      </c>
      <c r="G38" s="5">
        <f>22/145.12</f>
        <v>0.15159867695700111</v>
      </c>
      <c r="H38" s="5">
        <f>38/502.36</f>
        <v>7.564296520423601E-2</v>
      </c>
      <c r="I38" s="5">
        <f>156/588.05</f>
        <v>0.26528356432276168</v>
      </c>
    </row>
    <row r="39" spans="2:11" x14ac:dyDescent="0.25">
      <c r="B39" s="8" t="s">
        <v>22</v>
      </c>
      <c r="C39" s="5">
        <f>1/74.64</f>
        <v>1.3397642015005359E-2</v>
      </c>
      <c r="D39" s="5">
        <f>19/161.73</f>
        <v>0.11747975020095221</v>
      </c>
      <c r="E39" s="5">
        <f>11/77.61</f>
        <v>0.14173431258858393</v>
      </c>
      <c r="F39" s="5">
        <f>5/41.16</f>
        <v>0.12147716229348883</v>
      </c>
      <c r="G39" s="5">
        <f>113/145.12</f>
        <v>0.77866593164277842</v>
      </c>
      <c r="H39" s="5">
        <f>149/502.36</f>
        <v>0.29660004777450433</v>
      </c>
      <c r="I39" s="5">
        <f>146/588.05</f>
        <v>0.24827820763540517</v>
      </c>
    </row>
    <row r="40" spans="2:11" x14ac:dyDescent="0.25">
      <c r="B40" s="8" t="s">
        <v>23</v>
      </c>
      <c r="C40" s="5">
        <v>0</v>
      </c>
      <c r="D40" s="5">
        <f>2/161.73</f>
        <v>1.2366289494837075E-2</v>
      </c>
      <c r="E40" s="5">
        <f>1/77.61</f>
        <v>1.2884937508053087E-2</v>
      </c>
      <c r="F40" s="5">
        <v>0</v>
      </c>
      <c r="G40" s="5">
        <v>0</v>
      </c>
      <c r="H40" s="5">
        <f>3/502.36</f>
        <v>5.9718130424396849E-3</v>
      </c>
      <c r="I40" s="5">
        <f>6/588.05</f>
        <v>1.0203214012413911E-2</v>
      </c>
    </row>
    <row r="41" spans="2:11" x14ac:dyDescent="0.25">
      <c r="B41" s="8"/>
      <c r="C41" s="5"/>
      <c r="D41" s="5"/>
      <c r="E41" s="5"/>
      <c r="F41" s="5"/>
      <c r="G41" s="5"/>
      <c r="H41" s="5"/>
      <c r="I41" s="5"/>
    </row>
  </sheetData>
  <mergeCells count="9">
    <mergeCell ref="C1:G1"/>
    <mergeCell ref="A1:B2"/>
    <mergeCell ref="H1:H2"/>
    <mergeCell ref="C23:G23"/>
    <mergeCell ref="H23:H24"/>
    <mergeCell ref="C24:D24"/>
    <mergeCell ref="F24:G24"/>
    <mergeCell ref="F2:G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Normal="100" workbookViewId="0">
      <selection activeCell="I19" sqref="A1:I19"/>
    </sheetView>
  </sheetViews>
  <sheetFormatPr defaultRowHeight="15" x14ac:dyDescent="0.25"/>
  <cols>
    <col min="2" max="2" width="24.28515625" customWidth="1"/>
    <col min="3" max="8" width="12" bestFit="1" customWidth="1"/>
    <col min="9" max="9" width="17.42578125" bestFit="1" customWidth="1"/>
  </cols>
  <sheetData>
    <row r="1" spans="1:11" x14ac:dyDescent="0.25">
      <c r="A1" s="12" t="s">
        <v>27</v>
      </c>
      <c r="B1" s="12"/>
      <c r="C1" s="11" t="s">
        <v>0</v>
      </c>
      <c r="D1" s="11"/>
      <c r="E1" s="11"/>
      <c r="F1" s="11"/>
      <c r="G1" s="11"/>
      <c r="H1" s="11" t="s">
        <v>25</v>
      </c>
      <c r="I1" s="5" t="s">
        <v>8</v>
      </c>
      <c r="J1" s="6"/>
      <c r="K1" s="3"/>
    </row>
    <row r="2" spans="1:11" x14ac:dyDescent="0.25">
      <c r="A2" s="12"/>
      <c r="B2" s="12"/>
      <c r="C2" s="11" t="s">
        <v>1</v>
      </c>
      <c r="D2" s="11"/>
      <c r="E2" s="5" t="s">
        <v>4</v>
      </c>
      <c r="F2" s="11" t="s">
        <v>5</v>
      </c>
      <c r="G2" s="11"/>
      <c r="H2" s="11"/>
      <c r="I2" s="5"/>
      <c r="J2" s="6"/>
      <c r="K2" s="3"/>
    </row>
    <row r="3" spans="1:11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</row>
    <row r="4" spans="1:11" x14ac:dyDescent="0.25">
      <c r="A4" s="6"/>
      <c r="B4" s="6" t="s">
        <v>10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SUM(C4:G4)</f>
        <v>0</v>
      </c>
      <c r="I4" s="5">
        <v>0</v>
      </c>
      <c r="J4" s="6"/>
      <c r="K4" s="3"/>
    </row>
    <row r="5" spans="1:11" x14ac:dyDescent="0.25">
      <c r="A5" s="6"/>
      <c r="B5" s="6" t="s">
        <v>11</v>
      </c>
      <c r="C5" s="5">
        <v>4073</v>
      </c>
      <c r="D5" s="5">
        <v>5893</v>
      </c>
      <c r="E5" s="5">
        <v>2613</v>
      </c>
      <c r="F5" s="5">
        <v>1424</v>
      </c>
      <c r="G5" s="5">
        <v>3869</v>
      </c>
      <c r="H5" s="5">
        <f t="shared" ref="H5:H18" si="0">SUM(C5:G5)</f>
        <v>17872</v>
      </c>
      <c r="I5" s="5">
        <v>3596</v>
      </c>
      <c r="J5" s="6"/>
      <c r="K5" s="3"/>
    </row>
    <row r="6" spans="1:11" x14ac:dyDescent="0.25">
      <c r="A6" s="6"/>
      <c r="B6" s="6" t="s">
        <v>12</v>
      </c>
      <c r="C6" s="5">
        <v>1181</v>
      </c>
      <c r="D6" s="5">
        <v>4261</v>
      </c>
      <c r="E6" s="5">
        <v>1310</v>
      </c>
      <c r="F6" s="5">
        <v>631</v>
      </c>
      <c r="G6" s="5">
        <v>2608</v>
      </c>
      <c r="H6" s="5">
        <f t="shared" si="0"/>
        <v>9991</v>
      </c>
      <c r="I6" s="5">
        <v>5446</v>
      </c>
      <c r="J6" s="6"/>
      <c r="K6" s="3"/>
    </row>
    <row r="7" spans="1:11" x14ac:dyDescent="0.25">
      <c r="A7" s="6"/>
      <c r="B7" s="6" t="s">
        <v>14</v>
      </c>
      <c r="C7" s="5">
        <v>369</v>
      </c>
      <c r="D7" s="5">
        <v>2910</v>
      </c>
      <c r="E7" s="5">
        <v>1939</v>
      </c>
      <c r="F7" s="5">
        <v>852</v>
      </c>
      <c r="G7" s="5">
        <v>2728</v>
      </c>
      <c r="H7" s="5">
        <f t="shared" si="0"/>
        <v>8798</v>
      </c>
      <c r="I7" s="5">
        <v>23599</v>
      </c>
      <c r="J7" s="6"/>
      <c r="K7" s="3"/>
    </row>
    <row r="8" spans="1:11" x14ac:dyDescent="0.25">
      <c r="A8" s="6"/>
      <c r="B8" s="6" t="s">
        <v>13</v>
      </c>
      <c r="C8" s="5">
        <v>425</v>
      </c>
      <c r="D8" s="5">
        <v>138</v>
      </c>
      <c r="E8" s="5">
        <v>40</v>
      </c>
      <c r="F8" s="5">
        <v>17</v>
      </c>
      <c r="G8" s="5">
        <v>149</v>
      </c>
      <c r="H8" s="5">
        <f t="shared" si="0"/>
        <v>769</v>
      </c>
      <c r="I8" s="5">
        <v>170</v>
      </c>
      <c r="J8" s="6"/>
      <c r="K8" s="3"/>
    </row>
    <row r="9" spans="1:11" x14ac:dyDescent="0.25">
      <c r="A9" s="6"/>
      <c r="B9" s="6" t="s">
        <v>15</v>
      </c>
      <c r="C9" s="5">
        <v>12</v>
      </c>
      <c r="D9" s="5">
        <v>158</v>
      </c>
      <c r="E9" s="5">
        <v>153</v>
      </c>
      <c r="F9" s="5">
        <v>341</v>
      </c>
      <c r="G9" s="5">
        <v>462</v>
      </c>
      <c r="H9" s="5">
        <f t="shared" si="0"/>
        <v>1126</v>
      </c>
      <c r="I9" s="5">
        <v>2249</v>
      </c>
      <c r="J9" s="5"/>
      <c r="K9" s="3"/>
    </row>
    <row r="10" spans="1:11" x14ac:dyDescent="0.25">
      <c r="A10" s="6"/>
      <c r="B10" s="8" t="s">
        <v>9</v>
      </c>
      <c r="C10" s="5">
        <v>87</v>
      </c>
      <c r="D10" s="5">
        <v>43</v>
      </c>
      <c r="E10" s="5">
        <v>43</v>
      </c>
      <c r="F10" s="5">
        <v>42</v>
      </c>
      <c r="G10" s="5">
        <v>448</v>
      </c>
      <c r="H10" s="5">
        <f t="shared" si="0"/>
        <v>663</v>
      </c>
      <c r="I10" s="9">
        <v>2144</v>
      </c>
      <c r="J10" s="5"/>
      <c r="K10" s="3"/>
    </row>
    <row r="11" spans="1:11" x14ac:dyDescent="0.25">
      <c r="A11" s="6"/>
      <c r="B11" s="8" t="s">
        <v>16</v>
      </c>
      <c r="C11" s="5">
        <v>1506</v>
      </c>
      <c r="D11" s="5">
        <v>2525</v>
      </c>
      <c r="E11" s="5">
        <v>1237</v>
      </c>
      <c r="F11" s="5">
        <v>454</v>
      </c>
      <c r="G11" s="5">
        <v>2833</v>
      </c>
      <c r="H11" s="5">
        <f t="shared" si="0"/>
        <v>8555</v>
      </c>
      <c r="I11" s="5">
        <v>10063</v>
      </c>
      <c r="J11" s="5"/>
      <c r="K11" s="3"/>
    </row>
    <row r="12" spans="1:11" x14ac:dyDescent="0.25">
      <c r="A12" s="6"/>
      <c r="B12" s="8" t="s">
        <v>19</v>
      </c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3"/>
    </row>
    <row r="13" spans="1:11" x14ac:dyDescent="0.25">
      <c r="A13" s="6"/>
      <c r="B13" s="6" t="s">
        <v>17</v>
      </c>
      <c r="C13" s="5">
        <v>3</v>
      </c>
      <c r="D13" s="5">
        <v>210</v>
      </c>
      <c r="E13" s="5">
        <v>331</v>
      </c>
      <c r="F13" s="5">
        <v>253</v>
      </c>
      <c r="G13" s="5">
        <v>783</v>
      </c>
      <c r="H13" s="5">
        <f t="shared" si="0"/>
        <v>1580</v>
      </c>
      <c r="I13" s="5">
        <v>7523</v>
      </c>
      <c r="J13" s="5"/>
      <c r="K13" s="3"/>
    </row>
    <row r="14" spans="1:11" x14ac:dyDescent="0.25">
      <c r="A14" s="6"/>
      <c r="B14" s="6" t="s">
        <v>18</v>
      </c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3"/>
    </row>
    <row r="15" spans="1:11" x14ac:dyDescent="0.25">
      <c r="A15" s="6"/>
      <c r="B15" s="8" t="s">
        <v>20</v>
      </c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3"/>
    </row>
    <row r="16" spans="1:11" x14ac:dyDescent="0.25">
      <c r="A16" s="6"/>
      <c r="B16" s="8" t="s">
        <v>21</v>
      </c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3"/>
    </row>
    <row r="17" spans="1:11" x14ac:dyDescent="0.25">
      <c r="A17" s="6"/>
      <c r="B17" s="8" t="s">
        <v>22</v>
      </c>
      <c r="C17" s="5">
        <v>1</v>
      </c>
      <c r="D17" s="5">
        <v>20</v>
      </c>
      <c r="E17" s="5">
        <v>13</v>
      </c>
      <c r="F17" s="5">
        <v>5</v>
      </c>
      <c r="G17" s="5">
        <v>114</v>
      </c>
      <c r="H17" s="5">
        <f t="shared" si="0"/>
        <v>153</v>
      </c>
      <c r="I17" s="5">
        <v>146</v>
      </c>
      <c r="J17" s="5"/>
      <c r="K17" s="3"/>
    </row>
    <row r="18" spans="1:11" x14ac:dyDescent="0.25">
      <c r="A18" s="6"/>
      <c r="B18" s="8" t="s">
        <v>23</v>
      </c>
      <c r="C18" s="5">
        <v>2</v>
      </c>
      <c r="D18" s="5">
        <v>3</v>
      </c>
      <c r="E18" s="5">
        <v>1</v>
      </c>
      <c r="F18" s="5">
        <v>0</v>
      </c>
      <c r="G18" s="5">
        <v>3</v>
      </c>
      <c r="H18" s="5">
        <f t="shared" si="0"/>
        <v>9</v>
      </c>
      <c r="I18" s="5">
        <v>5</v>
      </c>
      <c r="J18" s="5"/>
      <c r="K18" s="3"/>
    </row>
    <row r="19" spans="1:11" x14ac:dyDescent="0.25">
      <c r="A19" s="6"/>
      <c r="B19" s="8" t="s">
        <v>26</v>
      </c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3"/>
    </row>
    <row r="20" spans="1:11" x14ac:dyDescent="0.25">
      <c r="A20" s="6"/>
      <c r="B20" s="6"/>
      <c r="C20" s="5"/>
      <c r="D20" s="5"/>
      <c r="E20" s="5"/>
      <c r="F20" s="5"/>
      <c r="G20" s="5"/>
      <c r="H20" s="5"/>
      <c r="I20" s="5"/>
      <c r="J20" s="5"/>
      <c r="K20" s="3"/>
    </row>
    <row r="21" spans="1:11" x14ac:dyDescent="0.25">
      <c r="K21" s="3"/>
    </row>
    <row r="22" spans="1:11" x14ac:dyDescent="0.25">
      <c r="K22" s="3"/>
    </row>
    <row r="23" spans="1:11" x14ac:dyDescent="0.25">
      <c r="A23" s="12" t="s">
        <v>27</v>
      </c>
      <c r="B23" s="12"/>
      <c r="C23" s="11" t="s">
        <v>0</v>
      </c>
      <c r="D23" s="11"/>
      <c r="E23" s="11"/>
      <c r="F23" s="11"/>
      <c r="G23" s="11"/>
      <c r="H23" s="11" t="s">
        <v>25</v>
      </c>
      <c r="I23" s="5" t="s">
        <v>8</v>
      </c>
      <c r="K23" s="3"/>
    </row>
    <row r="24" spans="1:11" x14ac:dyDescent="0.25">
      <c r="A24" s="12"/>
      <c r="B24" s="12"/>
      <c r="C24" s="11" t="s">
        <v>1</v>
      </c>
      <c r="D24" s="11"/>
      <c r="E24" s="5" t="s">
        <v>4</v>
      </c>
      <c r="F24" s="11" t="s">
        <v>5</v>
      </c>
      <c r="G24" s="11"/>
      <c r="H24" s="11"/>
      <c r="I24" s="5"/>
      <c r="K24" s="3"/>
    </row>
    <row r="25" spans="1:11" x14ac:dyDescent="0.25">
      <c r="A25" s="7"/>
      <c r="B25" s="7"/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</row>
    <row r="26" spans="1:11" x14ac:dyDescent="0.25">
      <c r="A26" s="6"/>
      <c r="B26" s="6" t="s">
        <v>10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K26" s="3"/>
    </row>
    <row r="27" spans="1:11" x14ac:dyDescent="0.25">
      <c r="A27" s="6"/>
      <c r="B27" s="6" t="s">
        <v>11</v>
      </c>
      <c r="C27" s="5">
        <f>4073/76.74</f>
        <v>53.075319259838416</v>
      </c>
      <c r="D27" s="5">
        <f>5893/161.73</f>
        <v>36.43727199653744</v>
      </c>
      <c r="E27" s="5">
        <f>2613/77.61</f>
        <v>33.668341708542712</v>
      </c>
      <c r="F27" s="5">
        <f>1424/41.16</f>
        <v>34.596695821185619</v>
      </c>
      <c r="G27" s="5">
        <f>3869/145.12</f>
        <v>26.66069459757442</v>
      </c>
      <c r="H27" s="5">
        <f>17872/502.36</f>
        <v>35.576080898160683</v>
      </c>
      <c r="I27" s="5">
        <f>3596/588.05</f>
        <v>6.1151262647734042</v>
      </c>
      <c r="K27" s="3"/>
    </row>
    <row r="28" spans="1:11" x14ac:dyDescent="0.25">
      <c r="A28" s="6"/>
      <c r="B28" s="6" t="s">
        <v>12</v>
      </c>
      <c r="C28" s="5">
        <f>1181/76.74</f>
        <v>15.389627313004953</v>
      </c>
      <c r="D28" s="5">
        <f>4261/161.73</f>
        <v>26.346379768750388</v>
      </c>
      <c r="E28" s="5">
        <f>1310/77.61</f>
        <v>16.879268135549541</v>
      </c>
      <c r="F28" s="5">
        <f>631/41.16</f>
        <v>15.33041788143829</v>
      </c>
      <c r="G28" s="5">
        <f>2608/145.12</f>
        <v>17.971334068357223</v>
      </c>
      <c r="H28" s="5">
        <f>9991/502.36</f>
        <v>19.888128035671631</v>
      </c>
      <c r="I28" s="5">
        <f>5446/588.05</f>
        <v>9.2611172519343601</v>
      </c>
      <c r="K28" s="3"/>
    </row>
    <row r="29" spans="1:11" x14ac:dyDescent="0.25">
      <c r="A29" s="6"/>
      <c r="B29" s="6" t="s">
        <v>14</v>
      </c>
      <c r="C29" s="5">
        <f>369/76.74</f>
        <v>4.8084440969507432</v>
      </c>
      <c r="D29" s="5">
        <f>2910/161.73</f>
        <v>17.992951214987944</v>
      </c>
      <c r="E29" s="5">
        <f>1939/77.61</f>
        <v>24.983893828114933</v>
      </c>
      <c r="F29" s="5">
        <f>852/41.16</f>
        <v>20.699708454810498</v>
      </c>
      <c r="G29" s="5">
        <f>2728/145.12</f>
        <v>18.798235942668136</v>
      </c>
      <c r="H29" s="5">
        <f>8798/502.36</f>
        <v>17.513337049128115</v>
      </c>
      <c r="I29" s="5">
        <f>23599/588.05</f>
        <v>40.130941246492647</v>
      </c>
      <c r="K29" s="3"/>
    </row>
    <row r="30" spans="1:11" x14ac:dyDescent="0.25">
      <c r="A30" s="6"/>
      <c r="B30" s="6" t="s">
        <v>13</v>
      </c>
      <c r="C30" s="5">
        <f>425/76.74</f>
        <v>5.5381808704717228</v>
      </c>
      <c r="D30" s="5">
        <f>138/161.73</f>
        <v>0.85327397514375813</v>
      </c>
      <c r="E30" s="5">
        <f>40/77.61</f>
        <v>0.51539750032212339</v>
      </c>
      <c r="F30" s="5">
        <f>17/41.16</f>
        <v>0.41302235179786201</v>
      </c>
      <c r="G30" s="5">
        <f>149/145.12</f>
        <v>1.0267364939360528</v>
      </c>
      <c r="H30" s="5">
        <f>769/502.36</f>
        <v>1.5307747432120391</v>
      </c>
      <c r="I30" s="5">
        <f>170/588.05</f>
        <v>0.28909106368506082</v>
      </c>
      <c r="K30" s="3"/>
    </row>
    <row r="31" spans="1:11" x14ac:dyDescent="0.25">
      <c r="A31" s="6"/>
      <c r="B31" s="6" t="s">
        <v>15</v>
      </c>
      <c r="C31" s="5">
        <f>12/76.74</f>
        <v>0.15637216575449572</v>
      </c>
      <c r="D31" s="5">
        <f>158/161.73</f>
        <v>0.97693687009212893</v>
      </c>
      <c r="E31" s="5">
        <f>153/77.61</f>
        <v>1.9713954387321222</v>
      </c>
      <c r="F31" s="5">
        <f>341/41.16</f>
        <v>8.2847424684159385</v>
      </c>
      <c r="G31" s="5">
        <f>462/145.12</f>
        <v>3.1835722160970232</v>
      </c>
      <c r="H31" s="5">
        <f>1126/502.36</f>
        <v>2.2414204952623615</v>
      </c>
      <c r="I31" s="5">
        <f>2249/588.05</f>
        <v>3.8245047189864811</v>
      </c>
      <c r="K31" s="3"/>
    </row>
    <row r="32" spans="1:11" x14ac:dyDescent="0.25">
      <c r="A32" s="6"/>
      <c r="B32" s="8" t="s">
        <v>9</v>
      </c>
      <c r="C32" s="5">
        <f>87/76.74</f>
        <v>1.1336982017200938</v>
      </c>
      <c r="D32" s="5">
        <f>43/161.73</f>
        <v>0.26587522413899711</v>
      </c>
      <c r="E32" s="5">
        <f>43/77.61</f>
        <v>0.55405231284628265</v>
      </c>
      <c r="F32" s="5">
        <f>42/41.16</f>
        <v>1.0204081632653061</v>
      </c>
      <c r="G32" s="5">
        <f>448/145.12</f>
        <v>3.0871003307607494</v>
      </c>
      <c r="H32" s="5">
        <f>663/502.36</f>
        <v>1.3197706823791704</v>
      </c>
      <c r="I32" s="9">
        <f>2144/588.05</f>
        <v>3.6459484737692378</v>
      </c>
      <c r="K32" s="3"/>
    </row>
    <row r="33" spans="1:11" x14ac:dyDescent="0.25">
      <c r="A33" s="6"/>
      <c r="B33" s="8" t="s">
        <v>16</v>
      </c>
      <c r="C33" s="5">
        <f>1506/76.74</f>
        <v>19.624706802189213</v>
      </c>
      <c r="D33" s="5">
        <f>2525/161.73</f>
        <v>15.612440487231806</v>
      </c>
      <c r="E33" s="5">
        <f>1237/77.61</f>
        <v>15.938667697461668</v>
      </c>
      <c r="F33" s="5">
        <f>454/41.16</f>
        <v>11.030126336248786</v>
      </c>
      <c r="G33" s="5">
        <f>2833/145.12</f>
        <v>19.521775082690187</v>
      </c>
      <c r="H33" s="5">
        <f>8555/502.36</f>
        <v>17.029620192690501</v>
      </c>
      <c r="I33" s="5">
        <f>10063/588.05</f>
        <v>17.112490434486865</v>
      </c>
      <c r="K33" s="3"/>
    </row>
    <row r="34" spans="1:11" x14ac:dyDescent="0.25">
      <c r="A34" s="6"/>
      <c r="B34" s="8" t="s">
        <v>19</v>
      </c>
      <c r="C34" s="5">
        <v>0</v>
      </c>
      <c r="D34" s="5">
        <f>9/161.73</f>
        <v>5.5648302726766838E-2</v>
      </c>
      <c r="E34" s="5">
        <f>44/77.61</f>
        <v>0.56693725035433573</v>
      </c>
      <c r="F34" s="5">
        <f>45/41.16</f>
        <v>1.0932944606413995</v>
      </c>
      <c r="G34" s="5">
        <f>183/145.12</f>
        <v>1.2610253583241455</v>
      </c>
      <c r="H34" s="5">
        <f>281/502.36</f>
        <v>0.5593598216418505</v>
      </c>
      <c r="I34" s="5">
        <f>1535/588.05</f>
        <v>2.6103222515092255</v>
      </c>
      <c r="K34" s="3"/>
    </row>
    <row r="35" spans="1:11" x14ac:dyDescent="0.25">
      <c r="A35" s="6"/>
      <c r="B35" s="6" t="s">
        <v>17</v>
      </c>
      <c r="C35" s="5">
        <f>3/76.74</f>
        <v>3.9093041438623931E-2</v>
      </c>
      <c r="D35" s="5">
        <f>210/161.73</f>
        <v>1.2984603969578929</v>
      </c>
      <c r="E35" s="5">
        <f>331/77.61</f>
        <v>4.2649143151655711</v>
      </c>
      <c r="F35" s="5">
        <f>253/41.16</f>
        <v>6.146744412050535</v>
      </c>
      <c r="G35" s="5">
        <f>783/145.12</f>
        <v>5.3955347298787206</v>
      </c>
      <c r="H35" s="5">
        <f>1580/502.36</f>
        <v>3.145154869018234</v>
      </c>
      <c r="I35" s="5">
        <f>7523/588.05</f>
        <v>12.793129835898309</v>
      </c>
      <c r="K35" s="3"/>
    </row>
    <row r="36" spans="1:11" x14ac:dyDescent="0.25">
      <c r="A36" s="6"/>
      <c r="B36" s="6" t="s">
        <v>18</v>
      </c>
      <c r="C36" s="5">
        <v>0</v>
      </c>
      <c r="D36" s="5">
        <v>0</v>
      </c>
      <c r="E36" s="5">
        <f>21/77.61</f>
        <v>0.27058368766911478</v>
      </c>
      <c r="F36" s="5">
        <f>39/41.16</f>
        <v>0.94752186588921294</v>
      </c>
      <c r="G36" s="5">
        <f>245/145.12</f>
        <v>1.688257993384785</v>
      </c>
      <c r="H36" s="5">
        <f>305/502.36</f>
        <v>0.60713432598136796</v>
      </c>
      <c r="I36" s="5">
        <f>2069/588.05</f>
        <v>3.5184082986140637</v>
      </c>
      <c r="K36" s="3"/>
    </row>
    <row r="37" spans="1:11" x14ac:dyDescent="0.25">
      <c r="A37" s="6"/>
      <c r="B37" s="8" t="s">
        <v>20</v>
      </c>
      <c r="C37" s="5">
        <f>15/76.74</f>
        <v>0.19546520719311963</v>
      </c>
      <c r="D37" s="5">
        <f>2/161.73</f>
        <v>1.2366289494837075E-2</v>
      </c>
      <c r="E37" s="5">
        <f>8/77.61</f>
        <v>0.10307950006442469</v>
      </c>
      <c r="F37" s="5">
        <f>6/41.16</f>
        <v>0.1457725947521866</v>
      </c>
      <c r="G37" s="5">
        <f>65/145.12</f>
        <v>0.44790518191841233</v>
      </c>
      <c r="H37" s="5">
        <f>96/502.36</f>
        <v>0.19109801735806992</v>
      </c>
      <c r="I37" s="5">
        <f>104/588.05</f>
        <v>0.17685570954850779</v>
      </c>
      <c r="K37" s="3"/>
    </row>
    <row r="38" spans="1:11" x14ac:dyDescent="0.25">
      <c r="A38" s="6"/>
      <c r="B38" s="8" t="s">
        <v>21</v>
      </c>
      <c r="C38" s="5">
        <v>0</v>
      </c>
      <c r="D38" s="5">
        <f>1/161.73</f>
        <v>6.1831447474185374E-3</v>
      </c>
      <c r="E38" s="5">
        <f>8/77.61</f>
        <v>0.10307950006442469</v>
      </c>
      <c r="F38" s="5">
        <f>7/41.16</f>
        <v>0.17006802721088438</v>
      </c>
      <c r="G38" s="5">
        <f>22/145.12</f>
        <v>0.15159867695700111</v>
      </c>
      <c r="H38" s="5">
        <f>38/502.36</f>
        <v>7.564296520423601E-2</v>
      </c>
      <c r="I38" s="5">
        <f>156/588.05</f>
        <v>0.26528356432276168</v>
      </c>
      <c r="K38" s="3"/>
    </row>
    <row r="39" spans="1:11" x14ac:dyDescent="0.25">
      <c r="A39" s="6"/>
      <c r="B39" s="8" t="s">
        <v>22</v>
      </c>
      <c r="C39" s="5">
        <f>1/76.74</f>
        <v>1.3031013812874642E-2</v>
      </c>
      <c r="D39" s="5">
        <f>20/161.73</f>
        <v>0.12366289494837075</v>
      </c>
      <c r="E39" s="5">
        <f>13/77.61</f>
        <v>0.16750418760469013</v>
      </c>
      <c r="F39" s="5">
        <f>5/41.16</f>
        <v>0.12147716229348883</v>
      </c>
      <c r="G39" s="5">
        <f>114/145.12</f>
        <v>0.78555678059536937</v>
      </c>
      <c r="H39" s="5">
        <f>153/502.36</f>
        <v>0.30456246516442392</v>
      </c>
      <c r="I39" s="5">
        <f>146/588.05</f>
        <v>0.24827820763540517</v>
      </c>
      <c r="K39" s="3"/>
    </row>
    <row r="40" spans="1:11" x14ac:dyDescent="0.25">
      <c r="K40" s="3"/>
    </row>
    <row r="41" spans="1:11" x14ac:dyDescent="0.25">
      <c r="K41" s="3"/>
    </row>
    <row r="42" spans="1:11" x14ac:dyDescent="0.25">
      <c r="K42" s="3"/>
    </row>
    <row r="43" spans="1:11" x14ac:dyDescent="0.25">
      <c r="K43" s="3"/>
    </row>
    <row r="44" spans="1:11" x14ac:dyDescent="0.25">
      <c r="K44" s="3"/>
    </row>
    <row r="45" spans="1:11" x14ac:dyDescent="0.25">
      <c r="K45" s="3"/>
    </row>
    <row r="46" spans="1:11" x14ac:dyDescent="0.25">
      <c r="K46" s="3"/>
    </row>
    <row r="47" spans="1:11" x14ac:dyDescent="0.25">
      <c r="K47" s="3"/>
    </row>
    <row r="48" spans="1:11" x14ac:dyDescent="0.25">
      <c r="K48" s="3"/>
    </row>
    <row r="49" spans="11:11" x14ac:dyDescent="0.25">
      <c r="K49" s="3"/>
    </row>
    <row r="50" spans="11:11" x14ac:dyDescent="0.25">
      <c r="K50" s="3"/>
    </row>
  </sheetData>
  <mergeCells count="10">
    <mergeCell ref="A23:B24"/>
    <mergeCell ref="C23:G23"/>
    <mergeCell ref="H23:H24"/>
    <mergeCell ref="C24:D24"/>
    <mergeCell ref="F24:G24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K1" sqref="K1:K1048576"/>
    </sheetView>
  </sheetViews>
  <sheetFormatPr defaultRowHeight="15" x14ac:dyDescent="0.25"/>
  <cols>
    <col min="2" max="2" width="21.7109375" customWidth="1"/>
    <col min="3" max="3" width="9.7109375" bestFit="1" customWidth="1"/>
    <col min="4" max="4" width="9.5703125" bestFit="1" customWidth="1"/>
    <col min="5" max="5" width="9.7109375" bestFit="1" customWidth="1"/>
    <col min="6" max="6" width="11" bestFit="1" customWidth="1"/>
    <col min="7" max="8" width="11.140625" bestFit="1" customWidth="1"/>
    <col min="9" max="9" width="17.42578125" bestFit="1" customWidth="1"/>
  </cols>
  <sheetData>
    <row r="1" spans="1:11" x14ac:dyDescent="0.25">
      <c r="A1" s="12" t="s">
        <v>27</v>
      </c>
      <c r="B1" s="12"/>
      <c r="C1" s="11" t="s">
        <v>0</v>
      </c>
      <c r="D1" s="11"/>
      <c r="E1" s="11"/>
      <c r="F1" s="11"/>
      <c r="G1" s="11"/>
      <c r="H1" s="11" t="s">
        <v>25</v>
      </c>
      <c r="I1" s="5" t="s">
        <v>8</v>
      </c>
      <c r="K1" s="3"/>
    </row>
    <row r="2" spans="1:11" x14ac:dyDescent="0.25">
      <c r="A2" s="12"/>
      <c r="B2" s="12"/>
      <c r="C2" s="11" t="s">
        <v>1</v>
      </c>
      <c r="D2" s="11"/>
      <c r="E2" s="5" t="s">
        <v>4</v>
      </c>
      <c r="F2" s="11" t="s">
        <v>5</v>
      </c>
      <c r="G2" s="11"/>
      <c r="H2" s="11"/>
      <c r="I2" s="5"/>
      <c r="K2" s="3"/>
    </row>
    <row r="3" spans="1:11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K3" s="3"/>
    </row>
    <row r="4" spans="1:11" x14ac:dyDescent="0.25">
      <c r="A4" s="6"/>
      <c r="B4" s="6" t="s">
        <v>28</v>
      </c>
      <c r="C4" s="5"/>
      <c r="D4" s="5"/>
      <c r="E4" s="5"/>
      <c r="F4" s="5"/>
      <c r="G4" s="5"/>
      <c r="H4" s="5"/>
      <c r="I4" s="5">
        <v>96</v>
      </c>
      <c r="K4" s="3"/>
    </row>
    <row r="5" spans="1:11" x14ac:dyDescent="0.25">
      <c r="A5" s="6"/>
      <c r="B5" s="6" t="s">
        <v>32</v>
      </c>
      <c r="C5" s="5"/>
      <c r="D5" s="5"/>
      <c r="E5" s="5"/>
      <c r="F5" s="5"/>
      <c r="G5" s="5"/>
      <c r="H5" s="5"/>
      <c r="I5" s="5">
        <v>637</v>
      </c>
      <c r="K5" s="3"/>
    </row>
    <row r="6" spans="1:11" x14ac:dyDescent="0.25">
      <c r="A6" s="6"/>
      <c r="B6" s="6" t="s">
        <v>29</v>
      </c>
      <c r="C6" s="5"/>
      <c r="D6" s="5"/>
      <c r="E6" s="5"/>
      <c r="F6" s="5"/>
      <c r="G6" s="5"/>
      <c r="H6" s="5"/>
      <c r="I6" s="5">
        <v>544</v>
      </c>
      <c r="K6" s="3"/>
    </row>
    <row r="7" spans="1:11" x14ac:dyDescent="0.25">
      <c r="A7" s="6"/>
      <c r="B7" s="6" t="s">
        <v>34</v>
      </c>
      <c r="C7" s="5"/>
      <c r="D7" s="5"/>
      <c r="E7" s="5"/>
      <c r="F7" s="5"/>
      <c r="G7" s="5"/>
      <c r="H7" s="5"/>
      <c r="I7" s="5">
        <v>4672</v>
      </c>
      <c r="K7" s="3"/>
    </row>
    <row r="8" spans="1:11" x14ac:dyDescent="0.25">
      <c r="A8" s="6"/>
      <c r="B8" s="6" t="s">
        <v>30</v>
      </c>
      <c r="C8" s="5"/>
      <c r="D8" s="5"/>
      <c r="E8" s="5"/>
      <c r="F8" s="5"/>
      <c r="G8" s="5"/>
      <c r="H8" s="5"/>
      <c r="I8" s="5">
        <v>10272</v>
      </c>
      <c r="K8" s="3"/>
    </row>
    <row r="9" spans="1:11" x14ac:dyDescent="0.25">
      <c r="A9" s="6"/>
      <c r="B9" s="6" t="s">
        <v>35</v>
      </c>
      <c r="C9" s="5"/>
      <c r="D9" s="5"/>
      <c r="E9" s="5"/>
      <c r="F9" s="5"/>
      <c r="G9" s="5"/>
      <c r="H9" s="5"/>
      <c r="I9" s="5">
        <v>280</v>
      </c>
      <c r="K9" s="3"/>
    </row>
    <row r="10" spans="1:11" x14ac:dyDescent="0.25">
      <c r="A10" s="6"/>
      <c r="B10" s="8" t="s">
        <v>31</v>
      </c>
      <c r="C10" s="5"/>
      <c r="D10" s="5"/>
      <c r="E10" s="5"/>
      <c r="F10" s="5"/>
      <c r="G10" s="5"/>
      <c r="H10" s="5"/>
      <c r="I10" s="9">
        <v>39</v>
      </c>
      <c r="K10" s="3"/>
    </row>
    <row r="11" spans="1:11" x14ac:dyDescent="0.25">
      <c r="A11" s="6"/>
      <c r="B11" s="8" t="s">
        <v>36</v>
      </c>
      <c r="C11" s="5"/>
      <c r="D11" s="5"/>
      <c r="E11" s="5"/>
      <c r="F11" s="5"/>
      <c r="G11" s="5"/>
      <c r="H11" s="5"/>
      <c r="I11" s="5">
        <v>36040</v>
      </c>
      <c r="K11" s="3"/>
    </row>
    <row r="12" spans="1:11" x14ac:dyDescent="0.25">
      <c r="A12" s="6"/>
      <c r="B12" s="8" t="s">
        <v>22</v>
      </c>
      <c r="C12" s="5"/>
      <c r="D12" s="5"/>
      <c r="E12" s="5"/>
      <c r="F12" s="5"/>
      <c r="G12" s="5"/>
      <c r="H12" s="5"/>
      <c r="I12" s="5">
        <v>128</v>
      </c>
      <c r="K12" s="3"/>
    </row>
    <row r="13" spans="1:11" x14ac:dyDescent="0.25">
      <c r="A13" s="6"/>
      <c r="B13" s="8" t="s">
        <v>37</v>
      </c>
      <c r="C13" s="5"/>
      <c r="D13" s="5"/>
      <c r="E13" s="5"/>
      <c r="F13" s="5"/>
      <c r="G13" s="5"/>
      <c r="H13" s="5"/>
      <c r="I13" s="5">
        <v>3045</v>
      </c>
      <c r="K13" s="3"/>
    </row>
    <row r="14" spans="1:11" x14ac:dyDescent="0.25">
      <c r="A14" s="6"/>
      <c r="B14" s="8" t="s">
        <v>38</v>
      </c>
      <c r="C14" s="5"/>
      <c r="D14" s="5"/>
      <c r="E14" s="5"/>
      <c r="F14" s="5"/>
      <c r="G14" s="5"/>
      <c r="H14" s="5"/>
      <c r="I14" s="5">
        <v>2857</v>
      </c>
      <c r="K14" s="3"/>
    </row>
    <row r="15" spans="1:11" x14ac:dyDescent="0.25">
      <c r="A15" s="6"/>
      <c r="B15" s="8" t="s">
        <v>39</v>
      </c>
      <c r="C15" s="5"/>
      <c r="D15" s="5"/>
      <c r="E15" s="5"/>
      <c r="F15" s="5"/>
      <c r="G15" s="5"/>
      <c r="H15" s="5"/>
      <c r="I15" s="5">
        <v>143</v>
      </c>
    </row>
    <row r="16" spans="1:11" x14ac:dyDescent="0.25">
      <c r="A16" s="6"/>
      <c r="B16" s="8" t="s">
        <v>23</v>
      </c>
      <c r="C16" s="5"/>
      <c r="D16" s="5"/>
      <c r="E16" s="5"/>
      <c r="F16" s="5"/>
      <c r="G16" s="5"/>
      <c r="H16" s="5"/>
      <c r="I16" s="5">
        <v>52</v>
      </c>
    </row>
    <row r="17" spans="1:21" x14ac:dyDescent="0.25">
      <c r="A17" s="6"/>
      <c r="B17" s="8" t="s">
        <v>26</v>
      </c>
      <c r="C17" s="5">
        <f t="shared" ref="C17:I17" si="0">SUM(C4:C16)</f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  <c r="H17" s="5">
        <f t="shared" si="0"/>
        <v>0</v>
      </c>
      <c r="I17" s="5">
        <f t="shared" si="0"/>
        <v>58805</v>
      </c>
    </row>
    <row r="19" spans="1:21" x14ac:dyDescent="0.25">
      <c r="U19" t="s">
        <v>33</v>
      </c>
    </row>
  </sheetData>
  <mergeCells count="5"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HV201DWS</vt:lpstr>
      <vt:lpstr>HV202NDWS</vt:lpstr>
      <vt:lpstr>Toilet Facility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2017-09-15T22:15:42Z</dcterms:created>
  <dcterms:modified xsi:type="dcterms:W3CDTF">2017-09-17T07:29:58Z</dcterms:modified>
</cp:coreProperties>
</file>