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i Pranav\Desktop\NFHS Indexes\"/>
    </mc:Choice>
  </mc:AlternateContent>
  <bookViews>
    <workbookView xWindow="0" yWindow="0" windowWidth="20490" windowHeight="8235" firstSheet="26" activeTab="29"/>
  </bookViews>
  <sheets>
    <sheet name="HV201DWS" sheetId="1" r:id="rId1"/>
    <sheet name="HV202NDWS" sheetId="2" r:id="rId2"/>
    <sheet name="HV205Toilet Facility" sheetId="3" r:id="rId3"/>
    <sheet name="HV206HouseholdElectrification" sheetId="4" r:id="rId4"/>
    <sheet name="HV207Radio" sheetId="5" r:id="rId5"/>
    <sheet name="HV208Television" sheetId="6" r:id="rId6"/>
    <sheet name="HV209Refigerator" sheetId="8" r:id="rId7"/>
    <sheet name="HV210Bicycle" sheetId="7" r:id="rId8"/>
    <sheet name="HV211Motorcycle" sheetId="9" r:id="rId9"/>
    <sheet name="HV212Car" sheetId="10" r:id="rId10"/>
    <sheet name="HV221Telephone" sheetId="11" r:id="rId11"/>
    <sheet name="HV243AMobile" sheetId="12" r:id="rId12"/>
    <sheet name="HV243BWatch" sheetId="13" r:id="rId13"/>
    <sheet name="HV243CAnimalCart" sheetId="14" r:id="rId14"/>
    <sheet name="SH47BMatress" sheetId="15" r:id="rId15"/>
    <sheet name="SH47CPressureCooker" sheetId="16" r:id="rId16"/>
    <sheet name="SH47DChair" sheetId="17" r:id="rId17"/>
    <sheet name="SH47ECot" sheetId="18" r:id="rId18"/>
    <sheet name="SH47FTable" sheetId="19" r:id="rId19"/>
    <sheet name="SH47GFan" sheetId="20" r:id="rId20"/>
    <sheet name="SH47IB&amp;WTelevision" sheetId="21" r:id="rId21"/>
    <sheet name="SH47JColorTelevision" sheetId="22" r:id="rId22"/>
    <sheet name="SH47KSewingMachine" sheetId="23" r:id="rId23"/>
    <sheet name="SH47NComputer" sheetId="24" r:id="rId24"/>
    <sheet name="SH47UWaterPump" sheetId="25" r:id="rId25"/>
    <sheet name="SH47VThresher" sheetId="26" r:id="rId26"/>
    <sheet name="SH47WTractor" sheetId="27" r:id="rId27"/>
    <sheet name="HV226CookingFuel" sheetId="28" r:id="rId28"/>
    <sheet name="HV213MainFloorMaterial" sheetId="29" r:id="rId29"/>
    <sheet name="HV214MainWallMaterial" sheetId="30" r:id="rId3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30" l="1"/>
  <c r="C44" i="30"/>
  <c r="C45" i="30"/>
  <c r="C46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4" i="30"/>
  <c r="H29" i="30" s="1"/>
  <c r="C43" i="30"/>
  <c r="C42" i="30"/>
  <c r="C41" i="30"/>
  <c r="C40" i="30"/>
  <c r="C39" i="30"/>
  <c r="C38" i="30"/>
  <c r="C37" i="30"/>
  <c r="C36" i="30"/>
  <c r="C35" i="30"/>
  <c r="C34" i="30"/>
  <c r="C33" i="30"/>
  <c r="C32" i="30"/>
  <c r="C31" i="30"/>
  <c r="C30" i="30"/>
  <c r="I29" i="30"/>
  <c r="G29" i="30"/>
  <c r="F29" i="30"/>
  <c r="E29" i="30"/>
  <c r="D29" i="30"/>
  <c r="C29" i="30"/>
  <c r="I22" i="30"/>
  <c r="G22" i="30"/>
  <c r="F22" i="30"/>
  <c r="E22" i="30"/>
  <c r="D22" i="30"/>
  <c r="C22" i="30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26" i="29"/>
  <c r="H14" i="29"/>
  <c r="H13" i="29"/>
  <c r="H12" i="29"/>
  <c r="H11" i="29"/>
  <c r="H10" i="29"/>
  <c r="F27" i="29"/>
  <c r="F28" i="29"/>
  <c r="F29" i="29"/>
  <c r="F30" i="29"/>
  <c r="F31" i="29"/>
  <c r="F32" i="29"/>
  <c r="F33" i="29"/>
  <c r="F34" i="29"/>
  <c r="F35" i="29"/>
  <c r="F36" i="29"/>
  <c r="F37" i="29"/>
  <c r="F38" i="29"/>
  <c r="F39" i="29"/>
  <c r="F40" i="29"/>
  <c r="F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26" i="29"/>
  <c r="I19" i="29"/>
  <c r="G19" i="29"/>
  <c r="F19" i="29"/>
  <c r="E19" i="29"/>
  <c r="D19" i="29"/>
  <c r="C19" i="29"/>
  <c r="H18" i="29"/>
  <c r="H17" i="29"/>
  <c r="H16" i="29"/>
  <c r="H15" i="29"/>
  <c r="H9" i="29"/>
  <c r="H8" i="29"/>
  <c r="H7" i="29"/>
  <c r="H6" i="29"/>
  <c r="H5" i="29"/>
  <c r="H4" i="29"/>
  <c r="H24" i="28"/>
  <c r="H25" i="28"/>
  <c r="H26" i="28"/>
  <c r="H27" i="28"/>
  <c r="H28" i="28"/>
  <c r="H29" i="28"/>
  <c r="H30" i="28"/>
  <c r="H31" i="28"/>
  <c r="H32" i="28"/>
  <c r="H33" i="28"/>
  <c r="H34" i="28"/>
  <c r="H23" i="28"/>
  <c r="G24" i="28"/>
  <c r="G25" i="28"/>
  <c r="G26" i="28"/>
  <c r="G27" i="28"/>
  <c r="G28" i="28"/>
  <c r="G29" i="28"/>
  <c r="G30" i="28"/>
  <c r="G31" i="28"/>
  <c r="G32" i="28"/>
  <c r="G33" i="28"/>
  <c r="G34" i="28"/>
  <c r="G23" i="28"/>
  <c r="C24" i="28"/>
  <c r="C25" i="28"/>
  <c r="C26" i="28"/>
  <c r="C27" i="28"/>
  <c r="C28" i="28"/>
  <c r="C29" i="28"/>
  <c r="C30" i="28"/>
  <c r="C31" i="28"/>
  <c r="C32" i="28"/>
  <c r="C33" i="28"/>
  <c r="C34" i="28"/>
  <c r="C23" i="28"/>
  <c r="D24" i="28"/>
  <c r="D25" i="28"/>
  <c r="D26" i="28"/>
  <c r="D27" i="28"/>
  <c r="D28" i="28"/>
  <c r="D29" i="28"/>
  <c r="D30" i="28"/>
  <c r="D31" i="28"/>
  <c r="D32" i="28"/>
  <c r="D33" i="28"/>
  <c r="D34" i="28"/>
  <c r="D23" i="28"/>
  <c r="F24" i="28"/>
  <c r="F25" i="28"/>
  <c r="F26" i="28"/>
  <c r="F27" i="28"/>
  <c r="F28" i="28"/>
  <c r="F29" i="28"/>
  <c r="F30" i="28"/>
  <c r="F31" i="28"/>
  <c r="F32" i="28"/>
  <c r="F33" i="28"/>
  <c r="F34" i="28"/>
  <c r="F23" i="28"/>
  <c r="E24" i="28"/>
  <c r="E25" i="28"/>
  <c r="E26" i="28"/>
  <c r="E27" i="28"/>
  <c r="E28" i="28"/>
  <c r="E29" i="28"/>
  <c r="E30" i="28"/>
  <c r="E31" i="28"/>
  <c r="E32" i="28"/>
  <c r="E33" i="28"/>
  <c r="E34" i="28"/>
  <c r="E23" i="28"/>
  <c r="I24" i="28"/>
  <c r="I25" i="28"/>
  <c r="I26" i="28"/>
  <c r="I27" i="28"/>
  <c r="I28" i="28"/>
  <c r="I29" i="28"/>
  <c r="I30" i="28"/>
  <c r="I31" i="28"/>
  <c r="I32" i="28"/>
  <c r="I33" i="28"/>
  <c r="I34" i="28"/>
  <c r="I23" i="28"/>
  <c r="I16" i="28"/>
  <c r="G16" i="28"/>
  <c r="F16" i="28"/>
  <c r="E16" i="28"/>
  <c r="D16" i="28"/>
  <c r="C16" i="28"/>
  <c r="H15" i="28"/>
  <c r="H14" i="28"/>
  <c r="H13" i="28"/>
  <c r="H12" i="28"/>
  <c r="H11" i="28"/>
  <c r="H10" i="28"/>
  <c r="H9" i="28"/>
  <c r="H8" i="28"/>
  <c r="H7" i="28"/>
  <c r="H6" i="28"/>
  <c r="H5" i="28"/>
  <c r="H4" i="28"/>
  <c r="I16" i="27"/>
  <c r="G16" i="27"/>
  <c r="F16" i="27"/>
  <c r="E16" i="27"/>
  <c r="D16" i="27"/>
  <c r="C16" i="27"/>
  <c r="I15" i="27"/>
  <c r="G15" i="27"/>
  <c r="F15" i="27"/>
  <c r="E15" i="27"/>
  <c r="D15" i="27"/>
  <c r="C15" i="27"/>
  <c r="I14" i="27"/>
  <c r="G14" i="27"/>
  <c r="F14" i="27"/>
  <c r="E14" i="27"/>
  <c r="D14" i="27"/>
  <c r="C14" i="27"/>
  <c r="I7" i="27"/>
  <c r="G7" i="27"/>
  <c r="F7" i="27"/>
  <c r="E7" i="27"/>
  <c r="D7" i="27"/>
  <c r="C7" i="27"/>
  <c r="H6" i="27"/>
  <c r="H16" i="27" s="1"/>
  <c r="H5" i="27"/>
  <c r="H15" i="27" s="1"/>
  <c r="H4" i="27"/>
  <c r="I16" i="26"/>
  <c r="G16" i="26"/>
  <c r="F16" i="26"/>
  <c r="E16" i="26"/>
  <c r="D16" i="26"/>
  <c r="C16" i="26"/>
  <c r="I15" i="26"/>
  <c r="G15" i="26"/>
  <c r="F15" i="26"/>
  <c r="E15" i="26"/>
  <c r="D15" i="26"/>
  <c r="C15" i="26"/>
  <c r="I14" i="26"/>
  <c r="G14" i="26"/>
  <c r="F14" i="26"/>
  <c r="E14" i="26"/>
  <c r="D14" i="26"/>
  <c r="C14" i="26"/>
  <c r="I7" i="26"/>
  <c r="G7" i="26"/>
  <c r="F7" i="26"/>
  <c r="E7" i="26"/>
  <c r="D7" i="26"/>
  <c r="C7" i="26"/>
  <c r="H6" i="26"/>
  <c r="H16" i="26" s="1"/>
  <c r="H5" i="26"/>
  <c r="H15" i="26" s="1"/>
  <c r="H4" i="26"/>
  <c r="I16" i="25"/>
  <c r="G16" i="25"/>
  <c r="F16" i="25"/>
  <c r="E16" i="25"/>
  <c r="D16" i="25"/>
  <c r="C16" i="25"/>
  <c r="I15" i="25"/>
  <c r="G15" i="25"/>
  <c r="F15" i="25"/>
  <c r="E15" i="25"/>
  <c r="D15" i="25"/>
  <c r="C15" i="25"/>
  <c r="I14" i="25"/>
  <c r="G14" i="25"/>
  <c r="F14" i="25"/>
  <c r="E14" i="25"/>
  <c r="D14" i="25"/>
  <c r="C14" i="25"/>
  <c r="I7" i="25"/>
  <c r="G7" i="25"/>
  <c r="F7" i="25"/>
  <c r="E7" i="25"/>
  <c r="D7" i="25"/>
  <c r="C7" i="25"/>
  <c r="H6" i="25"/>
  <c r="H16" i="25" s="1"/>
  <c r="H5" i="25"/>
  <c r="H15" i="25" s="1"/>
  <c r="H4" i="25"/>
  <c r="I16" i="24"/>
  <c r="G16" i="24"/>
  <c r="F16" i="24"/>
  <c r="E16" i="24"/>
  <c r="D16" i="24"/>
  <c r="C16" i="24"/>
  <c r="I15" i="24"/>
  <c r="H15" i="24"/>
  <c r="G15" i="24"/>
  <c r="F15" i="24"/>
  <c r="E15" i="24"/>
  <c r="D15" i="24"/>
  <c r="C15" i="24"/>
  <c r="I14" i="24"/>
  <c r="G14" i="24"/>
  <c r="F14" i="24"/>
  <c r="E14" i="24"/>
  <c r="D14" i="24"/>
  <c r="C14" i="24"/>
  <c r="I7" i="24"/>
  <c r="G7" i="24"/>
  <c r="F7" i="24"/>
  <c r="E7" i="24"/>
  <c r="D7" i="24"/>
  <c r="C7" i="24"/>
  <c r="H6" i="24"/>
  <c r="H16" i="24" s="1"/>
  <c r="H5" i="24"/>
  <c r="H4" i="24"/>
  <c r="I16" i="23"/>
  <c r="G16" i="23"/>
  <c r="F16" i="23"/>
  <c r="E16" i="23"/>
  <c r="D16" i="23"/>
  <c r="C16" i="23"/>
  <c r="I15" i="23"/>
  <c r="H15" i="23"/>
  <c r="G15" i="23"/>
  <c r="F15" i="23"/>
  <c r="E15" i="23"/>
  <c r="D15" i="23"/>
  <c r="C15" i="23"/>
  <c r="I14" i="23"/>
  <c r="G14" i="23"/>
  <c r="F14" i="23"/>
  <c r="E14" i="23"/>
  <c r="D14" i="23"/>
  <c r="C14" i="23"/>
  <c r="I7" i="23"/>
  <c r="G7" i="23"/>
  <c r="F7" i="23"/>
  <c r="E7" i="23"/>
  <c r="D7" i="23"/>
  <c r="C7" i="23"/>
  <c r="H6" i="23"/>
  <c r="H16" i="23" s="1"/>
  <c r="H5" i="23"/>
  <c r="H4" i="23"/>
  <c r="H7" i="23" s="1"/>
  <c r="I16" i="22"/>
  <c r="G16" i="22"/>
  <c r="F16" i="22"/>
  <c r="E16" i="22"/>
  <c r="D16" i="22"/>
  <c r="C16" i="22"/>
  <c r="I15" i="22"/>
  <c r="G15" i="22"/>
  <c r="F15" i="22"/>
  <c r="E15" i="22"/>
  <c r="D15" i="22"/>
  <c r="C15" i="22"/>
  <c r="I14" i="22"/>
  <c r="G14" i="22"/>
  <c r="F14" i="22"/>
  <c r="E14" i="22"/>
  <c r="D14" i="22"/>
  <c r="C14" i="22"/>
  <c r="I7" i="22"/>
  <c r="G7" i="22"/>
  <c r="F7" i="22"/>
  <c r="E7" i="22"/>
  <c r="D7" i="22"/>
  <c r="C7" i="22"/>
  <c r="H6" i="22"/>
  <c r="H16" i="22" s="1"/>
  <c r="H5" i="22"/>
  <c r="H15" i="22" s="1"/>
  <c r="H4" i="22"/>
  <c r="H14" i="22" s="1"/>
  <c r="I16" i="21"/>
  <c r="G16" i="21"/>
  <c r="F16" i="21"/>
  <c r="E16" i="21"/>
  <c r="D16" i="21"/>
  <c r="C16" i="21"/>
  <c r="I15" i="21"/>
  <c r="G15" i="21"/>
  <c r="F15" i="21"/>
  <c r="E15" i="21"/>
  <c r="D15" i="21"/>
  <c r="C15" i="21"/>
  <c r="I14" i="21"/>
  <c r="G14" i="21"/>
  <c r="F14" i="21"/>
  <c r="E14" i="21"/>
  <c r="D14" i="21"/>
  <c r="C14" i="21"/>
  <c r="I7" i="21"/>
  <c r="G7" i="21"/>
  <c r="F7" i="21"/>
  <c r="E7" i="21"/>
  <c r="D7" i="21"/>
  <c r="C7" i="21"/>
  <c r="H6" i="21"/>
  <c r="H16" i="21" s="1"/>
  <c r="H5" i="21"/>
  <c r="H15" i="21" s="1"/>
  <c r="H4" i="21"/>
  <c r="I16" i="20"/>
  <c r="G16" i="20"/>
  <c r="F16" i="20"/>
  <c r="E16" i="20"/>
  <c r="D16" i="20"/>
  <c r="C16" i="20"/>
  <c r="I15" i="20"/>
  <c r="H15" i="20"/>
  <c r="G15" i="20"/>
  <c r="F15" i="20"/>
  <c r="E15" i="20"/>
  <c r="D15" i="20"/>
  <c r="C15" i="20"/>
  <c r="I14" i="20"/>
  <c r="G14" i="20"/>
  <c r="F14" i="20"/>
  <c r="E14" i="20"/>
  <c r="D14" i="20"/>
  <c r="C14" i="20"/>
  <c r="I7" i="20"/>
  <c r="G7" i="20"/>
  <c r="F7" i="20"/>
  <c r="E7" i="20"/>
  <c r="D7" i="20"/>
  <c r="C7" i="20"/>
  <c r="H6" i="20"/>
  <c r="H16" i="20" s="1"/>
  <c r="H5" i="20"/>
  <c r="H4" i="20"/>
  <c r="H7" i="20" s="1"/>
  <c r="I16" i="19"/>
  <c r="G16" i="19"/>
  <c r="F16" i="19"/>
  <c r="E16" i="19"/>
  <c r="D16" i="19"/>
  <c r="C16" i="19"/>
  <c r="I15" i="19"/>
  <c r="G15" i="19"/>
  <c r="F15" i="19"/>
  <c r="E15" i="19"/>
  <c r="D15" i="19"/>
  <c r="C15" i="19"/>
  <c r="I14" i="19"/>
  <c r="G14" i="19"/>
  <c r="F14" i="19"/>
  <c r="E14" i="19"/>
  <c r="D14" i="19"/>
  <c r="C14" i="19"/>
  <c r="I7" i="19"/>
  <c r="G7" i="19"/>
  <c r="F7" i="19"/>
  <c r="E7" i="19"/>
  <c r="D7" i="19"/>
  <c r="C7" i="19"/>
  <c r="H6" i="19"/>
  <c r="H16" i="19" s="1"/>
  <c r="H5" i="19"/>
  <c r="H15" i="19" s="1"/>
  <c r="H4" i="19"/>
  <c r="H14" i="19" s="1"/>
  <c r="I16" i="18"/>
  <c r="G16" i="18"/>
  <c r="F16" i="18"/>
  <c r="E16" i="18"/>
  <c r="D16" i="18"/>
  <c r="C16" i="18"/>
  <c r="I15" i="18"/>
  <c r="G15" i="18"/>
  <c r="F15" i="18"/>
  <c r="E15" i="18"/>
  <c r="D15" i="18"/>
  <c r="C15" i="18"/>
  <c r="I14" i="18"/>
  <c r="G14" i="18"/>
  <c r="F14" i="18"/>
  <c r="E14" i="18"/>
  <c r="D14" i="18"/>
  <c r="C14" i="18"/>
  <c r="I7" i="18"/>
  <c r="G7" i="18"/>
  <c r="F7" i="18"/>
  <c r="E7" i="18"/>
  <c r="D7" i="18"/>
  <c r="C7" i="18"/>
  <c r="H6" i="18"/>
  <c r="H16" i="18" s="1"/>
  <c r="H5" i="18"/>
  <c r="H15" i="18" s="1"/>
  <c r="H4" i="18"/>
  <c r="I16" i="17"/>
  <c r="G16" i="17"/>
  <c r="F16" i="17"/>
  <c r="E16" i="17"/>
  <c r="D16" i="17"/>
  <c r="C16" i="17"/>
  <c r="I15" i="17"/>
  <c r="G15" i="17"/>
  <c r="F15" i="17"/>
  <c r="E15" i="17"/>
  <c r="D15" i="17"/>
  <c r="C15" i="17"/>
  <c r="I14" i="17"/>
  <c r="G14" i="17"/>
  <c r="F14" i="17"/>
  <c r="E14" i="17"/>
  <c r="D14" i="17"/>
  <c r="C14" i="17"/>
  <c r="I7" i="17"/>
  <c r="G7" i="17"/>
  <c r="F7" i="17"/>
  <c r="E7" i="17"/>
  <c r="D7" i="17"/>
  <c r="C7" i="17"/>
  <c r="H6" i="17"/>
  <c r="H16" i="17" s="1"/>
  <c r="H5" i="17"/>
  <c r="H15" i="17" s="1"/>
  <c r="H4" i="17"/>
  <c r="H14" i="17" s="1"/>
  <c r="I16" i="16"/>
  <c r="G16" i="16"/>
  <c r="F16" i="16"/>
  <c r="E16" i="16"/>
  <c r="D16" i="16"/>
  <c r="C16" i="16"/>
  <c r="I15" i="16"/>
  <c r="G15" i="16"/>
  <c r="F15" i="16"/>
  <c r="E15" i="16"/>
  <c r="D15" i="16"/>
  <c r="C15" i="16"/>
  <c r="I14" i="16"/>
  <c r="G14" i="16"/>
  <c r="F14" i="16"/>
  <c r="E14" i="16"/>
  <c r="D14" i="16"/>
  <c r="C14" i="16"/>
  <c r="I7" i="16"/>
  <c r="G7" i="16"/>
  <c r="F7" i="16"/>
  <c r="E7" i="16"/>
  <c r="D7" i="16"/>
  <c r="C7" i="16"/>
  <c r="H6" i="16"/>
  <c r="H16" i="16" s="1"/>
  <c r="H5" i="16"/>
  <c r="H15" i="16" s="1"/>
  <c r="H4" i="16"/>
  <c r="I16" i="15"/>
  <c r="G16" i="15"/>
  <c r="F16" i="15"/>
  <c r="E16" i="15"/>
  <c r="D16" i="15"/>
  <c r="C16" i="15"/>
  <c r="I15" i="15"/>
  <c r="H15" i="15"/>
  <c r="G15" i="15"/>
  <c r="F15" i="15"/>
  <c r="E15" i="15"/>
  <c r="D15" i="15"/>
  <c r="C15" i="15"/>
  <c r="I14" i="15"/>
  <c r="G14" i="15"/>
  <c r="F14" i="15"/>
  <c r="E14" i="15"/>
  <c r="D14" i="15"/>
  <c r="C14" i="15"/>
  <c r="I7" i="15"/>
  <c r="G7" i="15"/>
  <c r="F7" i="15"/>
  <c r="E7" i="15"/>
  <c r="D7" i="15"/>
  <c r="C7" i="15"/>
  <c r="H6" i="15"/>
  <c r="H16" i="15" s="1"/>
  <c r="H5" i="15"/>
  <c r="H4" i="15"/>
  <c r="H7" i="15" s="1"/>
  <c r="I16" i="14"/>
  <c r="G16" i="14"/>
  <c r="F16" i="14"/>
  <c r="E16" i="14"/>
  <c r="D16" i="14"/>
  <c r="C16" i="14"/>
  <c r="I15" i="14"/>
  <c r="G15" i="14"/>
  <c r="F15" i="14"/>
  <c r="E15" i="14"/>
  <c r="D15" i="14"/>
  <c r="C15" i="14"/>
  <c r="I14" i="14"/>
  <c r="G14" i="14"/>
  <c r="F14" i="14"/>
  <c r="E14" i="14"/>
  <c r="D14" i="14"/>
  <c r="C14" i="14"/>
  <c r="I7" i="14"/>
  <c r="G7" i="14"/>
  <c r="F7" i="14"/>
  <c r="E7" i="14"/>
  <c r="D7" i="14"/>
  <c r="C7" i="14"/>
  <c r="H6" i="14"/>
  <c r="H16" i="14" s="1"/>
  <c r="H5" i="14"/>
  <c r="H15" i="14" s="1"/>
  <c r="H4" i="14"/>
  <c r="I16" i="13"/>
  <c r="G16" i="13"/>
  <c r="F16" i="13"/>
  <c r="E16" i="13"/>
  <c r="D16" i="13"/>
  <c r="C16" i="13"/>
  <c r="I15" i="13"/>
  <c r="G15" i="13"/>
  <c r="F15" i="13"/>
  <c r="E15" i="13"/>
  <c r="D15" i="13"/>
  <c r="C15" i="13"/>
  <c r="I14" i="13"/>
  <c r="G14" i="13"/>
  <c r="F14" i="13"/>
  <c r="E14" i="13"/>
  <c r="D14" i="13"/>
  <c r="C14" i="13"/>
  <c r="I7" i="13"/>
  <c r="G7" i="13"/>
  <c r="F7" i="13"/>
  <c r="E7" i="13"/>
  <c r="D7" i="13"/>
  <c r="C7" i="13"/>
  <c r="H6" i="13"/>
  <c r="H16" i="13" s="1"/>
  <c r="H5" i="13"/>
  <c r="H15" i="13" s="1"/>
  <c r="H4" i="13"/>
  <c r="I16" i="12"/>
  <c r="G16" i="12"/>
  <c r="F16" i="12"/>
  <c r="E16" i="12"/>
  <c r="D16" i="12"/>
  <c r="C16" i="12"/>
  <c r="I15" i="12"/>
  <c r="G15" i="12"/>
  <c r="F15" i="12"/>
  <c r="E15" i="12"/>
  <c r="D15" i="12"/>
  <c r="C15" i="12"/>
  <c r="I14" i="12"/>
  <c r="G14" i="12"/>
  <c r="F14" i="12"/>
  <c r="E14" i="12"/>
  <c r="D14" i="12"/>
  <c r="C14" i="12"/>
  <c r="I7" i="12"/>
  <c r="G7" i="12"/>
  <c r="F7" i="12"/>
  <c r="E7" i="12"/>
  <c r="D7" i="12"/>
  <c r="C7" i="12"/>
  <c r="H6" i="12"/>
  <c r="H16" i="12" s="1"/>
  <c r="H5" i="12"/>
  <c r="H15" i="12" s="1"/>
  <c r="H4" i="12"/>
  <c r="I16" i="11"/>
  <c r="G16" i="11"/>
  <c r="F16" i="11"/>
  <c r="E16" i="11"/>
  <c r="D16" i="11"/>
  <c r="C16" i="11"/>
  <c r="I15" i="11"/>
  <c r="G15" i="11"/>
  <c r="F15" i="11"/>
  <c r="E15" i="11"/>
  <c r="D15" i="11"/>
  <c r="C15" i="11"/>
  <c r="I14" i="11"/>
  <c r="G14" i="11"/>
  <c r="F14" i="11"/>
  <c r="E14" i="11"/>
  <c r="D14" i="11"/>
  <c r="C14" i="11"/>
  <c r="I7" i="11"/>
  <c r="G7" i="11"/>
  <c r="F7" i="11"/>
  <c r="E7" i="11"/>
  <c r="D7" i="11"/>
  <c r="C7" i="11"/>
  <c r="H6" i="11"/>
  <c r="H16" i="11" s="1"/>
  <c r="H5" i="11"/>
  <c r="H15" i="11" s="1"/>
  <c r="H4" i="11"/>
  <c r="I16" i="10"/>
  <c r="G16" i="10"/>
  <c r="F16" i="10"/>
  <c r="E16" i="10"/>
  <c r="D16" i="10"/>
  <c r="C16" i="10"/>
  <c r="I15" i="10"/>
  <c r="G15" i="10"/>
  <c r="F15" i="10"/>
  <c r="E15" i="10"/>
  <c r="D15" i="10"/>
  <c r="C15" i="10"/>
  <c r="I14" i="10"/>
  <c r="G14" i="10"/>
  <c r="F14" i="10"/>
  <c r="E14" i="10"/>
  <c r="D14" i="10"/>
  <c r="C14" i="10"/>
  <c r="I7" i="10"/>
  <c r="G7" i="10"/>
  <c r="F7" i="10"/>
  <c r="E7" i="10"/>
  <c r="D7" i="10"/>
  <c r="C7" i="10"/>
  <c r="H6" i="10"/>
  <c r="H16" i="10" s="1"/>
  <c r="H5" i="10"/>
  <c r="H15" i="10" s="1"/>
  <c r="H4" i="10"/>
  <c r="H15" i="9"/>
  <c r="H16" i="9"/>
  <c r="H14" i="9"/>
  <c r="G15" i="9"/>
  <c r="G16" i="9"/>
  <c r="G14" i="9"/>
  <c r="F15" i="9"/>
  <c r="F16" i="9"/>
  <c r="F14" i="9"/>
  <c r="E15" i="9"/>
  <c r="E16" i="9"/>
  <c r="E14" i="9"/>
  <c r="D15" i="9"/>
  <c r="D16" i="9"/>
  <c r="D14" i="9"/>
  <c r="D7" i="9"/>
  <c r="C15" i="9"/>
  <c r="C16" i="9"/>
  <c r="I14" i="9"/>
  <c r="C14" i="9"/>
  <c r="I16" i="9"/>
  <c r="I15" i="9"/>
  <c r="I7" i="9"/>
  <c r="G7" i="9"/>
  <c r="F7" i="9"/>
  <c r="E7" i="9"/>
  <c r="C7" i="9"/>
  <c r="H6" i="9"/>
  <c r="H5" i="9"/>
  <c r="H4" i="9"/>
  <c r="I16" i="7"/>
  <c r="I15" i="7"/>
  <c r="I14" i="7"/>
  <c r="H16" i="7"/>
  <c r="H15" i="7"/>
  <c r="H14" i="7"/>
  <c r="G16" i="7"/>
  <c r="G15" i="7"/>
  <c r="G14" i="7"/>
  <c r="F16" i="7"/>
  <c r="F15" i="7"/>
  <c r="F14" i="7"/>
  <c r="E15" i="7"/>
  <c r="E14" i="7"/>
  <c r="D16" i="7"/>
  <c r="D15" i="7"/>
  <c r="D14" i="7"/>
  <c r="C16" i="7"/>
  <c r="C15" i="7"/>
  <c r="C14" i="7"/>
  <c r="I16" i="8"/>
  <c r="H16" i="8"/>
  <c r="G16" i="8"/>
  <c r="F16" i="8"/>
  <c r="E16" i="8"/>
  <c r="D16" i="8"/>
  <c r="C16" i="8"/>
  <c r="I15" i="8"/>
  <c r="H15" i="8"/>
  <c r="G15" i="8"/>
  <c r="F15" i="8"/>
  <c r="E15" i="8"/>
  <c r="D15" i="8"/>
  <c r="C15" i="8"/>
  <c r="I14" i="8"/>
  <c r="H14" i="8"/>
  <c r="G14" i="8"/>
  <c r="F14" i="8"/>
  <c r="E14" i="8"/>
  <c r="D14" i="8"/>
  <c r="C14" i="8"/>
  <c r="I7" i="8"/>
  <c r="G7" i="8"/>
  <c r="F7" i="8"/>
  <c r="E7" i="8"/>
  <c r="D7" i="8"/>
  <c r="C7" i="8"/>
  <c r="H6" i="8"/>
  <c r="H5" i="8"/>
  <c r="H4" i="8"/>
  <c r="H7" i="8" s="1"/>
  <c r="E16" i="7"/>
  <c r="H5" i="7"/>
  <c r="H4" i="7"/>
  <c r="H6" i="7"/>
  <c r="I7" i="7"/>
  <c r="G7" i="7"/>
  <c r="F7" i="7"/>
  <c r="E7" i="7"/>
  <c r="D7" i="7"/>
  <c r="C7" i="7"/>
  <c r="I15" i="6"/>
  <c r="I14" i="6"/>
  <c r="H15" i="6"/>
  <c r="H14" i="6"/>
  <c r="G15" i="6"/>
  <c r="G14" i="6"/>
  <c r="F15" i="6"/>
  <c r="F14" i="6"/>
  <c r="E14" i="6"/>
  <c r="E15" i="6"/>
  <c r="D15" i="6"/>
  <c r="D14" i="6"/>
  <c r="C15" i="6"/>
  <c r="C14" i="6"/>
  <c r="I7" i="6"/>
  <c r="G7" i="6"/>
  <c r="F7" i="6"/>
  <c r="E7" i="6"/>
  <c r="D7" i="6"/>
  <c r="C7" i="6"/>
  <c r="H6" i="6"/>
  <c r="H5" i="6"/>
  <c r="H4" i="6"/>
  <c r="I16" i="5"/>
  <c r="I15" i="5"/>
  <c r="I14" i="5"/>
  <c r="H16" i="5"/>
  <c r="H15" i="5"/>
  <c r="H14" i="5"/>
  <c r="G16" i="5"/>
  <c r="G15" i="5"/>
  <c r="G14" i="5"/>
  <c r="F16" i="5"/>
  <c r="F15" i="5"/>
  <c r="F14" i="5"/>
  <c r="E16" i="5"/>
  <c r="E15" i="5"/>
  <c r="E14" i="5"/>
  <c r="D16" i="5"/>
  <c r="D15" i="5"/>
  <c r="D14" i="5"/>
  <c r="C16" i="5"/>
  <c r="C15" i="5"/>
  <c r="C14" i="5"/>
  <c r="H6" i="5"/>
  <c r="D7" i="5"/>
  <c r="E7" i="5"/>
  <c r="F7" i="5"/>
  <c r="G7" i="5"/>
  <c r="C7" i="5"/>
  <c r="I7" i="5"/>
  <c r="H5" i="5"/>
  <c r="H4" i="5"/>
  <c r="I16" i="4"/>
  <c r="I15" i="4"/>
  <c r="I14" i="4"/>
  <c r="H16" i="4"/>
  <c r="H15" i="4"/>
  <c r="H14" i="4"/>
  <c r="G16" i="4"/>
  <c r="G14" i="4"/>
  <c r="G15" i="4"/>
  <c r="F15" i="4"/>
  <c r="F14" i="4"/>
  <c r="E16" i="4"/>
  <c r="E15" i="4"/>
  <c r="E14" i="4"/>
  <c r="D16" i="4"/>
  <c r="D15" i="4"/>
  <c r="D14" i="4"/>
  <c r="C16" i="4"/>
  <c r="C15" i="4"/>
  <c r="C14" i="4"/>
  <c r="H5" i="4"/>
  <c r="H4" i="4"/>
  <c r="D7" i="4"/>
  <c r="E7" i="4"/>
  <c r="F7" i="4"/>
  <c r="G7" i="4"/>
  <c r="I7" i="4"/>
  <c r="C7" i="4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19" i="29" l="1"/>
  <c r="H16" i="28"/>
  <c r="H7" i="27"/>
  <c r="H14" i="27"/>
  <c r="H7" i="26"/>
  <c r="H14" i="26"/>
  <c r="H7" i="25"/>
  <c r="H14" i="25"/>
  <c r="H7" i="24"/>
  <c r="H14" i="24"/>
  <c r="H14" i="23"/>
  <c r="H7" i="22"/>
  <c r="H7" i="21"/>
  <c r="H14" i="21"/>
  <c r="H14" i="20"/>
  <c r="H7" i="19"/>
  <c r="H7" i="18"/>
  <c r="H14" i="18"/>
  <c r="H7" i="17"/>
  <c r="H7" i="16"/>
  <c r="H14" i="16"/>
  <c r="H14" i="15"/>
  <c r="H7" i="14"/>
  <c r="H14" i="14"/>
  <c r="H7" i="13"/>
  <c r="H14" i="13"/>
  <c r="H7" i="12"/>
  <c r="H14" i="12"/>
  <c r="H7" i="11"/>
  <c r="H14" i="11"/>
  <c r="H7" i="10"/>
  <c r="H14" i="10"/>
  <c r="H7" i="9"/>
  <c r="H7" i="7"/>
  <c r="H7" i="6"/>
  <c r="H7" i="5"/>
  <c r="H7" i="4"/>
  <c r="I17" i="3"/>
  <c r="G17" i="3"/>
  <c r="F17" i="3"/>
  <c r="E17" i="3"/>
  <c r="D17" i="3"/>
  <c r="C17" i="3"/>
  <c r="H17" i="3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D39" i="2"/>
  <c r="D38" i="2"/>
  <c r="D37" i="2"/>
  <c r="D35" i="2"/>
  <c r="D34" i="2"/>
  <c r="D33" i="2"/>
  <c r="D32" i="2"/>
  <c r="D31" i="2"/>
  <c r="D30" i="2"/>
  <c r="D29" i="2"/>
  <c r="D28" i="2"/>
  <c r="D27" i="2"/>
  <c r="C39" i="2"/>
  <c r="C37" i="2"/>
  <c r="C35" i="2"/>
  <c r="C33" i="2"/>
  <c r="C32" i="2"/>
  <c r="C31" i="2"/>
  <c r="C30" i="2"/>
  <c r="C29" i="2"/>
  <c r="C28" i="2"/>
  <c r="C27" i="2"/>
  <c r="I19" i="2"/>
  <c r="G19" i="2"/>
  <c r="F19" i="2"/>
  <c r="E19" i="2"/>
  <c r="D19" i="2"/>
  <c r="C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19" i="2" l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C39" i="1"/>
  <c r="C37" i="1"/>
  <c r="C35" i="1"/>
  <c r="C33" i="1"/>
  <c r="C32" i="1"/>
  <c r="C31" i="1"/>
  <c r="C30" i="1"/>
  <c r="C29" i="1"/>
  <c r="C28" i="1"/>
  <c r="C27" i="1"/>
  <c r="C26" i="1"/>
  <c r="D19" i="1"/>
  <c r="E19" i="1"/>
  <c r="F19" i="1"/>
  <c r="G19" i="1"/>
  <c r="H19" i="1"/>
  <c r="I19" i="1"/>
  <c r="C19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4" i="1"/>
</calcChain>
</file>

<file path=xl/sharedStrings.xml><?xml version="1.0" encoding="utf-8"?>
<sst xmlns="http://schemas.openxmlformats.org/spreadsheetml/2006/main" count="1100" uniqueCount="107">
  <si>
    <t>Urban</t>
  </si>
  <si>
    <t>Capital, large city</t>
  </si>
  <si>
    <t>Large City</t>
  </si>
  <si>
    <t>Mega City</t>
  </si>
  <si>
    <t>Small City</t>
  </si>
  <si>
    <t>Town</t>
  </si>
  <si>
    <t>Large Town</t>
  </si>
  <si>
    <t>Small Town</t>
  </si>
  <si>
    <t>Rural/Countryside</t>
  </si>
  <si>
    <t xml:space="preserve">River/dam/lake/ponds/stream/canal/irrigation channel </t>
  </si>
  <si>
    <t>Bottled Water</t>
  </si>
  <si>
    <t>Piped into dwelling</t>
  </si>
  <si>
    <t>Piped to yard/plot</t>
  </si>
  <si>
    <t>Tanker truck</t>
  </si>
  <si>
    <t>Tube well or borehole</t>
  </si>
  <si>
    <t>Protected well</t>
  </si>
  <si>
    <t xml:space="preserve">Public tap/standpipe </t>
  </si>
  <si>
    <t>Unprotected well</t>
  </si>
  <si>
    <t>Unprotected spring</t>
  </si>
  <si>
    <t>Protected spring</t>
  </si>
  <si>
    <t>Cart with small tank</t>
  </si>
  <si>
    <t>Rainwater</t>
  </si>
  <si>
    <t>other</t>
  </si>
  <si>
    <t>NA's</t>
  </si>
  <si>
    <t>HV201/Drinking Water Source</t>
  </si>
  <si>
    <t>Urban Total</t>
  </si>
  <si>
    <t>Total</t>
  </si>
  <si>
    <t>HV202/Non-Drinking Water Source</t>
  </si>
  <si>
    <t>Composting toilet</t>
  </si>
  <si>
    <t>Flush to piped sewer system</t>
  </si>
  <si>
    <t>Flush to septic tank</t>
  </si>
  <si>
    <t>Flush, don't know where</t>
  </si>
  <si>
    <t>Dry toilet</t>
  </si>
  <si>
    <t>Flush to pit latrine</t>
  </si>
  <si>
    <t>Flush to somewhere else</t>
  </si>
  <si>
    <t>No facility/bush/field</t>
  </si>
  <si>
    <t>Pit latrine with slab</t>
  </si>
  <si>
    <t>Pit latrine without slab/open pit</t>
  </si>
  <si>
    <t>Ventilated Improved  Pit latrine(VIP)</t>
  </si>
  <si>
    <t>HV205/Toilet Facility</t>
  </si>
  <si>
    <t>HV206/Household Electrification</t>
  </si>
  <si>
    <t>No</t>
  </si>
  <si>
    <t>Yes</t>
  </si>
  <si>
    <t>HV207/Radio</t>
  </si>
  <si>
    <t>HV208/Television</t>
  </si>
  <si>
    <t>HV209/Refrigerator</t>
  </si>
  <si>
    <t>HV210/Bicycle</t>
  </si>
  <si>
    <t>HV211/Motorcycle</t>
  </si>
  <si>
    <t>HV212/Car</t>
  </si>
  <si>
    <t>HV212/Telephone</t>
  </si>
  <si>
    <t>HV243A/Mobile</t>
  </si>
  <si>
    <t>HV243C/AnimalCart</t>
  </si>
  <si>
    <t>SH47B/Matress</t>
  </si>
  <si>
    <t>SH47C/PressureCooker</t>
  </si>
  <si>
    <t>SH47D/Chair</t>
  </si>
  <si>
    <t>SH47E/Cot or Bed</t>
  </si>
  <si>
    <t>SH47G/Fan</t>
  </si>
  <si>
    <t>SH47F/Table</t>
  </si>
  <si>
    <t>SH47I/B&amp;W Television</t>
  </si>
  <si>
    <t>SH47J/Color Television</t>
  </si>
  <si>
    <t>SH47K/Sewing Machine</t>
  </si>
  <si>
    <t>SH47N/Computer</t>
  </si>
  <si>
    <t>SH47U/Water Pump</t>
  </si>
  <si>
    <t>SH47V/Thresher</t>
  </si>
  <si>
    <t>SH47W/Tractor</t>
  </si>
  <si>
    <t>HV226/Cooking Fuel</t>
  </si>
  <si>
    <t>Electricity</t>
  </si>
  <si>
    <t>LPG, natural gas</t>
  </si>
  <si>
    <t>Biogas</t>
  </si>
  <si>
    <t>Kerosene</t>
  </si>
  <si>
    <t>Coal, lignite</t>
  </si>
  <si>
    <t>Charcoal</t>
  </si>
  <si>
    <t>Wood</t>
  </si>
  <si>
    <t>Straw/shrub/grass</t>
  </si>
  <si>
    <t>Agricultural crop</t>
  </si>
  <si>
    <t>Animal dung</t>
  </si>
  <si>
    <t>HV213/Main floor material</t>
  </si>
  <si>
    <t>Sand</t>
  </si>
  <si>
    <t>Dung</t>
  </si>
  <si>
    <t>Raw wood planks</t>
  </si>
  <si>
    <t>Palm, bamboo</t>
  </si>
  <si>
    <t>Brick</t>
  </si>
  <si>
    <t>Stone</t>
  </si>
  <si>
    <t>Parquet, polished wood</t>
  </si>
  <si>
    <t>Vinyl, asphalt strips</t>
  </si>
  <si>
    <t>Ceramic tiles</t>
  </si>
  <si>
    <t>Cement</t>
  </si>
  <si>
    <t>Carpet</t>
  </si>
  <si>
    <t>Polished stone/marble/granite</t>
  </si>
  <si>
    <t>Mud/clay/earth</t>
  </si>
  <si>
    <t>HV214/Main exterior wall material</t>
  </si>
  <si>
    <t>No walls</t>
  </si>
  <si>
    <t>Cane/palm/trunks</t>
  </si>
  <si>
    <t>Mud</t>
  </si>
  <si>
    <t>Grass/reeds/thatch</t>
  </si>
  <si>
    <t>Bamboo with mud</t>
  </si>
  <si>
    <t>Stone with mud</t>
  </si>
  <si>
    <t>Plywood</t>
  </si>
  <si>
    <t>Cardboard</t>
  </si>
  <si>
    <t>Unburnt brick</t>
  </si>
  <si>
    <t>Raw/ reused wood</t>
  </si>
  <si>
    <t>Cement/concrete</t>
  </si>
  <si>
    <t>Stone with lime/cement</t>
  </si>
  <si>
    <t>Burnt bricks</t>
  </si>
  <si>
    <t>Cement blocks</t>
  </si>
  <si>
    <t>Wood planks/shingles</t>
  </si>
  <si>
    <t>GI/metal/asbestos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</si>
</sst>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rgb="FFC5C8C6"/>
      <name val="Lucida Console"/>
      <family val="3"/>
    </font>
    <font>
      <sz val="10"/>
      <name val="Lucida Console"/>
      <family val="3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2" borderId="0" xfId="0" applyFont="1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opLeftCell="A18" workbookViewId="0">
      <selection activeCell="L39" sqref="L39"/>
    </sheetView>
  </sheetViews>
  <sheetFormatPr defaultRowHeight="15" x14ac:dyDescent="0.25"/>
  <cols>
    <col min="2" max="2" width="20.85546875" bestFit="1" customWidth="1"/>
    <col min="3" max="6" width="12" bestFit="1" customWidth="1"/>
    <col min="7" max="7" width="11.140625" bestFit="1" customWidth="1"/>
    <col min="8" max="8" width="11.140625" customWidth="1"/>
    <col min="9" max="9" width="17.42578125" bestFit="1" customWidth="1"/>
  </cols>
  <sheetData>
    <row r="1" spans="1:19" x14ac:dyDescent="0.25">
      <c r="A1" s="14" t="s">
        <v>24</v>
      </c>
      <c r="B1" s="14"/>
      <c r="C1" s="13" t="s">
        <v>0</v>
      </c>
      <c r="D1" s="13"/>
      <c r="E1" s="13"/>
      <c r="F1" s="13"/>
      <c r="G1" s="13"/>
      <c r="H1" s="13" t="s">
        <v>25</v>
      </c>
      <c r="I1" s="5" t="s">
        <v>8</v>
      </c>
      <c r="J1" s="6"/>
      <c r="K1" s="3"/>
    </row>
    <row r="2" spans="1:19" x14ac:dyDescent="0.25">
      <c r="A2" s="14"/>
      <c r="B2" s="14"/>
      <c r="C2" s="13" t="s">
        <v>1</v>
      </c>
      <c r="D2" s="13"/>
      <c r="E2" s="5" t="s">
        <v>4</v>
      </c>
      <c r="F2" s="13" t="s">
        <v>5</v>
      </c>
      <c r="G2" s="13"/>
      <c r="H2" s="13"/>
      <c r="I2" s="5"/>
      <c r="J2" s="6"/>
      <c r="K2" s="3"/>
    </row>
    <row r="3" spans="1:19" x14ac:dyDescent="0.25">
      <c r="A3" s="7"/>
      <c r="B3" s="7"/>
      <c r="C3" s="5" t="s">
        <v>3</v>
      </c>
      <c r="D3" s="5" t="s">
        <v>2</v>
      </c>
      <c r="E3" s="5" t="s">
        <v>4</v>
      </c>
      <c r="F3" s="5" t="s">
        <v>6</v>
      </c>
      <c r="G3" s="5" t="s">
        <v>7</v>
      </c>
      <c r="H3" s="5"/>
      <c r="I3" s="5" t="s">
        <v>8</v>
      </c>
      <c r="J3" s="6"/>
      <c r="K3" s="3"/>
      <c r="M3" s="3"/>
      <c r="N3" s="10"/>
      <c r="O3" s="10"/>
      <c r="P3" s="10"/>
      <c r="Q3" s="10"/>
      <c r="R3" s="10"/>
      <c r="S3" s="10"/>
    </row>
    <row r="4" spans="1:19" x14ac:dyDescent="0.25">
      <c r="A4" s="13" t="s">
        <v>10</v>
      </c>
      <c r="B4" s="13"/>
      <c r="C4" s="5">
        <v>347</v>
      </c>
      <c r="D4" s="5">
        <v>35</v>
      </c>
      <c r="E4" s="5">
        <v>8</v>
      </c>
      <c r="F4" s="5">
        <v>8</v>
      </c>
      <c r="G4" s="5">
        <v>65</v>
      </c>
      <c r="H4" s="5">
        <f>SUM(C4:G4)</f>
        <v>463</v>
      </c>
      <c r="I4" s="5">
        <v>55</v>
      </c>
      <c r="J4" s="6"/>
      <c r="K4" s="3"/>
      <c r="M4" s="3"/>
      <c r="N4" s="10"/>
      <c r="O4" s="10"/>
      <c r="P4" s="10"/>
      <c r="Q4" s="10"/>
      <c r="R4" s="10"/>
      <c r="S4" s="10"/>
    </row>
    <row r="5" spans="1:19" x14ac:dyDescent="0.25">
      <c r="A5" s="13" t="s">
        <v>11</v>
      </c>
      <c r="B5" s="13"/>
      <c r="C5" s="5">
        <v>3941</v>
      </c>
      <c r="D5" s="5">
        <v>5875</v>
      </c>
      <c r="E5" s="5">
        <v>2608</v>
      </c>
      <c r="F5" s="5">
        <v>1420</v>
      </c>
      <c r="G5" s="5">
        <v>3852</v>
      </c>
      <c r="H5" s="5">
        <f t="shared" ref="H5:H18" si="0">SUM(C5:G5)</f>
        <v>17696</v>
      </c>
      <c r="I5" s="5">
        <v>3573</v>
      </c>
      <c r="J5" s="6"/>
      <c r="K5" s="3"/>
      <c r="M5" s="3"/>
      <c r="N5" s="10"/>
      <c r="O5" s="10"/>
      <c r="P5" s="10"/>
      <c r="Q5" s="10"/>
      <c r="R5" s="10"/>
      <c r="S5" s="10"/>
    </row>
    <row r="6" spans="1:19" x14ac:dyDescent="0.25">
      <c r="A6" s="13" t="s">
        <v>12</v>
      </c>
      <c r="B6" s="13"/>
      <c r="C6" s="5">
        <v>1084</v>
      </c>
      <c r="D6" s="5">
        <v>4254</v>
      </c>
      <c r="E6" s="5">
        <v>1310</v>
      </c>
      <c r="F6" s="5">
        <v>630</v>
      </c>
      <c r="G6" s="5">
        <v>2600</v>
      </c>
      <c r="H6" s="5">
        <f t="shared" si="0"/>
        <v>9878</v>
      </c>
      <c r="I6" s="5">
        <v>5442</v>
      </c>
      <c r="J6" s="6"/>
      <c r="K6" s="3"/>
      <c r="M6" s="3"/>
      <c r="N6" s="10"/>
      <c r="O6" s="10"/>
      <c r="P6" s="10"/>
      <c r="Q6" s="10"/>
      <c r="R6" s="10"/>
      <c r="S6" s="10"/>
    </row>
    <row r="7" spans="1:19" x14ac:dyDescent="0.25">
      <c r="A7" s="13" t="s">
        <v>14</v>
      </c>
      <c r="B7" s="13"/>
      <c r="C7" s="5">
        <v>311</v>
      </c>
      <c r="D7" s="5">
        <v>2905</v>
      </c>
      <c r="E7" s="5">
        <v>1938</v>
      </c>
      <c r="F7" s="5">
        <v>850</v>
      </c>
      <c r="G7" s="5">
        <v>2707</v>
      </c>
      <c r="H7" s="5">
        <f t="shared" si="0"/>
        <v>8711</v>
      </c>
      <c r="I7" s="5">
        <v>23593</v>
      </c>
      <c r="J7" s="6"/>
      <c r="K7" s="3"/>
      <c r="M7" s="3"/>
      <c r="N7" s="10"/>
      <c r="O7" s="10"/>
      <c r="P7" s="10"/>
      <c r="Q7" s="10"/>
      <c r="R7" s="10"/>
      <c r="S7" s="10"/>
    </row>
    <row r="8" spans="1:19" x14ac:dyDescent="0.25">
      <c r="A8" s="13" t="s">
        <v>13</v>
      </c>
      <c r="B8" s="13"/>
      <c r="C8" s="5">
        <v>406</v>
      </c>
      <c r="D8" s="5">
        <v>138</v>
      </c>
      <c r="E8" s="5">
        <v>40</v>
      </c>
      <c r="F8" s="5">
        <v>17</v>
      </c>
      <c r="G8" s="5">
        <v>148</v>
      </c>
      <c r="H8" s="5">
        <f t="shared" si="0"/>
        <v>749</v>
      </c>
      <c r="I8" s="5">
        <v>170</v>
      </c>
      <c r="J8" s="6"/>
      <c r="K8" s="3"/>
      <c r="M8" s="3"/>
      <c r="N8" s="10"/>
      <c r="O8" s="10"/>
      <c r="P8" s="10"/>
      <c r="Q8" s="10"/>
      <c r="R8" s="10"/>
      <c r="S8" s="10"/>
    </row>
    <row r="9" spans="1:19" x14ac:dyDescent="0.25">
      <c r="A9" s="13" t="s">
        <v>15</v>
      </c>
      <c r="B9" s="13"/>
      <c r="C9" s="5">
        <v>10</v>
      </c>
      <c r="D9" s="5">
        <v>158</v>
      </c>
      <c r="E9" s="5">
        <v>153</v>
      </c>
      <c r="F9" s="5">
        <v>340</v>
      </c>
      <c r="G9" s="5">
        <v>456</v>
      </c>
      <c r="H9" s="5">
        <f t="shared" si="0"/>
        <v>1117</v>
      </c>
      <c r="I9" s="5">
        <v>2246</v>
      </c>
      <c r="J9" s="5"/>
      <c r="K9" s="4"/>
      <c r="M9" s="3"/>
      <c r="N9" s="10"/>
      <c r="O9" s="10"/>
      <c r="P9" s="10"/>
      <c r="Q9" s="10"/>
      <c r="R9" s="10"/>
      <c r="S9" s="10"/>
    </row>
    <row r="10" spans="1:19" x14ac:dyDescent="0.25">
      <c r="A10" s="16" t="s">
        <v>9</v>
      </c>
      <c r="B10" s="16"/>
      <c r="C10" s="5">
        <v>87</v>
      </c>
      <c r="D10" s="5">
        <v>43</v>
      </c>
      <c r="E10" s="5">
        <v>43</v>
      </c>
      <c r="F10" s="5">
        <v>42</v>
      </c>
      <c r="G10" s="5">
        <v>447</v>
      </c>
      <c r="H10" s="5">
        <f t="shared" si="0"/>
        <v>662</v>
      </c>
      <c r="I10" s="9">
        <v>2144</v>
      </c>
      <c r="J10" s="5"/>
      <c r="K10" s="4"/>
      <c r="M10" s="3"/>
      <c r="N10" s="10"/>
      <c r="O10" s="10"/>
      <c r="P10" s="10"/>
      <c r="Q10" s="10"/>
      <c r="R10" s="10"/>
      <c r="S10" s="10"/>
    </row>
    <row r="11" spans="1:19" x14ac:dyDescent="0.25">
      <c r="A11" s="15" t="s">
        <v>16</v>
      </c>
      <c r="B11" s="15"/>
      <c r="C11" s="5">
        <v>1471</v>
      </c>
      <c r="D11" s="5">
        <v>2522</v>
      </c>
      <c r="E11" s="5">
        <v>1237</v>
      </c>
      <c r="F11" s="5">
        <v>454</v>
      </c>
      <c r="G11" s="5">
        <v>2827</v>
      </c>
      <c r="H11" s="5">
        <f t="shared" si="0"/>
        <v>8511</v>
      </c>
      <c r="I11" s="5">
        <v>10050</v>
      </c>
      <c r="J11" s="5"/>
      <c r="K11" s="4"/>
      <c r="M11" s="3"/>
      <c r="N11" s="10"/>
      <c r="O11" s="10"/>
      <c r="P11" s="10"/>
      <c r="Q11" s="10"/>
      <c r="R11" s="10"/>
      <c r="S11" s="10"/>
    </row>
    <row r="12" spans="1:19" x14ac:dyDescent="0.25">
      <c r="A12" s="15" t="s">
        <v>19</v>
      </c>
      <c r="B12" s="15"/>
      <c r="C12" s="5">
        <v>0</v>
      </c>
      <c r="D12" s="5">
        <v>9</v>
      </c>
      <c r="E12" s="5">
        <v>44</v>
      </c>
      <c r="F12" s="5">
        <v>45</v>
      </c>
      <c r="G12" s="5">
        <v>183</v>
      </c>
      <c r="H12" s="5">
        <f t="shared" si="0"/>
        <v>281</v>
      </c>
      <c r="I12" s="5">
        <v>1535</v>
      </c>
      <c r="J12" s="5"/>
      <c r="K12" s="4"/>
      <c r="M12" s="3"/>
      <c r="N12" s="10"/>
      <c r="O12" s="10"/>
      <c r="P12" s="10"/>
      <c r="Q12" s="10"/>
      <c r="R12" s="10"/>
      <c r="S12" s="10"/>
    </row>
    <row r="13" spans="1:19" x14ac:dyDescent="0.25">
      <c r="A13" s="13" t="s">
        <v>17</v>
      </c>
      <c r="B13" s="13"/>
      <c r="C13" s="5">
        <v>1</v>
      </c>
      <c r="D13" s="5">
        <v>210</v>
      </c>
      <c r="E13" s="5">
        <v>331</v>
      </c>
      <c r="F13" s="5">
        <v>253</v>
      </c>
      <c r="G13" s="5">
        <v>782</v>
      </c>
      <c r="H13" s="5">
        <f t="shared" si="0"/>
        <v>1577</v>
      </c>
      <c r="I13" s="5">
        <v>7516</v>
      </c>
      <c r="J13" s="5"/>
      <c r="K13" s="4"/>
      <c r="M13" s="3"/>
      <c r="N13" s="10"/>
      <c r="O13" s="10"/>
      <c r="P13" s="10"/>
      <c r="Q13" s="10"/>
      <c r="R13" s="10"/>
      <c r="S13" s="10"/>
    </row>
    <row r="14" spans="1:19" x14ac:dyDescent="0.25">
      <c r="A14" s="13" t="s">
        <v>18</v>
      </c>
      <c r="B14" s="13"/>
      <c r="C14" s="5">
        <v>0</v>
      </c>
      <c r="D14" s="5">
        <v>0</v>
      </c>
      <c r="E14" s="5">
        <v>21</v>
      </c>
      <c r="F14" s="5">
        <v>39</v>
      </c>
      <c r="G14" s="5">
        <v>245</v>
      </c>
      <c r="H14" s="5">
        <f t="shared" si="0"/>
        <v>305</v>
      </c>
      <c r="I14" s="5">
        <v>2069</v>
      </c>
      <c r="J14" s="5"/>
      <c r="K14" s="4"/>
      <c r="M14" s="3"/>
      <c r="N14" s="10"/>
      <c r="O14" s="10"/>
      <c r="P14" s="10"/>
      <c r="Q14" s="10"/>
      <c r="R14" s="10"/>
      <c r="S14" s="10"/>
    </row>
    <row r="15" spans="1:19" x14ac:dyDescent="0.25">
      <c r="A15" s="15" t="s">
        <v>20</v>
      </c>
      <c r="B15" s="15"/>
      <c r="C15" s="5">
        <v>15</v>
      </c>
      <c r="D15" s="5">
        <v>2</v>
      </c>
      <c r="E15" s="5">
        <v>8</v>
      </c>
      <c r="F15" s="5">
        <v>6</v>
      </c>
      <c r="G15" s="5">
        <v>65</v>
      </c>
      <c r="H15" s="5">
        <f t="shared" si="0"/>
        <v>96</v>
      </c>
      <c r="I15" s="5">
        <v>104</v>
      </c>
      <c r="J15" s="5"/>
      <c r="K15" s="4"/>
      <c r="M15" s="3"/>
      <c r="N15" s="10"/>
      <c r="O15" s="10"/>
      <c r="P15" s="10"/>
      <c r="Q15" s="10"/>
      <c r="R15" s="10"/>
      <c r="S15" s="10"/>
    </row>
    <row r="16" spans="1:19" x14ac:dyDescent="0.25">
      <c r="A16" s="15" t="s">
        <v>21</v>
      </c>
      <c r="B16" s="15"/>
      <c r="C16" s="5">
        <v>0</v>
      </c>
      <c r="D16" s="5">
        <v>1</v>
      </c>
      <c r="E16" s="5">
        <v>8</v>
      </c>
      <c r="F16" s="5">
        <v>7</v>
      </c>
      <c r="G16" s="5">
        <v>22</v>
      </c>
      <c r="H16" s="5">
        <f t="shared" si="0"/>
        <v>38</v>
      </c>
      <c r="I16" s="5">
        <v>156</v>
      </c>
      <c r="J16" s="5"/>
      <c r="K16" s="4"/>
      <c r="M16" s="3"/>
      <c r="N16" s="10"/>
      <c r="O16" s="10"/>
      <c r="P16" s="10"/>
      <c r="Q16" s="10"/>
      <c r="R16" s="10"/>
      <c r="S16" s="10"/>
    </row>
    <row r="17" spans="1:19" x14ac:dyDescent="0.25">
      <c r="A17" s="15" t="s">
        <v>22</v>
      </c>
      <c r="B17" s="15"/>
      <c r="C17" s="5">
        <v>1</v>
      </c>
      <c r="D17" s="5">
        <v>19</v>
      </c>
      <c r="E17" s="5">
        <v>11</v>
      </c>
      <c r="F17" s="5">
        <v>5</v>
      </c>
      <c r="G17" s="5">
        <v>113</v>
      </c>
      <c r="H17" s="5">
        <f t="shared" si="0"/>
        <v>149</v>
      </c>
      <c r="I17" s="5">
        <v>146</v>
      </c>
      <c r="J17" s="5"/>
      <c r="K17" s="4"/>
      <c r="M17" s="3"/>
      <c r="N17" s="10"/>
      <c r="O17" s="10"/>
      <c r="P17" s="10"/>
      <c r="Q17" s="10"/>
      <c r="R17" s="10"/>
      <c r="S17" s="10"/>
    </row>
    <row r="18" spans="1:19" x14ac:dyDescent="0.25">
      <c r="A18" s="15" t="s">
        <v>23</v>
      </c>
      <c r="B18" s="15"/>
      <c r="C18" s="5">
        <v>0</v>
      </c>
      <c r="D18" s="5">
        <v>2</v>
      </c>
      <c r="E18" s="5">
        <v>1</v>
      </c>
      <c r="F18" s="5">
        <v>0</v>
      </c>
      <c r="G18" s="5">
        <v>0</v>
      </c>
      <c r="H18" s="5">
        <f t="shared" si="0"/>
        <v>3</v>
      </c>
      <c r="I18" s="5">
        <v>6</v>
      </c>
      <c r="J18" s="5"/>
      <c r="K18" s="4"/>
      <c r="M18" s="3"/>
      <c r="N18" s="10"/>
      <c r="O18" s="10"/>
      <c r="P18" s="10"/>
      <c r="Q18" s="10"/>
      <c r="R18" s="10"/>
      <c r="S18" s="10"/>
    </row>
    <row r="19" spans="1:19" x14ac:dyDescent="0.25">
      <c r="A19" s="15" t="s">
        <v>26</v>
      </c>
      <c r="B19" s="15"/>
      <c r="C19" s="5">
        <f>SUM(C4:C18)</f>
        <v>7674</v>
      </c>
      <c r="D19" s="5">
        <f t="shared" ref="D19:I19" si="1">SUM(D4:D18)</f>
        <v>16173</v>
      </c>
      <c r="E19" s="5">
        <f t="shared" si="1"/>
        <v>7761</v>
      </c>
      <c r="F19" s="5">
        <f t="shared" si="1"/>
        <v>4116</v>
      </c>
      <c r="G19" s="5">
        <f t="shared" si="1"/>
        <v>14512</v>
      </c>
      <c r="H19" s="5">
        <f t="shared" si="1"/>
        <v>50236</v>
      </c>
      <c r="I19" s="5">
        <f t="shared" si="1"/>
        <v>58805</v>
      </c>
      <c r="J19" s="5"/>
      <c r="K19" s="4"/>
      <c r="M19" s="3"/>
      <c r="N19" s="10"/>
      <c r="O19" s="10"/>
      <c r="P19" s="10"/>
      <c r="Q19" s="10"/>
      <c r="R19" s="10"/>
      <c r="S19" s="10"/>
    </row>
    <row r="20" spans="1:19" x14ac:dyDescent="0.25">
      <c r="A20" s="6"/>
      <c r="B20" s="6"/>
      <c r="C20" s="5"/>
      <c r="D20" s="5"/>
      <c r="E20" s="5"/>
      <c r="F20" s="5"/>
      <c r="G20" s="5"/>
      <c r="H20" s="5"/>
      <c r="I20" s="5"/>
      <c r="J20" s="5"/>
      <c r="K20" s="4"/>
      <c r="M20" s="3"/>
      <c r="N20" s="10"/>
      <c r="O20" s="10"/>
      <c r="P20" s="10"/>
      <c r="Q20" s="10"/>
      <c r="R20" s="10"/>
      <c r="S20" s="10"/>
    </row>
    <row r="21" spans="1:19" x14ac:dyDescent="0.25">
      <c r="A21" s="6"/>
      <c r="B21" s="6"/>
      <c r="C21" s="5"/>
      <c r="D21" s="5"/>
      <c r="E21" s="5"/>
      <c r="F21" s="5"/>
      <c r="G21" s="5"/>
      <c r="H21" s="5"/>
      <c r="I21" s="5"/>
      <c r="J21" s="5"/>
      <c r="K21" s="4"/>
      <c r="M21" s="3"/>
      <c r="N21" s="10"/>
      <c r="O21" s="10"/>
      <c r="P21" s="10"/>
      <c r="Q21" s="10"/>
      <c r="R21" s="10"/>
      <c r="S21" s="10"/>
    </row>
    <row r="22" spans="1:19" x14ac:dyDescent="0.25">
      <c r="C22" s="1"/>
      <c r="D22" s="1"/>
      <c r="E22" s="1"/>
      <c r="F22" s="1"/>
      <c r="G22" s="1"/>
      <c r="H22" s="1"/>
      <c r="I22" s="1"/>
      <c r="J22" s="1"/>
      <c r="K22" s="4"/>
      <c r="M22" s="3"/>
      <c r="N22" s="10"/>
      <c r="O22" s="10"/>
      <c r="P22" s="10"/>
      <c r="Q22" s="10"/>
      <c r="R22" s="10"/>
      <c r="S22" s="10"/>
    </row>
    <row r="23" spans="1:19" x14ac:dyDescent="0.25">
      <c r="C23" s="13" t="s">
        <v>0</v>
      </c>
      <c r="D23" s="13"/>
      <c r="E23" s="13"/>
      <c r="F23" s="13"/>
      <c r="G23" s="13"/>
      <c r="H23" s="13" t="s">
        <v>25</v>
      </c>
      <c r="I23" s="5" t="s">
        <v>8</v>
      </c>
      <c r="K23" s="3"/>
      <c r="M23" s="3"/>
      <c r="N23" s="10"/>
      <c r="O23" s="10"/>
      <c r="P23" s="10"/>
      <c r="Q23" s="10"/>
      <c r="R23" s="10"/>
      <c r="S23" s="10"/>
    </row>
    <row r="24" spans="1:19" x14ac:dyDescent="0.25">
      <c r="C24" s="13" t="s">
        <v>1</v>
      </c>
      <c r="D24" s="13"/>
      <c r="E24" s="5" t="s">
        <v>4</v>
      </c>
      <c r="F24" s="13" t="s">
        <v>5</v>
      </c>
      <c r="G24" s="13"/>
      <c r="H24" s="13"/>
      <c r="I24" s="5"/>
      <c r="K24" s="3"/>
      <c r="M24" s="3"/>
      <c r="N24" s="10"/>
      <c r="O24" s="10"/>
      <c r="P24" s="10"/>
      <c r="Q24" s="10"/>
      <c r="R24" s="10"/>
      <c r="S24" s="10"/>
    </row>
    <row r="25" spans="1:19" x14ac:dyDescent="0.25">
      <c r="C25" s="5" t="s">
        <v>3</v>
      </c>
      <c r="D25" s="5" t="s">
        <v>2</v>
      </c>
      <c r="E25" s="5" t="s">
        <v>4</v>
      </c>
      <c r="F25" s="5" t="s">
        <v>6</v>
      </c>
      <c r="G25" s="5" t="s">
        <v>7</v>
      </c>
      <c r="H25" s="5"/>
      <c r="I25" s="5" t="s">
        <v>8</v>
      </c>
      <c r="K25" s="3"/>
      <c r="M25" s="3"/>
      <c r="N25" s="10"/>
      <c r="O25" s="10"/>
      <c r="P25" s="10"/>
      <c r="Q25" s="10"/>
      <c r="R25" s="10"/>
      <c r="S25" s="10"/>
    </row>
    <row r="26" spans="1:19" x14ac:dyDescent="0.25">
      <c r="B26" s="6" t="s">
        <v>10</v>
      </c>
      <c r="C26" s="5">
        <f>347/74.64</f>
        <v>4.64898177920686</v>
      </c>
      <c r="D26" s="5">
        <f>35/161.73</f>
        <v>0.21641006615964881</v>
      </c>
      <c r="E26" s="5">
        <f>8/77.61</f>
        <v>0.10307950006442469</v>
      </c>
      <c r="F26" s="5">
        <f>8/41.16</f>
        <v>0.19436345966958213</v>
      </c>
      <c r="G26" s="5">
        <f>65/145.12</f>
        <v>0.44790518191841233</v>
      </c>
      <c r="H26" s="5">
        <f>463/502.36</f>
        <v>0.92164981288319137</v>
      </c>
      <c r="I26" s="5">
        <f>55/588.05</f>
        <v>9.3529461780460857E-2</v>
      </c>
      <c r="K26" s="3"/>
      <c r="M26" s="3"/>
      <c r="N26" s="10"/>
      <c r="O26" s="10"/>
      <c r="P26" s="10"/>
      <c r="Q26" s="10"/>
      <c r="R26" s="10"/>
      <c r="S26" s="10"/>
    </row>
    <row r="27" spans="1:19" x14ac:dyDescent="0.25">
      <c r="B27" s="6" t="s">
        <v>11</v>
      </c>
      <c r="C27" s="5">
        <f>3941/74.64</f>
        <v>52.80010718113612</v>
      </c>
      <c r="D27" s="5">
        <f>5875/161.73</f>
        <v>36.325975391083908</v>
      </c>
      <c r="E27" s="5">
        <f>2608/77.61</f>
        <v>33.603917021002445</v>
      </c>
      <c r="F27" s="5">
        <f>1420/41.16</f>
        <v>34.499514091350832</v>
      </c>
      <c r="G27" s="5">
        <f>3852/145.12</f>
        <v>26.543550165380374</v>
      </c>
      <c r="H27" s="5">
        <f>17696/502.36</f>
        <v>35.225734533004221</v>
      </c>
      <c r="I27" s="5">
        <f>3573/588.05</f>
        <v>6.0760139443924839</v>
      </c>
      <c r="K27" s="3"/>
      <c r="M27" s="3"/>
      <c r="N27" s="10"/>
      <c r="O27" s="10"/>
      <c r="P27" s="10"/>
      <c r="Q27" s="10"/>
      <c r="R27" s="10"/>
      <c r="S27" s="10"/>
    </row>
    <row r="28" spans="1:19" x14ac:dyDescent="0.25">
      <c r="B28" s="6" t="s">
        <v>12</v>
      </c>
      <c r="C28" s="5">
        <f>1084/74.64</f>
        <v>14.52304394426581</v>
      </c>
      <c r="D28" s="5">
        <f>4254/161.73</f>
        <v>26.303097755518458</v>
      </c>
      <c r="E28" s="5">
        <f>1310/77.61</f>
        <v>16.879268135549541</v>
      </c>
      <c r="F28" s="5">
        <f>630/41.16</f>
        <v>15.306122448979593</v>
      </c>
      <c r="G28" s="5">
        <f>2600/145.12</f>
        <v>17.916207276736493</v>
      </c>
      <c r="H28" s="5">
        <f>9878/502.36</f>
        <v>19.663189744406402</v>
      </c>
      <c r="I28" s="5">
        <f>5442/588.05</f>
        <v>9.2543151092594176</v>
      </c>
      <c r="K28" s="3"/>
      <c r="M28" s="3"/>
      <c r="N28" s="10"/>
      <c r="O28" s="10"/>
      <c r="P28" s="10"/>
      <c r="Q28" s="10"/>
      <c r="R28" s="10"/>
      <c r="S28" s="10"/>
    </row>
    <row r="29" spans="1:19" x14ac:dyDescent="0.25">
      <c r="B29" s="6" t="s">
        <v>14</v>
      </c>
      <c r="C29" s="5">
        <f>311/74.64</f>
        <v>4.166666666666667</v>
      </c>
      <c r="D29" s="5">
        <f>2905/161.73</f>
        <v>17.962035491250852</v>
      </c>
      <c r="E29" s="5">
        <f>1938/77.61</f>
        <v>24.971008890606882</v>
      </c>
      <c r="F29" s="5">
        <f>850/41.16</f>
        <v>20.651117589893101</v>
      </c>
      <c r="G29" s="5">
        <f>2707/145.12</f>
        <v>18.653528114663725</v>
      </c>
      <c r="H29" s="5">
        <f>8711/502.36</f>
        <v>17.340154470897364</v>
      </c>
      <c r="I29" s="5">
        <f>23593/588.05</f>
        <v>40.120738032480233</v>
      </c>
      <c r="K29" s="3"/>
      <c r="M29" s="3"/>
      <c r="N29" s="10"/>
      <c r="O29" s="10"/>
      <c r="P29" s="10"/>
      <c r="Q29" s="10"/>
      <c r="R29" s="10"/>
      <c r="S29" s="10"/>
    </row>
    <row r="30" spans="1:19" x14ac:dyDescent="0.25">
      <c r="B30" s="6" t="s">
        <v>13</v>
      </c>
      <c r="C30" s="5">
        <f>406/74.64</f>
        <v>5.439442658092176</v>
      </c>
      <c r="D30" s="5">
        <f>138/161.73</f>
        <v>0.85327397514375813</v>
      </c>
      <c r="E30" s="5">
        <f>40/77.61</f>
        <v>0.51539750032212339</v>
      </c>
      <c r="F30" s="5">
        <f>17/41.16</f>
        <v>0.41302235179786201</v>
      </c>
      <c r="G30" s="5">
        <f>148/145.12</f>
        <v>1.0198456449834619</v>
      </c>
      <c r="H30" s="5">
        <f>749/502.36</f>
        <v>1.4909626562624412</v>
      </c>
      <c r="I30" s="5">
        <f>170/588.05</f>
        <v>0.28909106368506082</v>
      </c>
      <c r="K30" s="3"/>
      <c r="M30" s="3"/>
      <c r="N30" s="10"/>
      <c r="O30" s="10"/>
      <c r="P30" s="10"/>
      <c r="Q30" s="10"/>
      <c r="R30" s="10"/>
      <c r="S30" s="10"/>
    </row>
    <row r="31" spans="1:19" x14ac:dyDescent="0.25">
      <c r="B31" s="6" t="s">
        <v>15</v>
      </c>
      <c r="C31" s="5">
        <f>10/74.64</f>
        <v>0.13397642015005359</v>
      </c>
      <c r="D31" s="5">
        <f>158/161.73</f>
        <v>0.97693687009212893</v>
      </c>
      <c r="E31" s="5">
        <f>153/77.61</f>
        <v>1.9713954387321222</v>
      </c>
      <c r="F31" s="5">
        <f>340/41.16</f>
        <v>8.2604470359572399</v>
      </c>
      <c r="G31" s="5">
        <f>456/145.12</f>
        <v>3.1422271223814775</v>
      </c>
      <c r="H31" s="5">
        <f>1117/502.36</f>
        <v>2.2235050561350427</v>
      </c>
      <c r="I31" s="5">
        <f>2246/588.05</f>
        <v>3.8194031119802743</v>
      </c>
      <c r="K31" s="3"/>
      <c r="M31" s="3"/>
      <c r="N31" s="10"/>
      <c r="O31" s="10"/>
      <c r="P31" s="10"/>
      <c r="Q31" s="10"/>
      <c r="R31" s="10"/>
      <c r="S31" s="10"/>
    </row>
    <row r="32" spans="1:19" x14ac:dyDescent="0.25">
      <c r="B32" s="8" t="s">
        <v>9</v>
      </c>
      <c r="C32" s="5">
        <f>87/74.64</f>
        <v>1.1655948553054662</v>
      </c>
      <c r="D32" s="5">
        <f>43/161.73</f>
        <v>0.26587522413899711</v>
      </c>
      <c r="E32" s="5">
        <f>43/77.61</f>
        <v>0.55405231284628265</v>
      </c>
      <c r="F32" s="5">
        <f>42/41.16</f>
        <v>1.0204081632653061</v>
      </c>
      <c r="G32" s="5">
        <f>447/145.12</f>
        <v>3.0802094818081587</v>
      </c>
      <c r="H32" s="5">
        <f>662/502.36</f>
        <v>1.3177800780316904</v>
      </c>
      <c r="I32" s="9">
        <f>2144/588.05</f>
        <v>3.6459484737692378</v>
      </c>
      <c r="K32" s="3"/>
      <c r="M32" s="2"/>
    </row>
    <row r="33" spans="2:11" x14ac:dyDescent="0.25">
      <c r="B33" s="8" t="s">
        <v>16</v>
      </c>
      <c r="C33" s="5">
        <f>1471/74.64</f>
        <v>19.707931404072884</v>
      </c>
      <c r="D33" s="5">
        <f>2522/161.73</f>
        <v>15.593891052989552</v>
      </c>
      <c r="E33" s="5">
        <f>1237/77.61</f>
        <v>15.938667697461668</v>
      </c>
      <c r="F33" s="5">
        <f>454/41.16</f>
        <v>11.030126336248786</v>
      </c>
      <c r="G33" s="5">
        <f>2827/145.12</f>
        <v>19.480429988974642</v>
      </c>
      <c r="H33" s="5">
        <f>8511/502.36</f>
        <v>16.942033601401384</v>
      </c>
      <c r="I33" s="5">
        <f>10050/588.05</f>
        <v>17.090383470793302</v>
      </c>
      <c r="K33" s="3"/>
    </row>
    <row r="34" spans="2:11" x14ac:dyDescent="0.25">
      <c r="B34" s="8" t="s">
        <v>19</v>
      </c>
      <c r="C34" s="5">
        <v>0</v>
      </c>
      <c r="D34" s="5">
        <f>9/161.73</f>
        <v>5.5648302726766838E-2</v>
      </c>
      <c r="E34" s="5">
        <f>44/77.61</f>
        <v>0.56693725035433573</v>
      </c>
      <c r="F34" s="5">
        <f>45/41.16</f>
        <v>1.0932944606413995</v>
      </c>
      <c r="G34" s="5">
        <f>183/145.12</f>
        <v>1.2610253583241455</v>
      </c>
      <c r="H34" s="5">
        <f>281/502.36</f>
        <v>0.5593598216418505</v>
      </c>
      <c r="I34" s="5">
        <f>1535/588.05</f>
        <v>2.6103222515092255</v>
      </c>
      <c r="K34" s="3"/>
    </row>
    <row r="35" spans="2:11" x14ac:dyDescent="0.25">
      <c r="B35" s="6" t="s">
        <v>17</v>
      </c>
      <c r="C35" s="5">
        <f>1/74.64</f>
        <v>1.3397642015005359E-2</v>
      </c>
      <c r="D35" s="5">
        <f>210/161.73</f>
        <v>1.2984603969578929</v>
      </c>
      <c r="E35" s="5">
        <f>331/77.61</f>
        <v>4.2649143151655711</v>
      </c>
      <c r="F35" s="5">
        <f>253/41.16</f>
        <v>6.146744412050535</v>
      </c>
      <c r="G35" s="5">
        <f>782/145.12</f>
        <v>5.3886438809261303</v>
      </c>
      <c r="H35" s="5">
        <f>1577/502.36</f>
        <v>3.1391830559757943</v>
      </c>
      <c r="I35" s="5">
        <f>7516/588.05</f>
        <v>12.78122608621716</v>
      </c>
      <c r="K35" s="3"/>
    </row>
    <row r="36" spans="2:11" x14ac:dyDescent="0.25">
      <c r="B36" s="6" t="s">
        <v>18</v>
      </c>
      <c r="C36" s="5">
        <v>0</v>
      </c>
      <c r="D36" s="5">
        <f>0/161.73</f>
        <v>0</v>
      </c>
      <c r="E36" s="5">
        <f>21/77.61</f>
        <v>0.27058368766911478</v>
      </c>
      <c r="F36" s="5">
        <f>39/41.16</f>
        <v>0.94752186588921294</v>
      </c>
      <c r="G36" s="5">
        <f>245/145.12</f>
        <v>1.688257993384785</v>
      </c>
      <c r="H36" s="5">
        <f>305/502.36</f>
        <v>0.60713432598136796</v>
      </c>
      <c r="I36" s="5">
        <f>2069/588.05</f>
        <v>3.5184082986140637</v>
      </c>
    </row>
    <row r="37" spans="2:11" x14ac:dyDescent="0.25">
      <c r="B37" s="8" t="s">
        <v>20</v>
      </c>
      <c r="C37" s="5">
        <f>15/74.64</f>
        <v>0.20096463022508038</v>
      </c>
      <c r="D37" s="5">
        <f>2/161.73</f>
        <v>1.2366289494837075E-2</v>
      </c>
      <c r="E37" s="5">
        <f>8/77.61</f>
        <v>0.10307950006442469</v>
      </c>
      <c r="F37" s="5">
        <f>6/41.16</f>
        <v>0.1457725947521866</v>
      </c>
      <c r="G37" s="5">
        <f>65/145.12</f>
        <v>0.44790518191841233</v>
      </c>
      <c r="H37" s="5">
        <f>96/502.36</f>
        <v>0.19109801735806992</v>
      </c>
      <c r="I37" s="5">
        <f>104/588.05</f>
        <v>0.17685570954850779</v>
      </c>
    </row>
    <row r="38" spans="2:11" x14ac:dyDescent="0.25">
      <c r="B38" s="8" t="s">
        <v>21</v>
      </c>
      <c r="C38" s="5">
        <v>0</v>
      </c>
      <c r="D38" s="5">
        <f>1/161.73</f>
        <v>6.1831447474185374E-3</v>
      </c>
      <c r="E38" s="5">
        <f>8/77.61</f>
        <v>0.10307950006442469</v>
      </c>
      <c r="F38" s="5">
        <f>7/41.16</f>
        <v>0.17006802721088438</v>
      </c>
      <c r="G38" s="5">
        <f>22/145.12</f>
        <v>0.15159867695700111</v>
      </c>
      <c r="H38" s="5">
        <f>38/502.36</f>
        <v>7.564296520423601E-2</v>
      </c>
      <c r="I38" s="5">
        <f>156/588.05</f>
        <v>0.26528356432276168</v>
      </c>
    </row>
    <row r="39" spans="2:11" x14ac:dyDescent="0.25">
      <c r="B39" s="8" t="s">
        <v>22</v>
      </c>
      <c r="C39" s="5">
        <f>1/74.64</f>
        <v>1.3397642015005359E-2</v>
      </c>
      <c r="D39" s="5">
        <f>19/161.73</f>
        <v>0.11747975020095221</v>
      </c>
      <c r="E39" s="5">
        <f>11/77.61</f>
        <v>0.14173431258858393</v>
      </c>
      <c r="F39" s="5">
        <f>5/41.16</f>
        <v>0.12147716229348883</v>
      </c>
      <c r="G39" s="5">
        <f>113/145.12</f>
        <v>0.77866593164277842</v>
      </c>
      <c r="H39" s="5">
        <f>149/502.36</f>
        <v>0.29660004777450433</v>
      </c>
      <c r="I39" s="5">
        <f>146/588.05</f>
        <v>0.24827820763540517</v>
      </c>
    </row>
    <row r="40" spans="2:11" x14ac:dyDescent="0.25">
      <c r="B40" s="8" t="s">
        <v>23</v>
      </c>
      <c r="C40" s="5">
        <v>0</v>
      </c>
      <c r="D40" s="5">
        <f>2/161.73</f>
        <v>1.2366289494837075E-2</v>
      </c>
      <c r="E40" s="5">
        <f>1/77.61</f>
        <v>1.2884937508053087E-2</v>
      </c>
      <c r="F40" s="5">
        <v>0</v>
      </c>
      <c r="G40" s="5">
        <v>0</v>
      </c>
      <c r="H40" s="5">
        <f>3/502.36</f>
        <v>5.9718130424396849E-3</v>
      </c>
      <c r="I40" s="5">
        <f>6/588.05</f>
        <v>1.0203214012413911E-2</v>
      </c>
    </row>
    <row r="41" spans="2:11" x14ac:dyDescent="0.25">
      <c r="B41" s="8"/>
      <c r="C41" s="5"/>
      <c r="D41" s="5"/>
      <c r="E41" s="5"/>
      <c r="F41" s="5"/>
      <c r="G41" s="5"/>
      <c r="H41" s="5"/>
      <c r="I41" s="5"/>
    </row>
  </sheetData>
  <mergeCells count="25">
    <mergeCell ref="A17:B17"/>
    <mergeCell ref="A18:B18"/>
    <mergeCell ref="A19:B19"/>
    <mergeCell ref="A16:B16"/>
    <mergeCell ref="A14:B14"/>
    <mergeCell ref="A15:B15"/>
    <mergeCell ref="A11:B11"/>
    <mergeCell ref="A12:B12"/>
    <mergeCell ref="A13:B13"/>
    <mergeCell ref="C1:G1"/>
    <mergeCell ref="A1:B2"/>
    <mergeCell ref="H1:H2"/>
    <mergeCell ref="C23:G23"/>
    <mergeCell ref="H23:H24"/>
    <mergeCell ref="C24:D24"/>
    <mergeCell ref="F24:G24"/>
    <mergeCell ref="F2:G2"/>
    <mergeCell ref="C2:D2"/>
    <mergeCell ref="A4:B4"/>
    <mergeCell ref="A5:B5"/>
    <mergeCell ref="A6:B6"/>
    <mergeCell ref="A7:B7"/>
    <mergeCell ref="A8:B8"/>
    <mergeCell ref="A9:B9"/>
    <mergeCell ref="A10:B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16" sqref="A1:I16"/>
    </sheetView>
  </sheetViews>
  <sheetFormatPr defaultRowHeight="15" x14ac:dyDescent="0.25"/>
  <cols>
    <col min="2" max="2" width="10.28515625" customWidth="1"/>
    <col min="3" max="8" width="12" bestFit="1" customWidth="1"/>
    <col min="9" max="9" width="17.42578125" bestFit="1" customWidth="1"/>
  </cols>
  <sheetData>
    <row r="1" spans="1:9" x14ac:dyDescent="0.25">
      <c r="A1" s="14" t="s">
        <v>48</v>
      </c>
      <c r="B1" s="14"/>
      <c r="C1" s="13" t="s">
        <v>0</v>
      </c>
      <c r="D1" s="13"/>
      <c r="E1" s="13"/>
      <c r="F1" s="13"/>
      <c r="G1" s="13"/>
      <c r="H1" s="13" t="s">
        <v>25</v>
      </c>
      <c r="I1" s="12" t="s">
        <v>8</v>
      </c>
    </row>
    <row r="2" spans="1:9" x14ac:dyDescent="0.25">
      <c r="A2" s="14"/>
      <c r="B2" s="14"/>
      <c r="C2" s="13" t="s">
        <v>1</v>
      </c>
      <c r="D2" s="13"/>
      <c r="E2" s="12" t="s">
        <v>4</v>
      </c>
      <c r="F2" s="13" t="s">
        <v>5</v>
      </c>
      <c r="G2" s="13"/>
      <c r="H2" s="13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6"/>
      <c r="B4" s="6" t="s">
        <v>41</v>
      </c>
      <c r="C4" s="12">
        <v>7022</v>
      </c>
      <c r="D4" s="12">
        <v>14709</v>
      </c>
      <c r="E4" s="12">
        <v>7150</v>
      </c>
      <c r="F4" s="12">
        <v>3627</v>
      </c>
      <c r="G4" s="12">
        <v>13485</v>
      </c>
      <c r="H4" s="12">
        <f>SUM(C4:G4)</f>
        <v>45993</v>
      </c>
      <c r="I4" s="12">
        <v>57707</v>
      </c>
    </row>
    <row r="5" spans="1:9" x14ac:dyDescent="0.25">
      <c r="A5" s="6"/>
      <c r="B5" s="6" t="s">
        <v>42</v>
      </c>
      <c r="C5" s="12">
        <v>646</v>
      </c>
      <c r="D5" s="12">
        <v>1452</v>
      </c>
      <c r="E5" s="12">
        <v>606</v>
      </c>
      <c r="F5" s="12">
        <v>486</v>
      </c>
      <c r="G5" s="12">
        <v>1023</v>
      </c>
      <c r="H5" s="12">
        <f>SUM(C5:G5)</f>
        <v>4213</v>
      </c>
      <c r="I5" s="12">
        <v>1078</v>
      </c>
    </row>
    <row r="6" spans="1:9" x14ac:dyDescent="0.25">
      <c r="A6" s="6"/>
      <c r="B6" s="6" t="s">
        <v>23</v>
      </c>
      <c r="C6" s="12">
        <v>6</v>
      </c>
      <c r="D6" s="12">
        <v>12</v>
      </c>
      <c r="E6" s="12">
        <v>5</v>
      </c>
      <c r="F6" s="12">
        <v>3</v>
      </c>
      <c r="G6" s="12">
        <v>4</v>
      </c>
      <c r="H6" s="12">
        <f>SUM(C6:G6)</f>
        <v>30</v>
      </c>
      <c r="I6" s="12">
        <v>20</v>
      </c>
    </row>
    <row r="7" spans="1:9" x14ac:dyDescent="0.25">
      <c r="A7" s="6"/>
      <c r="B7" s="6" t="s">
        <v>26</v>
      </c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3" t="s">
        <v>0</v>
      </c>
      <c r="D11" s="13"/>
      <c r="E11" s="13"/>
      <c r="F11" s="13"/>
      <c r="G11" s="13"/>
      <c r="H11" s="13" t="s">
        <v>25</v>
      </c>
      <c r="I11" s="12" t="s">
        <v>8</v>
      </c>
    </row>
    <row r="12" spans="1:9" x14ac:dyDescent="0.25">
      <c r="C12" s="13" t="s">
        <v>1</v>
      </c>
      <c r="D12" s="13"/>
      <c r="E12" s="12" t="s">
        <v>4</v>
      </c>
      <c r="F12" s="13" t="s">
        <v>5</v>
      </c>
      <c r="G12" s="13"/>
      <c r="H12" s="13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B14" s="6" t="s">
        <v>41</v>
      </c>
      <c r="C14" s="12">
        <f>C4/76.74</f>
        <v>91.503778994005742</v>
      </c>
      <c r="D14" s="12">
        <f>D4/161.73</f>
        <v>90.947876089779271</v>
      </c>
      <c r="E14" s="12">
        <f>E4/77.61</f>
        <v>92.127303182579567</v>
      </c>
      <c r="F14" s="12">
        <f>F4/41.16</f>
        <v>88.119533527696802</v>
      </c>
      <c r="G14" s="12">
        <f>G4/145.12</f>
        <v>92.92309812568908</v>
      </c>
      <c r="H14" s="12">
        <f>H4/502.36</f>
        <v>91.55386575364281</v>
      </c>
      <c r="I14" s="12">
        <f>I4/588.05</f>
        <v>98.132811835728262</v>
      </c>
    </row>
    <row r="15" spans="1:9" x14ac:dyDescent="0.25">
      <c r="B15" s="6" t="s">
        <v>42</v>
      </c>
      <c r="C15" s="12">
        <f t="shared" ref="C15:C16" si="2">C5/76.74</f>
        <v>8.4180349231170197</v>
      </c>
      <c r="D15" s="12">
        <f t="shared" ref="D15:D16" si="3">D5/161.73</f>
        <v>8.977926173251717</v>
      </c>
      <c r="E15" s="12">
        <f t="shared" ref="E15:E16" si="4">E5/77.61</f>
        <v>7.8082721298801703</v>
      </c>
      <c r="F15" s="12">
        <f t="shared" ref="F15:F16" si="5">F5/41.16</f>
        <v>11.807580174927114</v>
      </c>
      <c r="G15" s="12">
        <f t="shared" ref="G15:G16" si="6">G5/145.12</f>
        <v>7.0493384785005508</v>
      </c>
      <c r="H15" s="12">
        <f t="shared" ref="H15:H16" si="7">H5/502.36</f>
        <v>8.3864161159327963</v>
      </c>
      <c r="I15" s="12">
        <f>I5/588.05</f>
        <v>1.8331774508970327</v>
      </c>
    </row>
    <row r="16" spans="1:9" x14ac:dyDescent="0.25">
      <c r="B16" s="6" t="s">
        <v>23</v>
      </c>
      <c r="C16" s="12">
        <f t="shared" si="2"/>
        <v>7.8186082877247862E-2</v>
      </c>
      <c r="D16" s="12">
        <f t="shared" si="3"/>
        <v>7.4197736969022446E-2</v>
      </c>
      <c r="E16" s="12">
        <f t="shared" si="4"/>
        <v>6.4424687540265424E-2</v>
      </c>
      <c r="F16" s="12">
        <f t="shared" si="5"/>
        <v>7.2886297376093298E-2</v>
      </c>
      <c r="G16" s="12">
        <f t="shared" si="6"/>
        <v>2.7563395810363836E-2</v>
      </c>
      <c r="H16" s="12">
        <f t="shared" si="7"/>
        <v>5.9718130424396845E-2</v>
      </c>
      <c r="I16" s="12">
        <f>I6/588.05</f>
        <v>3.4010713374713036E-2</v>
      </c>
    </row>
  </sheetData>
  <mergeCells count="9">
    <mergeCell ref="A1:B2"/>
    <mergeCell ref="C1:G1"/>
    <mergeCell ref="H1:H2"/>
    <mergeCell ref="C2:D2"/>
    <mergeCell ref="F2:G2"/>
    <mergeCell ref="C11:G11"/>
    <mergeCell ref="H11:H12"/>
    <mergeCell ref="C12:D12"/>
    <mergeCell ref="F12:G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16" sqref="A1:I16"/>
    </sheetView>
  </sheetViews>
  <sheetFormatPr defaultRowHeight="15" x14ac:dyDescent="0.25"/>
  <cols>
    <col min="2" max="2" width="11.140625" customWidth="1"/>
    <col min="3" max="8" width="12" bestFit="1" customWidth="1"/>
    <col min="9" max="9" width="17.42578125" bestFit="1" customWidth="1"/>
  </cols>
  <sheetData>
    <row r="1" spans="1:9" x14ac:dyDescent="0.25">
      <c r="A1" s="14" t="s">
        <v>49</v>
      </c>
      <c r="B1" s="14"/>
      <c r="C1" s="13" t="s">
        <v>0</v>
      </c>
      <c r="D1" s="13"/>
      <c r="E1" s="13"/>
      <c r="F1" s="13"/>
      <c r="G1" s="13"/>
      <c r="H1" s="13" t="s">
        <v>25</v>
      </c>
      <c r="I1" s="12" t="s">
        <v>8</v>
      </c>
    </row>
    <row r="2" spans="1:9" x14ac:dyDescent="0.25">
      <c r="A2" s="14"/>
      <c r="B2" s="14"/>
      <c r="C2" s="13" t="s">
        <v>1</v>
      </c>
      <c r="D2" s="13"/>
      <c r="E2" s="12" t="s">
        <v>4</v>
      </c>
      <c r="F2" s="13" t="s">
        <v>5</v>
      </c>
      <c r="G2" s="13"/>
      <c r="H2" s="13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6"/>
      <c r="B4" s="6" t="s">
        <v>41</v>
      </c>
      <c r="C4" s="12">
        <v>5183</v>
      </c>
      <c r="D4" s="12">
        <v>11452</v>
      </c>
      <c r="E4" s="12">
        <v>5446</v>
      </c>
      <c r="F4" s="12">
        <v>2738</v>
      </c>
      <c r="G4" s="12">
        <v>10905</v>
      </c>
      <c r="H4" s="12">
        <f>SUM(C4:G4)</f>
        <v>35724</v>
      </c>
      <c r="I4" s="12">
        <v>52452</v>
      </c>
    </row>
    <row r="5" spans="1:9" x14ac:dyDescent="0.25">
      <c r="A5" s="6"/>
      <c r="B5" s="6" t="s">
        <v>42</v>
      </c>
      <c r="C5" s="12">
        <v>2486</v>
      </c>
      <c r="D5" s="12">
        <v>4712</v>
      </c>
      <c r="E5" s="12">
        <v>2311</v>
      </c>
      <c r="F5" s="12">
        <v>1376</v>
      </c>
      <c r="G5" s="12">
        <v>3603</v>
      </c>
      <c r="H5" s="12">
        <f>SUM(C5:G5)</f>
        <v>14488</v>
      </c>
      <c r="I5" s="12">
        <v>6338</v>
      </c>
    </row>
    <row r="6" spans="1:9" x14ac:dyDescent="0.25">
      <c r="A6" s="6"/>
      <c r="B6" s="6" t="s">
        <v>23</v>
      </c>
      <c r="C6" s="12">
        <v>5</v>
      </c>
      <c r="D6" s="12">
        <v>9</v>
      </c>
      <c r="E6" s="12">
        <v>4</v>
      </c>
      <c r="F6" s="12">
        <v>2</v>
      </c>
      <c r="G6" s="12">
        <v>4</v>
      </c>
      <c r="H6" s="12">
        <f>SUM(C6:G6)</f>
        <v>24</v>
      </c>
      <c r="I6" s="12">
        <v>15</v>
      </c>
    </row>
    <row r="7" spans="1:9" x14ac:dyDescent="0.25">
      <c r="A7" s="6"/>
      <c r="B7" s="6" t="s">
        <v>26</v>
      </c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3" t="s">
        <v>0</v>
      </c>
      <c r="D11" s="13"/>
      <c r="E11" s="13"/>
      <c r="F11" s="13"/>
      <c r="G11" s="13"/>
      <c r="H11" s="13" t="s">
        <v>25</v>
      </c>
      <c r="I11" s="12" t="s">
        <v>8</v>
      </c>
    </row>
    <row r="12" spans="1:9" x14ac:dyDescent="0.25">
      <c r="C12" s="13" t="s">
        <v>1</v>
      </c>
      <c r="D12" s="13"/>
      <c r="E12" s="12" t="s">
        <v>4</v>
      </c>
      <c r="F12" s="13" t="s">
        <v>5</v>
      </c>
      <c r="G12" s="13"/>
      <c r="H12" s="13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B14" s="6" t="s">
        <v>41</v>
      </c>
      <c r="C14" s="12">
        <f>C4/76.74</f>
        <v>67.539744592129267</v>
      </c>
      <c r="D14" s="12">
        <f>D4/161.73</f>
        <v>70.809373647437084</v>
      </c>
      <c r="E14" s="12">
        <f>E4/77.61</f>
        <v>70.17136966885711</v>
      </c>
      <c r="F14" s="12">
        <f>F4/41.16</f>
        <v>66.520894071914483</v>
      </c>
      <c r="G14" s="12">
        <f>G4/145.12</f>
        <v>75.144707828004414</v>
      </c>
      <c r="H14" s="12">
        <f>H4/502.36</f>
        <v>71.11234970937177</v>
      </c>
      <c r="I14" s="12">
        <f>I4/588.05</f>
        <v>89.196496896522405</v>
      </c>
    </row>
    <row r="15" spans="1:9" x14ac:dyDescent="0.25">
      <c r="B15" s="6" t="s">
        <v>42</v>
      </c>
      <c r="C15" s="12">
        <f t="shared" ref="C15:C16" si="2">C5/76.74</f>
        <v>32.395100338806358</v>
      </c>
      <c r="D15" s="12">
        <f t="shared" ref="D15:D16" si="3">D5/161.73</f>
        <v>29.13497804983615</v>
      </c>
      <c r="E15" s="12">
        <f t="shared" ref="E15:E16" si="4">E5/77.61</f>
        <v>29.777090581110681</v>
      </c>
      <c r="F15" s="12">
        <f t="shared" ref="F15:F16" si="5">F5/41.16</f>
        <v>33.43051506316813</v>
      </c>
      <c r="G15" s="12">
        <f t="shared" ref="G15:G16" si="6">G5/145.12</f>
        <v>24.827728776185225</v>
      </c>
      <c r="H15" s="12">
        <f t="shared" ref="H15:H16" si="7">H5/502.36</f>
        <v>28.839875786288715</v>
      </c>
      <c r="I15" s="12">
        <f>I5/588.05</f>
        <v>10.777995068446561</v>
      </c>
    </row>
    <row r="16" spans="1:9" x14ac:dyDescent="0.25">
      <c r="B16" s="6" t="s">
        <v>23</v>
      </c>
      <c r="C16" s="12">
        <f t="shared" si="2"/>
        <v>6.5155069064373211E-2</v>
      </c>
      <c r="D16" s="12">
        <f t="shared" si="3"/>
        <v>5.5648302726766838E-2</v>
      </c>
      <c r="E16" s="12">
        <f t="shared" si="4"/>
        <v>5.1539750032212346E-2</v>
      </c>
      <c r="F16" s="12">
        <f t="shared" si="5"/>
        <v>4.8590864917395532E-2</v>
      </c>
      <c r="G16" s="12">
        <f t="shared" si="6"/>
        <v>2.7563395810363836E-2</v>
      </c>
      <c r="H16" s="12">
        <f t="shared" si="7"/>
        <v>4.7774504339517479E-2</v>
      </c>
      <c r="I16" s="12">
        <f>I6/588.05</f>
        <v>2.5508035031034777E-2</v>
      </c>
    </row>
  </sheetData>
  <mergeCells count="9">
    <mergeCell ref="A1:B2"/>
    <mergeCell ref="C1:G1"/>
    <mergeCell ref="H1:H2"/>
    <mergeCell ref="C2:D2"/>
    <mergeCell ref="F2:G2"/>
    <mergeCell ref="C11:G11"/>
    <mergeCell ref="H11:H12"/>
    <mergeCell ref="C12:D12"/>
    <mergeCell ref="F12:G1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16" sqref="A1:I16"/>
    </sheetView>
  </sheetViews>
  <sheetFormatPr defaultRowHeight="15" x14ac:dyDescent="0.25"/>
  <cols>
    <col min="2" max="2" width="13.140625" customWidth="1"/>
    <col min="3" max="8" width="12" bestFit="1" customWidth="1"/>
    <col min="9" max="9" width="17.42578125" bestFit="1" customWidth="1"/>
  </cols>
  <sheetData>
    <row r="1" spans="1:9" x14ac:dyDescent="0.25">
      <c r="A1" s="14" t="s">
        <v>50</v>
      </c>
      <c r="B1" s="14"/>
      <c r="C1" s="13" t="s">
        <v>0</v>
      </c>
      <c r="D1" s="13"/>
      <c r="E1" s="13"/>
      <c r="F1" s="13"/>
      <c r="G1" s="13"/>
      <c r="H1" s="13" t="s">
        <v>25</v>
      </c>
      <c r="I1" s="12" t="s">
        <v>8</v>
      </c>
    </row>
    <row r="2" spans="1:9" x14ac:dyDescent="0.25">
      <c r="A2" s="14"/>
      <c r="B2" s="14"/>
      <c r="C2" s="13" t="s">
        <v>1</v>
      </c>
      <c r="D2" s="13"/>
      <c r="E2" s="12" t="s">
        <v>4</v>
      </c>
      <c r="F2" s="13" t="s">
        <v>5</v>
      </c>
      <c r="G2" s="13"/>
      <c r="H2" s="13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6"/>
      <c r="B4" s="6" t="s">
        <v>41</v>
      </c>
      <c r="C4" s="12">
        <v>3741</v>
      </c>
      <c r="D4" s="12">
        <v>9221</v>
      </c>
      <c r="E4" s="12">
        <v>4702</v>
      </c>
      <c r="F4" s="12">
        <v>2443</v>
      </c>
      <c r="G4" s="12">
        <v>9928</v>
      </c>
      <c r="H4" s="12">
        <f>SUM(C4:G4)</f>
        <v>30035</v>
      </c>
      <c r="I4" s="12">
        <v>52786</v>
      </c>
    </row>
    <row r="5" spans="1:9" x14ac:dyDescent="0.25">
      <c r="A5" s="6"/>
      <c r="B5" s="6" t="s">
        <v>42</v>
      </c>
      <c r="C5" s="12">
        <v>3930</v>
      </c>
      <c r="D5" s="12">
        <v>6941</v>
      </c>
      <c r="E5" s="12">
        <v>3053</v>
      </c>
      <c r="F5" s="12">
        <v>1672</v>
      </c>
      <c r="G5" s="12">
        <v>4580</v>
      </c>
      <c r="H5" s="12">
        <f>SUM(C5:G5)</f>
        <v>20176</v>
      </c>
      <c r="I5" s="12">
        <v>6004</v>
      </c>
    </row>
    <row r="6" spans="1:9" x14ac:dyDescent="0.25">
      <c r="A6" s="6"/>
      <c r="B6" s="6" t="s">
        <v>23</v>
      </c>
      <c r="C6" s="12">
        <v>3</v>
      </c>
      <c r="D6" s="12">
        <v>11</v>
      </c>
      <c r="E6" s="12">
        <v>6</v>
      </c>
      <c r="F6" s="12">
        <v>1</v>
      </c>
      <c r="G6" s="12">
        <v>4</v>
      </c>
      <c r="H6" s="12">
        <f>SUM(C6:G6)</f>
        <v>25</v>
      </c>
      <c r="I6" s="12">
        <v>15</v>
      </c>
    </row>
    <row r="7" spans="1:9" x14ac:dyDescent="0.25">
      <c r="A7" s="6"/>
      <c r="B7" s="6" t="s">
        <v>26</v>
      </c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3" t="s">
        <v>0</v>
      </c>
      <c r="D11" s="13"/>
      <c r="E11" s="13"/>
      <c r="F11" s="13"/>
      <c r="G11" s="13"/>
      <c r="H11" s="13" t="s">
        <v>25</v>
      </c>
      <c r="I11" s="12" t="s">
        <v>8</v>
      </c>
    </row>
    <row r="12" spans="1:9" x14ac:dyDescent="0.25">
      <c r="C12" s="13" t="s">
        <v>1</v>
      </c>
      <c r="D12" s="13"/>
      <c r="E12" s="12" t="s">
        <v>4</v>
      </c>
      <c r="F12" s="13" t="s">
        <v>5</v>
      </c>
      <c r="G12" s="13"/>
      <c r="H12" s="13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B14" s="6" t="s">
        <v>41</v>
      </c>
      <c r="C14" s="12">
        <f>C4/76.74</f>
        <v>48.749022673964035</v>
      </c>
      <c r="D14" s="12">
        <f>D4/161.73</f>
        <v>57.014777715946337</v>
      </c>
      <c r="E14" s="12">
        <f>E4/77.61</f>
        <v>60.584976162865608</v>
      </c>
      <c r="F14" s="12">
        <f>F4/41.16</f>
        <v>59.353741496598644</v>
      </c>
      <c r="G14" s="12">
        <f>G4/145.12</f>
        <v>68.412348401323044</v>
      </c>
      <c r="H14" s="12">
        <f>H4/502.36</f>
        <v>59.787801576558643</v>
      </c>
      <c r="I14" s="12">
        <f>I4/588.05</f>
        <v>89.764475809880125</v>
      </c>
    </row>
    <row r="15" spans="1:9" x14ac:dyDescent="0.25">
      <c r="B15" s="6" t="s">
        <v>42</v>
      </c>
      <c r="C15" s="12">
        <f t="shared" ref="C15:C16" si="2">C5/76.74</f>
        <v>51.211884284597346</v>
      </c>
      <c r="D15" s="12">
        <f t="shared" ref="D15:D16" si="3">D5/161.73</f>
        <v>42.917207691832068</v>
      </c>
      <c r="E15" s="12">
        <f t="shared" ref="E15:E16" si="4">E5/77.61</f>
        <v>39.33771421208607</v>
      </c>
      <c r="F15" s="12">
        <f t="shared" ref="F15:F16" si="5">F5/41.16</f>
        <v>40.62196307094267</v>
      </c>
      <c r="G15" s="12">
        <f t="shared" ref="G15:G16" si="6">G5/145.12</f>
        <v>31.560088202866591</v>
      </c>
      <c r="H15" s="12">
        <f t="shared" ref="H15:H16" si="7">H5/502.36</f>
        <v>40.16243331475436</v>
      </c>
      <c r="I15" s="12">
        <f>I5/588.05</f>
        <v>10.210016155088853</v>
      </c>
    </row>
    <row r="16" spans="1:9" x14ac:dyDescent="0.25">
      <c r="B16" s="6" t="s">
        <v>23</v>
      </c>
      <c r="C16" s="12">
        <f t="shared" si="2"/>
        <v>3.9093041438623931E-2</v>
      </c>
      <c r="D16" s="12">
        <f t="shared" si="3"/>
        <v>6.8014592221603914E-2</v>
      </c>
      <c r="E16" s="12">
        <f t="shared" si="4"/>
        <v>7.7309625048318523E-2</v>
      </c>
      <c r="F16" s="12">
        <f t="shared" si="5"/>
        <v>2.4295432458697766E-2</v>
      </c>
      <c r="G16" s="12">
        <f t="shared" si="6"/>
        <v>2.7563395810363836E-2</v>
      </c>
      <c r="H16" s="12">
        <f t="shared" si="7"/>
        <v>4.9765108686997371E-2</v>
      </c>
      <c r="I16" s="12">
        <f>I6/588.05</f>
        <v>2.5508035031034777E-2</v>
      </c>
    </row>
  </sheetData>
  <mergeCells count="9">
    <mergeCell ref="A1:B2"/>
    <mergeCell ref="C1:G1"/>
    <mergeCell ref="H1:H2"/>
    <mergeCell ref="C2:D2"/>
    <mergeCell ref="F2:G2"/>
    <mergeCell ref="C11:G11"/>
    <mergeCell ref="H11:H12"/>
    <mergeCell ref="C12:D12"/>
    <mergeCell ref="F12:G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16" sqref="A1:I16"/>
    </sheetView>
  </sheetViews>
  <sheetFormatPr defaultRowHeight="15" x14ac:dyDescent="0.25"/>
  <cols>
    <col min="2" max="2" width="10.7109375" customWidth="1"/>
    <col min="3" max="8" width="12" bestFit="1" customWidth="1"/>
    <col min="9" max="9" width="17.42578125" bestFit="1" customWidth="1"/>
  </cols>
  <sheetData>
    <row r="1" spans="1:9" x14ac:dyDescent="0.25">
      <c r="A1" s="14" t="s">
        <v>50</v>
      </c>
      <c r="B1" s="14"/>
      <c r="C1" s="13" t="s">
        <v>0</v>
      </c>
      <c r="D1" s="13"/>
      <c r="E1" s="13"/>
      <c r="F1" s="13"/>
      <c r="G1" s="13"/>
      <c r="H1" s="13" t="s">
        <v>25</v>
      </c>
      <c r="I1" s="12" t="s">
        <v>8</v>
      </c>
    </row>
    <row r="2" spans="1:9" x14ac:dyDescent="0.25">
      <c r="A2" s="14"/>
      <c r="B2" s="14"/>
      <c r="C2" s="13" t="s">
        <v>1</v>
      </c>
      <c r="D2" s="13"/>
      <c r="E2" s="12" t="s">
        <v>4</v>
      </c>
      <c r="F2" s="13" t="s">
        <v>5</v>
      </c>
      <c r="G2" s="13"/>
      <c r="H2" s="13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6"/>
      <c r="B4" s="6" t="s">
        <v>41</v>
      </c>
      <c r="C4" s="12">
        <v>632</v>
      </c>
      <c r="D4" s="12">
        <v>1149</v>
      </c>
      <c r="E4" s="12">
        <v>563</v>
      </c>
      <c r="F4" s="12">
        <v>362</v>
      </c>
      <c r="G4" s="12">
        <v>1477</v>
      </c>
      <c r="H4" s="12">
        <f>SUM(C4:G4)</f>
        <v>4183</v>
      </c>
      <c r="I4" s="12">
        <v>14678</v>
      </c>
    </row>
    <row r="5" spans="1:9" x14ac:dyDescent="0.25">
      <c r="A5" s="6"/>
      <c r="B5" s="6" t="s">
        <v>42</v>
      </c>
      <c r="C5" s="12">
        <v>7039</v>
      </c>
      <c r="D5" s="12">
        <v>15017</v>
      </c>
      <c r="E5" s="12">
        <v>7194</v>
      </c>
      <c r="F5" s="12">
        <v>3753</v>
      </c>
      <c r="G5" s="12">
        <v>13032</v>
      </c>
      <c r="H5" s="12">
        <f>SUM(C5:G5)</f>
        <v>46035</v>
      </c>
      <c r="I5" s="12">
        <v>44112</v>
      </c>
    </row>
    <row r="6" spans="1:9" x14ac:dyDescent="0.25">
      <c r="A6" s="6"/>
      <c r="B6" s="6" t="s">
        <v>23</v>
      </c>
      <c r="C6" s="12">
        <v>3</v>
      </c>
      <c r="D6" s="12">
        <v>7</v>
      </c>
      <c r="E6" s="12">
        <v>4</v>
      </c>
      <c r="F6" s="12">
        <v>1</v>
      </c>
      <c r="G6" s="12">
        <v>3</v>
      </c>
      <c r="H6" s="12">
        <f>SUM(C6:G6)</f>
        <v>18</v>
      </c>
      <c r="I6" s="12">
        <v>15</v>
      </c>
    </row>
    <row r="7" spans="1:9" x14ac:dyDescent="0.25">
      <c r="A7" s="6"/>
      <c r="B7" s="6" t="s">
        <v>26</v>
      </c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3" t="s">
        <v>0</v>
      </c>
      <c r="D11" s="13"/>
      <c r="E11" s="13"/>
      <c r="F11" s="13"/>
      <c r="G11" s="13"/>
      <c r="H11" s="13" t="s">
        <v>25</v>
      </c>
      <c r="I11" s="12" t="s">
        <v>8</v>
      </c>
    </row>
    <row r="12" spans="1:9" x14ac:dyDescent="0.25">
      <c r="C12" s="13" t="s">
        <v>1</v>
      </c>
      <c r="D12" s="13"/>
      <c r="E12" s="12" t="s">
        <v>4</v>
      </c>
      <c r="F12" s="13" t="s">
        <v>5</v>
      </c>
      <c r="G12" s="13"/>
      <c r="H12" s="13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B14" s="6" t="s">
        <v>41</v>
      </c>
      <c r="C14" s="12">
        <f>C4/76.74</f>
        <v>8.2356007297367739</v>
      </c>
      <c r="D14" s="12">
        <f>D4/161.73</f>
        <v>7.1044333147838996</v>
      </c>
      <c r="E14" s="12">
        <f>E4/77.61</f>
        <v>7.2542198170338876</v>
      </c>
      <c r="F14" s="12">
        <f>F4/41.16</f>
        <v>8.794946550048591</v>
      </c>
      <c r="G14" s="12">
        <f>G4/145.12</f>
        <v>10.177783902976847</v>
      </c>
      <c r="H14" s="12">
        <f>H4/502.36</f>
        <v>8.3266979855083996</v>
      </c>
      <c r="I14" s="12">
        <f>I4/588.05</f>
        <v>24.960462545701898</v>
      </c>
    </row>
    <row r="15" spans="1:9" x14ac:dyDescent="0.25">
      <c r="B15" s="6" t="s">
        <v>42</v>
      </c>
      <c r="C15" s="12">
        <f t="shared" ref="C15:C16" si="2">C5/76.74</f>
        <v>91.725306228824607</v>
      </c>
      <c r="D15" s="12">
        <f t="shared" ref="D15:D16" si="3">D5/161.73</f>
        <v>92.852284671984179</v>
      </c>
      <c r="E15" s="12">
        <f t="shared" ref="E15:E16" si="4">E5/77.61</f>
        <v>92.694240432933896</v>
      </c>
      <c r="F15" s="12">
        <f t="shared" ref="F15:F16" si="5">F5/41.16</f>
        <v>91.180758017492721</v>
      </c>
      <c r="G15" s="12">
        <f t="shared" ref="G15:G16" si="6">G5/145.12</f>
        <v>89.801543550165377</v>
      </c>
      <c r="H15" s="12">
        <f t="shared" ref="H15:H16" si="7">H5/502.36</f>
        <v>91.637471136236954</v>
      </c>
      <c r="I15" s="12">
        <f>I5/588.05</f>
        <v>75.014029419267075</v>
      </c>
    </row>
    <row r="16" spans="1:9" x14ac:dyDescent="0.25">
      <c r="B16" s="6" t="s">
        <v>23</v>
      </c>
      <c r="C16" s="12">
        <f t="shared" si="2"/>
        <v>3.9093041438623931E-2</v>
      </c>
      <c r="D16" s="12">
        <f t="shared" si="3"/>
        <v>4.3282013231929761E-2</v>
      </c>
      <c r="E16" s="12">
        <f t="shared" si="4"/>
        <v>5.1539750032212346E-2</v>
      </c>
      <c r="F16" s="12">
        <f t="shared" si="5"/>
        <v>2.4295432458697766E-2</v>
      </c>
      <c r="G16" s="12">
        <f t="shared" si="6"/>
        <v>2.0672546857772877E-2</v>
      </c>
      <c r="H16" s="12">
        <f t="shared" si="7"/>
        <v>3.5830878254638106E-2</v>
      </c>
      <c r="I16" s="12">
        <f>I6/588.05</f>
        <v>2.5508035031034777E-2</v>
      </c>
    </row>
  </sheetData>
  <mergeCells count="9">
    <mergeCell ref="A1:B2"/>
    <mergeCell ref="C1:G1"/>
    <mergeCell ref="H1:H2"/>
    <mergeCell ref="C2:D2"/>
    <mergeCell ref="F2:G2"/>
    <mergeCell ref="C11:G11"/>
    <mergeCell ref="H11:H12"/>
    <mergeCell ref="C12:D12"/>
    <mergeCell ref="F12:G1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20" sqref="I20"/>
    </sheetView>
  </sheetViews>
  <sheetFormatPr defaultRowHeight="15" x14ac:dyDescent="0.25"/>
  <cols>
    <col min="2" max="2" width="14.85546875" customWidth="1"/>
    <col min="3" max="8" width="12" bestFit="1" customWidth="1"/>
    <col min="9" max="9" width="17.42578125" bestFit="1" customWidth="1"/>
  </cols>
  <sheetData>
    <row r="1" spans="1:9" x14ac:dyDescent="0.25">
      <c r="A1" s="14" t="s">
        <v>51</v>
      </c>
      <c r="B1" s="14"/>
      <c r="C1" s="13" t="s">
        <v>0</v>
      </c>
      <c r="D1" s="13"/>
      <c r="E1" s="13"/>
      <c r="F1" s="13"/>
      <c r="G1" s="13"/>
      <c r="H1" s="13" t="s">
        <v>25</v>
      </c>
      <c r="I1" s="12" t="s">
        <v>8</v>
      </c>
    </row>
    <row r="2" spans="1:9" x14ac:dyDescent="0.25">
      <c r="A2" s="14"/>
      <c r="B2" s="14"/>
      <c r="C2" s="13" t="s">
        <v>1</v>
      </c>
      <c r="D2" s="13"/>
      <c r="E2" s="12" t="s">
        <v>4</v>
      </c>
      <c r="F2" s="13" t="s">
        <v>5</v>
      </c>
      <c r="G2" s="13"/>
      <c r="H2" s="13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6"/>
      <c r="B4" s="6" t="s">
        <v>41</v>
      </c>
      <c r="C4" s="12">
        <v>7641</v>
      </c>
      <c r="D4" s="12">
        <v>15981</v>
      </c>
      <c r="E4" s="12">
        <v>7677</v>
      </c>
      <c r="F4" s="12">
        <v>4088</v>
      </c>
      <c r="G4" s="12">
        <v>14354</v>
      </c>
      <c r="H4" s="12">
        <f>SUM(C4:G4)</f>
        <v>49741</v>
      </c>
      <c r="I4" s="12">
        <v>55031</v>
      </c>
    </row>
    <row r="5" spans="1:9" x14ac:dyDescent="0.25">
      <c r="A5" s="6"/>
      <c r="B5" s="6" t="s">
        <v>42</v>
      </c>
      <c r="C5" s="12">
        <v>27</v>
      </c>
      <c r="D5" s="12">
        <v>175</v>
      </c>
      <c r="E5" s="12">
        <v>79</v>
      </c>
      <c r="F5" s="12">
        <v>26</v>
      </c>
      <c r="G5" s="12">
        <v>153</v>
      </c>
      <c r="H5" s="12">
        <f>SUM(C5:G5)</f>
        <v>460</v>
      </c>
      <c r="I5" s="12">
        <v>3754</v>
      </c>
    </row>
    <row r="6" spans="1:9" x14ac:dyDescent="0.25">
      <c r="A6" s="6"/>
      <c r="B6" s="6" t="s">
        <v>23</v>
      </c>
      <c r="C6" s="12">
        <v>6</v>
      </c>
      <c r="D6" s="12">
        <v>17</v>
      </c>
      <c r="E6" s="12">
        <v>5</v>
      </c>
      <c r="F6" s="12">
        <v>2</v>
      </c>
      <c r="G6" s="12">
        <v>5</v>
      </c>
      <c r="H6" s="12">
        <f>SUM(C6:G6)</f>
        <v>35</v>
      </c>
      <c r="I6" s="12">
        <v>20</v>
      </c>
    </row>
    <row r="7" spans="1:9" x14ac:dyDescent="0.25">
      <c r="A7" s="6"/>
      <c r="B7" s="6" t="s">
        <v>26</v>
      </c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3" t="s">
        <v>0</v>
      </c>
      <c r="D11" s="13"/>
      <c r="E11" s="13"/>
      <c r="F11" s="13"/>
      <c r="G11" s="13"/>
      <c r="H11" s="13" t="s">
        <v>25</v>
      </c>
      <c r="I11" s="12" t="s">
        <v>8</v>
      </c>
    </row>
    <row r="12" spans="1:9" x14ac:dyDescent="0.25">
      <c r="C12" s="13" t="s">
        <v>1</v>
      </c>
      <c r="D12" s="13"/>
      <c r="E12" s="12" t="s">
        <v>4</v>
      </c>
      <c r="F12" s="13" t="s">
        <v>5</v>
      </c>
      <c r="G12" s="13"/>
      <c r="H12" s="13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B14" s="6" t="s">
        <v>41</v>
      </c>
      <c r="C14" s="12">
        <f>C4/76.74</f>
        <v>99.569976544175148</v>
      </c>
      <c r="D14" s="12">
        <f>D4/161.73</f>
        <v>98.812836208495654</v>
      </c>
      <c r="E14" s="12">
        <f>E4/77.61</f>
        <v>98.917665249323548</v>
      </c>
      <c r="F14" s="12">
        <f>F4/41.16</f>
        <v>99.319727891156475</v>
      </c>
      <c r="G14" s="12">
        <f>G4/145.12</f>
        <v>98.911245865490628</v>
      </c>
      <c r="H14" s="12">
        <f>H4/502.36</f>
        <v>99.014650847997444</v>
      </c>
      <c r="I14" s="12">
        <f>I4/588.05</f>
        <v>93.582178386191657</v>
      </c>
    </row>
    <row r="15" spans="1:9" x14ac:dyDescent="0.25">
      <c r="B15" s="6" t="s">
        <v>42</v>
      </c>
      <c r="C15" s="12">
        <f t="shared" ref="C15:C16" si="2">C5/76.74</f>
        <v>0.35183737294761536</v>
      </c>
      <c r="D15" s="12">
        <f t="shared" ref="D15:D16" si="3">D5/161.73</f>
        <v>1.0820503307982441</v>
      </c>
      <c r="E15" s="12">
        <f t="shared" ref="E15:E16" si="4">E5/77.61</f>
        <v>1.0179100631361937</v>
      </c>
      <c r="F15" s="12">
        <f t="shared" ref="F15:F16" si="5">F5/41.16</f>
        <v>0.63168124392614189</v>
      </c>
      <c r="G15" s="12">
        <f t="shared" ref="G15:G16" si="6">G5/145.12</f>
        <v>1.0542998897464166</v>
      </c>
      <c r="H15" s="12">
        <f t="shared" ref="H15:H16" si="7">H5/502.36</f>
        <v>0.9156779998407516</v>
      </c>
      <c r="I15" s="12">
        <f>I5/588.05</f>
        <v>6.3838109004336374</v>
      </c>
    </row>
    <row r="16" spans="1:9" x14ac:dyDescent="0.25">
      <c r="B16" s="6" t="s">
        <v>23</v>
      </c>
      <c r="C16" s="12">
        <f t="shared" si="2"/>
        <v>7.8186082877247862E-2</v>
      </c>
      <c r="D16" s="12">
        <f t="shared" si="3"/>
        <v>0.10511346070611513</v>
      </c>
      <c r="E16" s="12">
        <f t="shared" si="4"/>
        <v>6.4424687540265424E-2</v>
      </c>
      <c r="F16" s="12">
        <f t="shared" si="5"/>
        <v>4.8590864917395532E-2</v>
      </c>
      <c r="G16" s="12">
        <f t="shared" si="6"/>
        <v>3.4454244762954792E-2</v>
      </c>
      <c r="H16" s="12">
        <f t="shared" si="7"/>
        <v>6.9671152161796313E-2</v>
      </c>
      <c r="I16" s="12">
        <f>I6/588.05</f>
        <v>3.4010713374713036E-2</v>
      </c>
    </row>
  </sheetData>
  <mergeCells count="9">
    <mergeCell ref="A1:B2"/>
    <mergeCell ref="C1:G1"/>
    <mergeCell ref="H1:H2"/>
    <mergeCell ref="C2:D2"/>
    <mergeCell ref="F2:G2"/>
    <mergeCell ref="C11:G11"/>
    <mergeCell ref="H11:H12"/>
    <mergeCell ref="C12:D12"/>
    <mergeCell ref="F12:G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E23" sqref="E23"/>
    </sheetView>
  </sheetViews>
  <sheetFormatPr defaultRowHeight="15" x14ac:dyDescent="0.25"/>
  <cols>
    <col min="4" max="8" width="12" bestFit="1" customWidth="1"/>
    <col min="9" max="9" width="17.42578125" bestFit="1" customWidth="1"/>
  </cols>
  <sheetData>
    <row r="1" spans="1:9" x14ac:dyDescent="0.25">
      <c r="A1" s="14" t="s">
        <v>52</v>
      </c>
      <c r="B1" s="14"/>
      <c r="C1" s="13" t="s">
        <v>0</v>
      </c>
      <c r="D1" s="13"/>
      <c r="E1" s="13"/>
      <c r="F1" s="13"/>
      <c r="G1" s="13"/>
      <c r="H1" s="13" t="s">
        <v>25</v>
      </c>
      <c r="I1" s="12" t="s">
        <v>8</v>
      </c>
    </row>
    <row r="2" spans="1:9" x14ac:dyDescent="0.25">
      <c r="A2" s="14"/>
      <c r="B2" s="14"/>
      <c r="C2" s="13" t="s">
        <v>1</v>
      </c>
      <c r="D2" s="13"/>
      <c r="E2" s="12" t="s">
        <v>4</v>
      </c>
      <c r="F2" s="13" t="s">
        <v>5</v>
      </c>
      <c r="G2" s="13"/>
      <c r="H2" s="13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6"/>
      <c r="B4" s="6" t="s">
        <v>41</v>
      </c>
      <c r="C4" s="12">
        <v>1954</v>
      </c>
      <c r="D4" s="12">
        <v>2900</v>
      </c>
      <c r="E4" s="12">
        <v>1288</v>
      </c>
      <c r="F4" s="12">
        <v>698</v>
      </c>
      <c r="G4" s="12">
        <v>3181</v>
      </c>
      <c r="H4" s="12">
        <f>SUM(C4:G4)</f>
        <v>10021</v>
      </c>
      <c r="I4" s="12">
        <v>26866</v>
      </c>
    </row>
    <row r="5" spans="1:9" x14ac:dyDescent="0.25">
      <c r="A5" s="6"/>
      <c r="B5" s="6" t="s">
        <v>42</v>
      </c>
      <c r="C5" s="12">
        <v>5718</v>
      </c>
      <c r="D5" s="12">
        <v>13263</v>
      </c>
      <c r="E5" s="12">
        <v>6469</v>
      </c>
      <c r="F5" s="12">
        <v>3416</v>
      </c>
      <c r="G5" s="12">
        <v>11331</v>
      </c>
      <c r="H5" s="12">
        <f>SUM(C5:G5)</f>
        <v>40197</v>
      </c>
      <c r="I5" s="12">
        <v>31921</v>
      </c>
    </row>
    <row r="6" spans="1:9" x14ac:dyDescent="0.25">
      <c r="A6" s="6"/>
      <c r="B6" s="6" t="s">
        <v>23</v>
      </c>
      <c r="C6" s="12">
        <v>2</v>
      </c>
      <c r="D6" s="12">
        <v>10</v>
      </c>
      <c r="E6" s="12">
        <v>4</v>
      </c>
      <c r="F6" s="12">
        <v>2</v>
      </c>
      <c r="G6" s="12">
        <v>0</v>
      </c>
      <c r="H6" s="12">
        <f>SUM(C6:G6)</f>
        <v>18</v>
      </c>
      <c r="I6" s="12">
        <v>18</v>
      </c>
    </row>
    <row r="7" spans="1:9" x14ac:dyDescent="0.25">
      <c r="A7" s="6"/>
      <c r="B7" s="6" t="s">
        <v>26</v>
      </c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3" t="s">
        <v>0</v>
      </c>
      <c r="D11" s="13"/>
      <c r="E11" s="13"/>
      <c r="F11" s="13"/>
      <c r="G11" s="13"/>
      <c r="H11" s="13" t="s">
        <v>25</v>
      </c>
      <c r="I11" s="12" t="s">
        <v>8</v>
      </c>
    </row>
    <row r="12" spans="1:9" x14ac:dyDescent="0.25">
      <c r="C12" s="13" t="s">
        <v>1</v>
      </c>
      <c r="D12" s="13"/>
      <c r="E12" s="12" t="s">
        <v>4</v>
      </c>
      <c r="F12" s="13" t="s">
        <v>5</v>
      </c>
      <c r="G12" s="13"/>
      <c r="H12" s="13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B14" s="6" t="s">
        <v>41</v>
      </c>
      <c r="C14" s="12">
        <f>C4/76.74</f>
        <v>25.46260099035705</v>
      </c>
      <c r="D14" s="12">
        <f>D4/161.73</f>
        <v>17.93111976751376</v>
      </c>
      <c r="E14" s="12">
        <f>E4/77.61</f>
        <v>16.595799510372373</v>
      </c>
      <c r="F14" s="12">
        <f>F4/41.16</f>
        <v>16.95821185617104</v>
      </c>
      <c r="G14" s="12">
        <f>G4/145.12</f>
        <v>21.919790518191842</v>
      </c>
      <c r="H14" s="12">
        <f>H4/502.36</f>
        <v>19.947846166096028</v>
      </c>
      <c r="I14" s="12">
        <f>I4/588.05</f>
        <v>45.686591276252024</v>
      </c>
    </row>
    <row r="15" spans="1:9" x14ac:dyDescent="0.25">
      <c r="B15" s="6" t="s">
        <v>42</v>
      </c>
      <c r="C15" s="12">
        <f t="shared" ref="C15:C16" si="2">C5/76.74</f>
        <v>74.511336982017212</v>
      </c>
      <c r="D15" s="12">
        <f t="shared" ref="D15:D16" si="3">D5/161.73</f>
        <v>82.00704878501206</v>
      </c>
      <c r="E15" s="12">
        <f t="shared" ref="E15:E16" si="4">E5/77.61</f>
        <v>83.352660739595407</v>
      </c>
      <c r="F15" s="12">
        <f t="shared" ref="F15:F16" si="5">F5/41.16</f>
        <v>82.993197278911566</v>
      </c>
      <c r="G15" s="12">
        <f t="shared" ref="G15:G16" si="6">G5/145.12</f>
        <v>78.080209481808154</v>
      </c>
      <c r="H15" s="12">
        <f t="shared" ref="H15:H16" si="7">H5/502.36</f>
        <v>80.016322955649329</v>
      </c>
      <c r="I15" s="12">
        <f>I5/588.05</f>
        <v>54.282799081710742</v>
      </c>
    </row>
    <row r="16" spans="1:9" x14ac:dyDescent="0.25">
      <c r="B16" s="6" t="s">
        <v>23</v>
      </c>
      <c r="C16" s="12">
        <f t="shared" si="2"/>
        <v>2.6062027625749284E-2</v>
      </c>
      <c r="D16" s="12">
        <f t="shared" si="3"/>
        <v>6.1831447474185376E-2</v>
      </c>
      <c r="E16" s="12">
        <f t="shared" si="4"/>
        <v>5.1539750032212346E-2</v>
      </c>
      <c r="F16" s="12">
        <f t="shared" si="5"/>
        <v>4.8590864917395532E-2</v>
      </c>
      <c r="G16" s="12">
        <f t="shared" si="6"/>
        <v>0</v>
      </c>
      <c r="H16" s="12">
        <f t="shared" si="7"/>
        <v>3.5830878254638106E-2</v>
      </c>
      <c r="I16" s="12">
        <f>I6/588.05</f>
        <v>3.0609642037241733E-2</v>
      </c>
    </row>
  </sheetData>
  <mergeCells count="9">
    <mergeCell ref="A1:B2"/>
    <mergeCell ref="C1:G1"/>
    <mergeCell ref="H1:H2"/>
    <mergeCell ref="C2:D2"/>
    <mergeCell ref="F2:G2"/>
    <mergeCell ref="C11:G11"/>
    <mergeCell ref="H11:H12"/>
    <mergeCell ref="C12:D12"/>
    <mergeCell ref="F12:G1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D24" sqref="D24"/>
    </sheetView>
  </sheetViews>
  <sheetFormatPr defaultRowHeight="15" x14ac:dyDescent="0.25"/>
  <cols>
    <col min="2" max="2" width="16.28515625" customWidth="1"/>
    <col min="3" max="8" width="12" bestFit="1" customWidth="1"/>
    <col min="9" max="9" width="17.42578125" bestFit="1" customWidth="1"/>
  </cols>
  <sheetData>
    <row r="1" spans="1:9" x14ac:dyDescent="0.25">
      <c r="A1" s="14" t="s">
        <v>53</v>
      </c>
      <c r="B1" s="14"/>
      <c r="C1" s="13" t="s">
        <v>0</v>
      </c>
      <c r="D1" s="13"/>
      <c r="E1" s="13"/>
      <c r="F1" s="13"/>
      <c r="G1" s="13"/>
      <c r="H1" s="13" t="s">
        <v>25</v>
      </c>
      <c r="I1" s="12" t="s">
        <v>8</v>
      </c>
    </row>
    <row r="2" spans="1:9" x14ac:dyDescent="0.25">
      <c r="A2" s="14"/>
      <c r="B2" s="14"/>
      <c r="C2" s="13" t="s">
        <v>1</v>
      </c>
      <c r="D2" s="13"/>
      <c r="E2" s="12" t="s">
        <v>4</v>
      </c>
      <c r="F2" s="13" t="s">
        <v>5</v>
      </c>
      <c r="G2" s="13"/>
      <c r="H2" s="13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6"/>
      <c r="B4" s="6" t="s">
        <v>41</v>
      </c>
      <c r="C4" s="12">
        <v>1521</v>
      </c>
      <c r="D4" s="12">
        <v>3116</v>
      </c>
      <c r="E4" s="12">
        <v>1861</v>
      </c>
      <c r="F4" s="12">
        <v>1094</v>
      </c>
      <c r="G4" s="12">
        <v>4706</v>
      </c>
      <c r="H4" s="12">
        <f>SUM(C4:G4)</f>
        <v>12298</v>
      </c>
      <c r="I4" s="12">
        <v>39968</v>
      </c>
    </row>
    <row r="5" spans="1:9" x14ac:dyDescent="0.25">
      <c r="A5" s="6"/>
      <c r="B5" s="6" t="s">
        <v>42</v>
      </c>
      <c r="C5" s="12">
        <v>6151</v>
      </c>
      <c r="D5" s="12">
        <v>13044</v>
      </c>
      <c r="E5" s="12">
        <v>5894</v>
      </c>
      <c r="F5" s="12">
        <v>3021</v>
      </c>
      <c r="G5" s="12">
        <v>9804</v>
      </c>
      <c r="H5" s="12">
        <f>SUM(C5:G5)</f>
        <v>37914</v>
      </c>
      <c r="I5" s="12">
        <v>18811</v>
      </c>
    </row>
    <row r="6" spans="1:9" x14ac:dyDescent="0.25">
      <c r="A6" s="6"/>
      <c r="B6" s="6" t="s">
        <v>23</v>
      </c>
      <c r="C6" s="12">
        <v>2</v>
      </c>
      <c r="D6" s="12">
        <v>13</v>
      </c>
      <c r="E6" s="12">
        <v>6</v>
      </c>
      <c r="F6" s="12">
        <v>1</v>
      </c>
      <c r="G6" s="12">
        <v>2</v>
      </c>
      <c r="H6" s="12">
        <f>SUM(C6:G6)</f>
        <v>24</v>
      </c>
      <c r="I6" s="12">
        <v>26</v>
      </c>
    </row>
    <row r="7" spans="1:9" x14ac:dyDescent="0.25">
      <c r="A7" s="6"/>
      <c r="B7" s="6" t="s">
        <v>26</v>
      </c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3" t="s">
        <v>0</v>
      </c>
      <c r="D11" s="13"/>
      <c r="E11" s="13"/>
      <c r="F11" s="13"/>
      <c r="G11" s="13"/>
      <c r="H11" s="13" t="s">
        <v>25</v>
      </c>
      <c r="I11" s="12" t="s">
        <v>8</v>
      </c>
    </row>
    <row r="12" spans="1:9" x14ac:dyDescent="0.25">
      <c r="C12" s="13" t="s">
        <v>1</v>
      </c>
      <c r="D12" s="13"/>
      <c r="E12" s="12" t="s">
        <v>4</v>
      </c>
      <c r="F12" s="13" t="s">
        <v>5</v>
      </c>
      <c r="G12" s="13"/>
      <c r="H12" s="13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B14" s="6" t="s">
        <v>41</v>
      </c>
      <c r="C14" s="12">
        <f>C4/76.74</f>
        <v>19.820172009382333</v>
      </c>
      <c r="D14" s="12">
        <f>D4/161.73</f>
        <v>19.266679032956162</v>
      </c>
      <c r="E14" s="12">
        <f>E4/77.61</f>
        <v>23.978868702486793</v>
      </c>
      <c r="F14" s="12">
        <f>F4/41.16</f>
        <v>26.579203109815356</v>
      </c>
      <c r="G14" s="12">
        <f>G4/145.12</f>
        <v>32.42833517089305</v>
      </c>
      <c r="H14" s="12">
        <f>H4/502.36</f>
        <v>24.480452265307747</v>
      </c>
      <c r="I14" s="12">
        <f>I4/588.05</f>
        <v>67.96700960802653</v>
      </c>
    </row>
    <row r="15" spans="1:9" x14ac:dyDescent="0.25">
      <c r="B15" s="6" t="s">
        <v>42</v>
      </c>
      <c r="C15" s="12">
        <f t="shared" ref="C15:C16" si="2">C5/76.74</f>
        <v>80.153765962991926</v>
      </c>
      <c r="D15" s="12">
        <f t="shared" ref="D15:D16" si="3">D5/161.73</f>
        <v>80.652940085327401</v>
      </c>
      <c r="E15" s="12">
        <f t="shared" ref="E15:E16" si="4">E5/77.61</f>
        <v>75.943821672464892</v>
      </c>
      <c r="F15" s="12">
        <f t="shared" ref="F15:F16" si="5">F5/41.16</f>
        <v>73.396501457725947</v>
      </c>
      <c r="G15" s="12">
        <f t="shared" ref="G15:G16" si="6">G5/145.12</f>
        <v>67.557883131201763</v>
      </c>
      <c r="H15" s="12">
        <f t="shared" ref="H15:H16" si="7">H5/502.36</f>
        <v>75.471773230352738</v>
      </c>
      <c r="I15" s="12">
        <f>I5/588.05</f>
        <v>31.988776464586348</v>
      </c>
    </row>
    <row r="16" spans="1:9" x14ac:dyDescent="0.25">
      <c r="B16" s="6" t="s">
        <v>23</v>
      </c>
      <c r="C16" s="12">
        <f t="shared" si="2"/>
        <v>2.6062027625749284E-2</v>
      </c>
      <c r="D16" s="12">
        <f t="shared" si="3"/>
        <v>8.0380881716440991E-2</v>
      </c>
      <c r="E16" s="12">
        <f t="shared" si="4"/>
        <v>7.7309625048318523E-2</v>
      </c>
      <c r="F16" s="12">
        <f t="shared" si="5"/>
        <v>2.4295432458697766E-2</v>
      </c>
      <c r="G16" s="12">
        <f t="shared" si="6"/>
        <v>1.3781697905181918E-2</v>
      </c>
      <c r="H16" s="12">
        <f t="shared" si="7"/>
        <v>4.7774504339517479E-2</v>
      </c>
      <c r="I16" s="12">
        <f>I6/588.05</f>
        <v>4.4213927387126949E-2</v>
      </c>
    </row>
  </sheetData>
  <mergeCells count="9">
    <mergeCell ref="A1:B2"/>
    <mergeCell ref="C1:G1"/>
    <mergeCell ref="H1:H2"/>
    <mergeCell ref="C2:D2"/>
    <mergeCell ref="F2:G2"/>
    <mergeCell ref="C11:G11"/>
    <mergeCell ref="H11:H12"/>
    <mergeCell ref="C12:D12"/>
    <mergeCell ref="F12:G1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D23" sqref="D23"/>
    </sheetView>
  </sheetViews>
  <sheetFormatPr defaultRowHeight="15" x14ac:dyDescent="0.25"/>
  <cols>
    <col min="2" max="2" width="15.85546875" customWidth="1"/>
    <col min="3" max="8" width="12" bestFit="1" customWidth="1"/>
    <col min="9" max="9" width="17.42578125" bestFit="1" customWidth="1"/>
  </cols>
  <sheetData>
    <row r="1" spans="1:9" x14ac:dyDescent="0.25">
      <c r="A1" s="14" t="s">
        <v>54</v>
      </c>
      <c r="B1" s="14"/>
      <c r="C1" s="13" t="s">
        <v>0</v>
      </c>
      <c r="D1" s="13"/>
      <c r="E1" s="13"/>
      <c r="F1" s="13"/>
      <c r="G1" s="13"/>
      <c r="H1" s="13" t="s">
        <v>25</v>
      </c>
      <c r="I1" s="12" t="s">
        <v>8</v>
      </c>
    </row>
    <row r="2" spans="1:9" x14ac:dyDescent="0.25">
      <c r="A2" s="14"/>
      <c r="B2" s="14"/>
      <c r="C2" s="13" t="s">
        <v>1</v>
      </c>
      <c r="D2" s="13"/>
      <c r="E2" s="12" t="s">
        <v>4</v>
      </c>
      <c r="F2" s="13" t="s">
        <v>5</v>
      </c>
      <c r="G2" s="13"/>
      <c r="H2" s="13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6"/>
      <c r="B4" s="6" t="s">
        <v>41</v>
      </c>
      <c r="C4" s="12">
        <v>2201</v>
      </c>
      <c r="D4" s="12">
        <v>3406</v>
      </c>
      <c r="E4" s="12">
        <v>1570</v>
      </c>
      <c r="F4" s="12">
        <v>732</v>
      </c>
      <c r="G4" s="12">
        <v>2879</v>
      </c>
      <c r="H4" s="12">
        <f>SUM(C4:G4)</f>
        <v>10788</v>
      </c>
      <c r="I4" s="12">
        <v>28349</v>
      </c>
    </row>
    <row r="5" spans="1:9" x14ac:dyDescent="0.25">
      <c r="A5" s="6"/>
      <c r="B5" s="6" t="s">
        <v>42</v>
      </c>
      <c r="C5" s="12">
        <v>5469</v>
      </c>
      <c r="D5" s="12">
        <v>12757</v>
      </c>
      <c r="E5" s="12">
        <v>6187</v>
      </c>
      <c r="F5" s="12">
        <v>3384</v>
      </c>
      <c r="G5" s="12">
        <v>11627</v>
      </c>
      <c r="H5" s="12">
        <f>SUM(C5:G5)</f>
        <v>39424</v>
      </c>
      <c r="I5" s="12">
        <v>30433</v>
      </c>
    </row>
    <row r="6" spans="1:9" x14ac:dyDescent="0.25">
      <c r="A6" s="6"/>
      <c r="B6" s="6" t="s">
        <v>23</v>
      </c>
      <c r="C6" s="12">
        <v>4</v>
      </c>
      <c r="D6" s="12">
        <v>10</v>
      </c>
      <c r="E6" s="12">
        <v>4</v>
      </c>
      <c r="F6" s="12">
        <v>0</v>
      </c>
      <c r="G6" s="12">
        <v>6</v>
      </c>
      <c r="H6" s="12">
        <f>SUM(C6:G6)</f>
        <v>24</v>
      </c>
      <c r="I6" s="12">
        <v>23</v>
      </c>
    </row>
    <row r="7" spans="1:9" x14ac:dyDescent="0.25">
      <c r="A7" s="6"/>
      <c r="B7" s="6" t="s">
        <v>26</v>
      </c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3" t="s">
        <v>0</v>
      </c>
      <c r="D11" s="13"/>
      <c r="E11" s="13"/>
      <c r="F11" s="13"/>
      <c r="G11" s="13"/>
      <c r="H11" s="13" t="s">
        <v>25</v>
      </c>
      <c r="I11" s="12" t="s">
        <v>8</v>
      </c>
    </row>
    <row r="12" spans="1:9" x14ac:dyDescent="0.25">
      <c r="C12" s="13" t="s">
        <v>1</v>
      </c>
      <c r="D12" s="13"/>
      <c r="E12" s="12" t="s">
        <v>4</v>
      </c>
      <c r="F12" s="13" t="s">
        <v>5</v>
      </c>
      <c r="G12" s="13"/>
      <c r="H12" s="13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B14" s="6" t="s">
        <v>41</v>
      </c>
      <c r="C14" s="12">
        <f>C4/76.74</f>
        <v>28.681261402137089</v>
      </c>
      <c r="D14" s="12">
        <f>D4/161.73</f>
        <v>21.059791009707538</v>
      </c>
      <c r="E14" s="12">
        <f>E4/77.61</f>
        <v>20.229351887643347</v>
      </c>
      <c r="F14" s="12">
        <f>F4/41.16</f>
        <v>17.784256559766764</v>
      </c>
      <c r="G14" s="12">
        <f>G4/145.12</f>
        <v>19.838754134509372</v>
      </c>
      <c r="H14" s="12">
        <f>H4/502.36</f>
        <v>21.474639700613107</v>
      </c>
      <c r="I14" s="12">
        <f>I4/588.05</f>
        <v>48.208485672986995</v>
      </c>
    </row>
    <row r="15" spans="1:9" x14ac:dyDescent="0.25">
      <c r="B15" s="6" t="s">
        <v>42</v>
      </c>
      <c r="C15" s="12">
        <f t="shared" ref="C15:C16" si="2">C5/76.74</f>
        <v>71.266614542611421</v>
      </c>
      <c r="D15" s="12">
        <f t="shared" ref="D15:D16" si="3">D5/161.73</f>
        <v>78.878377542818285</v>
      </c>
      <c r="E15" s="12">
        <f t="shared" ref="E15:E16" si="4">E5/77.61</f>
        <v>79.719108362324448</v>
      </c>
      <c r="F15" s="12">
        <f t="shared" ref="F15:F16" si="5">F5/41.16</f>
        <v>82.21574344023324</v>
      </c>
      <c r="G15" s="12">
        <f t="shared" ref="G15:G16" si="6">G5/145.12</f>
        <v>80.119900771775079</v>
      </c>
      <c r="H15" s="12">
        <f t="shared" ref="H15:H16" si="7">H5/502.36</f>
        <v>78.477585795047375</v>
      </c>
      <c r="I15" s="12">
        <f>I5/588.05</f>
        <v>51.752402006632096</v>
      </c>
    </row>
    <row r="16" spans="1:9" x14ac:dyDescent="0.25">
      <c r="B16" s="6" t="s">
        <v>23</v>
      </c>
      <c r="C16" s="12">
        <f t="shared" si="2"/>
        <v>5.2124055251498567E-2</v>
      </c>
      <c r="D16" s="12">
        <f t="shared" si="3"/>
        <v>6.1831447474185376E-2</v>
      </c>
      <c r="E16" s="12">
        <f t="shared" si="4"/>
        <v>5.1539750032212346E-2</v>
      </c>
      <c r="F16" s="12">
        <f t="shared" si="5"/>
        <v>0</v>
      </c>
      <c r="G16" s="12">
        <f t="shared" si="6"/>
        <v>4.1345093715545754E-2</v>
      </c>
      <c r="H16" s="12">
        <f t="shared" si="7"/>
        <v>4.7774504339517479E-2</v>
      </c>
      <c r="I16" s="12">
        <f>I6/588.05</f>
        <v>3.9112320380919996E-2</v>
      </c>
    </row>
  </sheetData>
  <mergeCells count="9">
    <mergeCell ref="A1:B2"/>
    <mergeCell ref="C1:G1"/>
    <mergeCell ref="H1:H2"/>
    <mergeCell ref="C2:D2"/>
    <mergeCell ref="F2:G2"/>
    <mergeCell ref="C11:G11"/>
    <mergeCell ref="H11:H12"/>
    <mergeCell ref="C12:D12"/>
    <mergeCell ref="F12:G1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D22" sqref="D22"/>
    </sheetView>
  </sheetViews>
  <sheetFormatPr defaultRowHeight="15" x14ac:dyDescent="0.25"/>
  <cols>
    <col min="2" max="2" width="14.85546875" customWidth="1"/>
    <col min="3" max="8" width="12" bestFit="1" customWidth="1"/>
    <col min="9" max="9" width="17.42578125" bestFit="1" customWidth="1"/>
  </cols>
  <sheetData>
    <row r="1" spans="1:9" x14ac:dyDescent="0.25">
      <c r="A1" s="14" t="s">
        <v>55</v>
      </c>
      <c r="B1" s="14"/>
      <c r="C1" s="13" t="s">
        <v>0</v>
      </c>
      <c r="D1" s="13"/>
      <c r="E1" s="13"/>
      <c r="F1" s="13"/>
      <c r="G1" s="13"/>
      <c r="H1" s="13" t="s">
        <v>25</v>
      </c>
      <c r="I1" s="12" t="s">
        <v>8</v>
      </c>
    </row>
    <row r="2" spans="1:9" x14ac:dyDescent="0.25">
      <c r="A2" s="14"/>
      <c r="B2" s="14"/>
      <c r="C2" s="13" t="s">
        <v>1</v>
      </c>
      <c r="D2" s="13"/>
      <c r="E2" s="12" t="s">
        <v>4</v>
      </c>
      <c r="F2" s="13" t="s">
        <v>5</v>
      </c>
      <c r="G2" s="13"/>
      <c r="H2" s="13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6"/>
      <c r="B4" s="6" t="s">
        <v>41</v>
      </c>
      <c r="C4" s="12">
        <v>1791</v>
      </c>
      <c r="D4" s="12">
        <v>2001</v>
      </c>
      <c r="E4" s="12">
        <v>729</v>
      </c>
      <c r="F4" s="12">
        <v>362</v>
      </c>
      <c r="G4" s="12">
        <v>1419</v>
      </c>
      <c r="H4" s="12">
        <f>SUM(C4:G4)</f>
        <v>6302</v>
      </c>
      <c r="I4" s="12">
        <v>10905</v>
      </c>
    </row>
    <row r="5" spans="1:9" x14ac:dyDescent="0.25">
      <c r="A5" s="6"/>
      <c r="B5" s="6" t="s">
        <v>42</v>
      </c>
      <c r="C5" s="12">
        <v>5880</v>
      </c>
      <c r="D5" s="12">
        <v>14161</v>
      </c>
      <c r="E5" s="12">
        <v>7029</v>
      </c>
      <c r="F5" s="12">
        <v>3754</v>
      </c>
      <c r="G5" s="12">
        <v>13092</v>
      </c>
      <c r="H5" s="12">
        <f>SUM(C5:G5)</f>
        <v>43916</v>
      </c>
      <c r="I5" s="12">
        <v>47884</v>
      </c>
    </row>
    <row r="6" spans="1:9" x14ac:dyDescent="0.25">
      <c r="A6" s="6"/>
      <c r="B6" s="6" t="s">
        <v>23</v>
      </c>
      <c r="C6" s="12">
        <v>3</v>
      </c>
      <c r="D6" s="12">
        <v>11</v>
      </c>
      <c r="E6" s="12">
        <v>3</v>
      </c>
      <c r="F6" s="12">
        <v>0</v>
      </c>
      <c r="G6" s="12">
        <v>1</v>
      </c>
      <c r="H6" s="12">
        <f>SUM(C6:G6)</f>
        <v>18</v>
      </c>
      <c r="I6" s="12">
        <v>16</v>
      </c>
    </row>
    <row r="7" spans="1:9" x14ac:dyDescent="0.25">
      <c r="A7" s="6"/>
      <c r="B7" s="6" t="s">
        <v>26</v>
      </c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3" t="s">
        <v>0</v>
      </c>
      <c r="D11" s="13"/>
      <c r="E11" s="13"/>
      <c r="F11" s="13"/>
      <c r="G11" s="13"/>
      <c r="H11" s="13" t="s">
        <v>25</v>
      </c>
      <c r="I11" s="12" t="s">
        <v>8</v>
      </c>
    </row>
    <row r="12" spans="1:9" x14ac:dyDescent="0.25">
      <c r="C12" s="13" t="s">
        <v>1</v>
      </c>
      <c r="D12" s="13"/>
      <c r="E12" s="12" t="s">
        <v>4</v>
      </c>
      <c r="F12" s="13" t="s">
        <v>5</v>
      </c>
      <c r="G12" s="13"/>
      <c r="H12" s="13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B14" s="6" t="s">
        <v>41</v>
      </c>
      <c r="C14" s="12">
        <f>C4/76.74</f>
        <v>23.338545738858485</v>
      </c>
      <c r="D14" s="12">
        <f>D4/161.73</f>
        <v>12.372472639584494</v>
      </c>
      <c r="E14" s="12">
        <f>E4/77.61</f>
        <v>9.3931194433707006</v>
      </c>
      <c r="F14" s="12">
        <f>F4/41.16</f>
        <v>8.794946550048591</v>
      </c>
      <c r="G14" s="12">
        <f>G4/145.12</f>
        <v>9.778114663726571</v>
      </c>
      <c r="H14" s="12">
        <f>H4/502.36</f>
        <v>12.544788597818297</v>
      </c>
      <c r="I14" s="12">
        <f>I4/588.05</f>
        <v>18.544341467562283</v>
      </c>
    </row>
    <row r="15" spans="1:9" x14ac:dyDescent="0.25">
      <c r="B15" s="6" t="s">
        <v>42</v>
      </c>
      <c r="C15" s="12">
        <f t="shared" ref="C15:C16" si="2">C5/76.74</f>
        <v>76.622361219702896</v>
      </c>
      <c r="D15" s="12">
        <f t="shared" ref="D15:D16" si="3">D5/161.73</f>
        <v>87.559512768193912</v>
      </c>
      <c r="E15" s="12">
        <f t="shared" ref="E15:E16" si="4">E5/77.61</f>
        <v>90.568225744105135</v>
      </c>
      <c r="F15" s="12">
        <f t="shared" ref="F15:F16" si="5">F5/41.16</f>
        <v>91.205053449951421</v>
      </c>
      <c r="G15" s="12">
        <f t="shared" ref="G15:G16" si="6">G5/145.12</f>
        <v>90.214994487320837</v>
      </c>
      <c r="H15" s="12">
        <f t="shared" ref="H15:H16" si="7">H5/502.36</f>
        <v>87.41938052392706</v>
      </c>
      <c r="I15" s="12">
        <f>I5/588.05</f>
        <v>81.428449961737954</v>
      </c>
    </row>
    <row r="16" spans="1:9" x14ac:dyDescent="0.25">
      <c r="B16" s="6" t="s">
        <v>23</v>
      </c>
      <c r="C16" s="12">
        <f t="shared" si="2"/>
        <v>3.9093041438623931E-2</v>
      </c>
      <c r="D16" s="12">
        <f t="shared" si="3"/>
        <v>6.8014592221603914E-2</v>
      </c>
      <c r="E16" s="12">
        <f t="shared" si="4"/>
        <v>3.8654812524159261E-2</v>
      </c>
      <c r="F16" s="12">
        <f t="shared" si="5"/>
        <v>0</v>
      </c>
      <c r="G16" s="12">
        <f t="shared" si="6"/>
        <v>6.890848952590959E-3</v>
      </c>
      <c r="H16" s="12">
        <f t="shared" si="7"/>
        <v>3.5830878254638106E-2</v>
      </c>
      <c r="I16" s="12">
        <f>I6/588.05</f>
        <v>2.720857069977043E-2</v>
      </c>
    </row>
  </sheetData>
  <mergeCells count="9">
    <mergeCell ref="A1:B2"/>
    <mergeCell ref="C1:G1"/>
    <mergeCell ref="H1:H2"/>
    <mergeCell ref="C2:D2"/>
    <mergeCell ref="F2:G2"/>
    <mergeCell ref="C11:G11"/>
    <mergeCell ref="H11:H12"/>
    <mergeCell ref="C12:D12"/>
    <mergeCell ref="F12:G1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A3" sqref="A3"/>
    </sheetView>
  </sheetViews>
  <sheetFormatPr defaultRowHeight="15" x14ac:dyDescent="0.25"/>
  <cols>
    <col min="3" max="8" width="12" bestFit="1" customWidth="1"/>
    <col min="9" max="9" width="17.42578125" bestFit="1" customWidth="1"/>
  </cols>
  <sheetData>
    <row r="1" spans="1:9" x14ac:dyDescent="0.25">
      <c r="A1" s="14" t="s">
        <v>57</v>
      </c>
      <c r="B1" s="14"/>
      <c r="C1" s="13" t="s">
        <v>0</v>
      </c>
      <c r="D1" s="13"/>
      <c r="E1" s="13"/>
      <c r="F1" s="13"/>
      <c r="G1" s="13"/>
      <c r="H1" s="13" t="s">
        <v>25</v>
      </c>
      <c r="I1" s="12" t="s">
        <v>8</v>
      </c>
    </row>
    <row r="2" spans="1:9" x14ac:dyDescent="0.25">
      <c r="A2" s="14"/>
      <c r="B2" s="14"/>
      <c r="C2" s="13" t="s">
        <v>1</v>
      </c>
      <c r="D2" s="13"/>
      <c r="E2" s="12" t="s">
        <v>4</v>
      </c>
      <c r="F2" s="13" t="s">
        <v>5</v>
      </c>
      <c r="G2" s="13"/>
      <c r="H2" s="13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6"/>
      <c r="B4" s="6" t="s">
        <v>41</v>
      </c>
      <c r="C4" s="12">
        <v>2914</v>
      </c>
      <c r="D4" s="12">
        <v>4990</v>
      </c>
      <c r="E4" s="12">
        <v>2125</v>
      </c>
      <c r="F4" s="12">
        <v>966</v>
      </c>
      <c r="G4" s="12">
        <v>3893</v>
      </c>
      <c r="H4" s="12">
        <f>SUM(C4:G4)</f>
        <v>14888</v>
      </c>
      <c r="I4" s="12">
        <v>33134</v>
      </c>
    </row>
    <row r="5" spans="1:9" x14ac:dyDescent="0.25">
      <c r="A5" s="6"/>
      <c r="B5" s="6" t="s">
        <v>42</v>
      </c>
      <c r="C5" s="12">
        <v>4756</v>
      </c>
      <c r="D5" s="12">
        <v>11174</v>
      </c>
      <c r="E5" s="12">
        <v>5630</v>
      </c>
      <c r="F5" s="12">
        <v>3149</v>
      </c>
      <c r="G5" s="12">
        <v>10611</v>
      </c>
      <c r="H5" s="12">
        <f>SUM(C5:G5)</f>
        <v>35320</v>
      </c>
      <c r="I5" s="12">
        <v>25650</v>
      </c>
    </row>
    <row r="6" spans="1:9" x14ac:dyDescent="0.25">
      <c r="A6" s="6"/>
      <c r="B6" s="6" t="s">
        <v>23</v>
      </c>
      <c r="C6" s="12">
        <v>4</v>
      </c>
      <c r="D6" s="12">
        <v>9</v>
      </c>
      <c r="E6" s="12">
        <v>6</v>
      </c>
      <c r="F6" s="12">
        <v>1</v>
      </c>
      <c r="G6" s="12">
        <v>8</v>
      </c>
      <c r="H6" s="12">
        <f>SUM(C6:G6)</f>
        <v>28</v>
      </c>
      <c r="I6" s="12">
        <v>21</v>
      </c>
    </row>
    <row r="7" spans="1:9" x14ac:dyDescent="0.25">
      <c r="A7" s="6"/>
      <c r="B7" s="6" t="s">
        <v>26</v>
      </c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3" t="s">
        <v>0</v>
      </c>
      <c r="D11" s="13"/>
      <c r="E11" s="13"/>
      <c r="F11" s="13"/>
      <c r="G11" s="13"/>
      <c r="H11" s="13" t="s">
        <v>25</v>
      </c>
      <c r="I11" s="12" t="s">
        <v>8</v>
      </c>
    </row>
    <row r="12" spans="1:9" x14ac:dyDescent="0.25">
      <c r="C12" s="13" t="s">
        <v>1</v>
      </c>
      <c r="D12" s="13"/>
      <c r="E12" s="12" t="s">
        <v>4</v>
      </c>
      <c r="F12" s="13" t="s">
        <v>5</v>
      </c>
      <c r="G12" s="13"/>
      <c r="H12" s="13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B14" s="6" t="s">
        <v>41</v>
      </c>
      <c r="C14" s="12">
        <f>C4/76.74</f>
        <v>37.972374250716712</v>
      </c>
      <c r="D14" s="12">
        <f>D4/161.73</f>
        <v>30.853892289618503</v>
      </c>
      <c r="E14" s="12">
        <f>E4/77.61</f>
        <v>27.380492204612807</v>
      </c>
      <c r="F14" s="12">
        <f>F4/41.16</f>
        <v>23.469387755102044</v>
      </c>
      <c r="G14" s="12">
        <f>G4/145.12</f>
        <v>26.826074972436604</v>
      </c>
      <c r="H14" s="12">
        <f>H4/502.36</f>
        <v>29.636117525280675</v>
      </c>
      <c r="I14" s="12">
        <f>I4/588.05</f>
        <v>56.345548847887088</v>
      </c>
    </row>
    <row r="15" spans="1:9" x14ac:dyDescent="0.25">
      <c r="B15" s="6" t="s">
        <v>42</v>
      </c>
      <c r="C15" s="12">
        <f t="shared" ref="C15:C16" si="2">C5/76.74</f>
        <v>61.975501694031799</v>
      </c>
      <c r="D15" s="12">
        <f t="shared" ref="D15:D16" si="3">D5/161.73</f>
        <v>69.090459407654734</v>
      </c>
      <c r="E15" s="12">
        <f t="shared" ref="E15:E16" si="4">E5/77.61</f>
        <v>72.542198170338878</v>
      </c>
      <c r="F15" s="12">
        <f t="shared" ref="F15:F16" si="5">F5/41.16</f>
        <v>76.506316812439266</v>
      </c>
      <c r="G15" s="12">
        <f t="shared" ref="G15:G16" si="6">G5/145.12</f>
        <v>73.118798235942663</v>
      </c>
      <c r="H15" s="12">
        <f t="shared" ref="H15:H16" si="7">H5/502.36</f>
        <v>70.308145552989885</v>
      </c>
      <c r="I15" s="12">
        <f>I5/588.05</f>
        <v>43.618739903069468</v>
      </c>
    </row>
    <row r="16" spans="1:9" x14ac:dyDescent="0.25">
      <c r="B16" s="6" t="s">
        <v>23</v>
      </c>
      <c r="C16" s="12">
        <f t="shared" si="2"/>
        <v>5.2124055251498567E-2</v>
      </c>
      <c r="D16" s="12">
        <f t="shared" si="3"/>
        <v>5.5648302726766838E-2</v>
      </c>
      <c r="E16" s="12">
        <f t="shared" si="4"/>
        <v>7.7309625048318523E-2</v>
      </c>
      <c r="F16" s="12">
        <f t="shared" si="5"/>
        <v>2.4295432458697766E-2</v>
      </c>
      <c r="G16" s="12">
        <f t="shared" si="6"/>
        <v>5.5126791620727672E-2</v>
      </c>
      <c r="H16" s="12">
        <f t="shared" si="7"/>
        <v>5.5736921729437054E-2</v>
      </c>
      <c r="I16" s="12">
        <f>I6/588.05</f>
        <v>3.571124904344869E-2</v>
      </c>
    </row>
  </sheetData>
  <mergeCells count="9">
    <mergeCell ref="A1:B2"/>
    <mergeCell ref="C1:G1"/>
    <mergeCell ref="H1:H2"/>
    <mergeCell ref="C2:D2"/>
    <mergeCell ref="F2:G2"/>
    <mergeCell ref="C11:G11"/>
    <mergeCell ref="H11:H12"/>
    <mergeCell ref="C12:D12"/>
    <mergeCell ref="F12:G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2" zoomScaleNormal="100" workbookViewId="0">
      <selection activeCell="K16" sqref="K16"/>
    </sheetView>
  </sheetViews>
  <sheetFormatPr defaultRowHeight="15" x14ac:dyDescent="0.25"/>
  <cols>
    <col min="2" max="2" width="24.28515625" customWidth="1"/>
    <col min="3" max="8" width="12" bestFit="1" customWidth="1"/>
    <col min="9" max="9" width="17.42578125" bestFit="1" customWidth="1"/>
  </cols>
  <sheetData>
    <row r="1" spans="1:11" x14ac:dyDescent="0.25">
      <c r="A1" s="14" t="s">
        <v>27</v>
      </c>
      <c r="B1" s="14"/>
      <c r="C1" s="13" t="s">
        <v>0</v>
      </c>
      <c r="D1" s="13"/>
      <c r="E1" s="13"/>
      <c r="F1" s="13"/>
      <c r="G1" s="13"/>
      <c r="H1" s="13" t="s">
        <v>25</v>
      </c>
      <c r="I1" s="5" t="s">
        <v>8</v>
      </c>
      <c r="J1" s="6"/>
      <c r="K1" s="3"/>
    </row>
    <row r="2" spans="1:11" x14ac:dyDescent="0.25">
      <c r="A2" s="14"/>
      <c r="B2" s="14"/>
      <c r="C2" s="13" t="s">
        <v>1</v>
      </c>
      <c r="D2" s="13"/>
      <c r="E2" s="5" t="s">
        <v>4</v>
      </c>
      <c r="F2" s="13" t="s">
        <v>5</v>
      </c>
      <c r="G2" s="13"/>
      <c r="H2" s="13"/>
      <c r="I2" s="5"/>
      <c r="J2" s="6"/>
      <c r="K2" s="3"/>
    </row>
    <row r="3" spans="1:11" x14ac:dyDescent="0.25">
      <c r="A3" s="7"/>
      <c r="B3" s="7"/>
      <c r="C3" s="5" t="s">
        <v>3</v>
      </c>
      <c r="D3" s="5" t="s">
        <v>2</v>
      </c>
      <c r="E3" s="5" t="s">
        <v>4</v>
      </c>
      <c r="F3" s="5" t="s">
        <v>6</v>
      </c>
      <c r="G3" s="5" t="s">
        <v>7</v>
      </c>
      <c r="H3" s="5"/>
      <c r="I3" s="5" t="s">
        <v>8</v>
      </c>
      <c r="J3" s="6"/>
      <c r="K3" s="3"/>
    </row>
    <row r="4" spans="1:11" x14ac:dyDescent="0.25">
      <c r="A4" s="6"/>
      <c r="B4" s="6" t="s">
        <v>10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f>SUM(C4:G4)</f>
        <v>0</v>
      </c>
      <c r="I4" s="5">
        <v>0</v>
      </c>
      <c r="J4" s="6"/>
      <c r="K4" s="3"/>
    </row>
    <row r="5" spans="1:11" x14ac:dyDescent="0.25">
      <c r="A5" s="6"/>
      <c r="B5" s="6" t="s">
        <v>11</v>
      </c>
      <c r="C5" s="5">
        <v>4073</v>
      </c>
      <c r="D5" s="5">
        <v>5893</v>
      </c>
      <c r="E5" s="5">
        <v>2613</v>
      </c>
      <c r="F5" s="5">
        <v>1424</v>
      </c>
      <c r="G5" s="5">
        <v>3869</v>
      </c>
      <c r="H5" s="5">
        <f t="shared" ref="H5:H18" si="0">SUM(C5:G5)</f>
        <v>17872</v>
      </c>
      <c r="I5" s="5">
        <v>3596</v>
      </c>
      <c r="J5" s="6"/>
      <c r="K5" s="3"/>
    </row>
    <row r="6" spans="1:11" x14ac:dyDescent="0.25">
      <c r="A6" s="6"/>
      <c r="B6" s="6" t="s">
        <v>12</v>
      </c>
      <c r="C6" s="5">
        <v>1181</v>
      </c>
      <c r="D6" s="5">
        <v>4261</v>
      </c>
      <c r="E6" s="5">
        <v>1310</v>
      </c>
      <c r="F6" s="5">
        <v>631</v>
      </c>
      <c r="G6" s="5">
        <v>2608</v>
      </c>
      <c r="H6" s="5">
        <f t="shared" si="0"/>
        <v>9991</v>
      </c>
      <c r="I6" s="5">
        <v>5446</v>
      </c>
      <c r="J6" s="6"/>
      <c r="K6" s="3"/>
    </row>
    <row r="7" spans="1:11" x14ac:dyDescent="0.25">
      <c r="A7" s="6"/>
      <c r="B7" s="6" t="s">
        <v>14</v>
      </c>
      <c r="C7" s="5">
        <v>369</v>
      </c>
      <c r="D7" s="5">
        <v>2910</v>
      </c>
      <c r="E7" s="5">
        <v>1939</v>
      </c>
      <c r="F7" s="5">
        <v>852</v>
      </c>
      <c r="G7" s="5">
        <v>2728</v>
      </c>
      <c r="H7" s="5">
        <f t="shared" si="0"/>
        <v>8798</v>
      </c>
      <c r="I7" s="5">
        <v>23599</v>
      </c>
      <c r="J7" s="6"/>
      <c r="K7" s="3"/>
    </row>
    <row r="8" spans="1:11" x14ac:dyDescent="0.25">
      <c r="A8" s="6"/>
      <c r="B8" s="6" t="s">
        <v>13</v>
      </c>
      <c r="C8" s="5">
        <v>425</v>
      </c>
      <c r="D8" s="5">
        <v>138</v>
      </c>
      <c r="E8" s="5">
        <v>40</v>
      </c>
      <c r="F8" s="5">
        <v>17</v>
      </c>
      <c r="G8" s="5">
        <v>149</v>
      </c>
      <c r="H8" s="5">
        <f t="shared" si="0"/>
        <v>769</v>
      </c>
      <c r="I8" s="5">
        <v>170</v>
      </c>
      <c r="J8" s="6"/>
      <c r="K8" s="3"/>
    </row>
    <row r="9" spans="1:11" x14ac:dyDescent="0.25">
      <c r="A9" s="6"/>
      <c r="B9" s="6" t="s">
        <v>15</v>
      </c>
      <c r="C9" s="5">
        <v>12</v>
      </c>
      <c r="D9" s="5">
        <v>158</v>
      </c>
      <c r="E9" s="5">
        <v>153</v>
      </c>
      <c r="F9" s="5">
        <v>341</v>
      </c>
      <c r="G9" s="5">
        <v>462</v>
      </c>
      <c r="H9" s="5">
        <f t="shared" si="0"/>
        <v>1126</v>
      </c>
      <c r="I9" s="5">
        <v>2249</v>
      </c>
      <c r="J9" s="5"/>
      <c r="K9" s="3"/>
    </row>
    <row r="10" spans="1:11" x14ac:dyDescent="0.25">
      <c r="A10" s="6"/>
      <c r="B10" s="8" t="s">
        <v>9</v>
      </c>
      <c r="C10" s="5">
        <v>87</v>
      </c>
      <c r="D10" s="5">
        <v>43</v>
      </c>
      <c r="E10" s="5">
        <v>43</v>
      </c>
      <c r="F10" s="5">
        <v>42</v>
      </c>
      <c r="G10" s="5">
        <v>448</v>
      </c>
      <c r="H10" s="5">
        <f t="shared" si="0"/>
        <v>663</v>
      </c>
      <c r="I10" s="9">
        <v>2144</v>
      </c>
      <c r="J10" s="5"/>
      <c r="K10" s="3"/>
    </row>
    <row r="11" spans="1:11" x14ac:dyDescent="0.25">
      <c r="A11" s="6"/>
      <c r="B11" s="8" t="s">
        <v>16</v>
      </c>
      <c r="C11" s="5">
        <v>1506</v>
      </c>
      <c r="D11" s="5">
        <v>2525</v>
      </c>
      <c r="E11" s="5">
        <v>1237</v>
      </c>
      <c r="F11" s="5">
        <v>454</v>
      </c>
      <c r="G11" s="5">
        <v>2833</v>
      </c>
      <c r="H11" s="5">
        <f t="shared" si="0"/>
        <v>8555</v>
      </c>
      <c r="I11" s="5">
        <v>10063</v>
      </c>
      <c r="J11" s="5"/>
      <c r="K11" s="3"/>
    </row>
    <row r="12" spans="1:11" x14ac:dyDescent="0.25">
      <c r="A12" s="6"/>
      <c r="B12" s="8" t="s">
        <v>19</v>
      </c>
      <c r="C12" s="5">
        <v>0</v>
      </c>
      <c r="D12" s="5">
        <v>9</v>
      </c>
      <c r="E12" s="5">
        <v>44</v>
      </c>
      <c r="F12" s="5">
        <v>45</v>
      </c>
      <c r="G12" s="5">
        <v>183</v>
      </c>
      <c r="H12" s="5">
        <f t="shared" si="0"/>
        <v>281</v>
      </c>
      <c r="I12" s="5">
        <v>1535</v>
      </c>
      <c r="J12" s="5"/>
      <c r="K12" s="3"/>
    </row>
    <row r="13" spans="1:11" x14ac:dyDescent="0.25">
      <c r="A13" s="6"/>
      <c r="B13" s="6" t="s">
        <v>17</v>
      </c>
      <c r="C13" s="5">
        <v>3</v>
      </c>
      <c r="D13" s="5">
        <v>210</v>
      </c>
      <c r="E13" s="5">
        <v>331</v>
      </c>
      <c r="F13" s="5">
        <v>253</v>
      </c>
      <c r="G13" s="5">
        <v>783</v>
      </c>
      <c r="H13" s="5">
        <f t="shared" si="0"/>
        <v>1580</v>
      </c>
      <c r="I13" s="5">
        <v>7523</v>
      </c>
      <c r="J13" s="5"/>
      <c r="K13" s="3"/>
    </row>
    <row r="14" spans="1:11" x14ac:dyDescent="0.25">
      <c r="A14" s="6"/>
      <c r="B14" s="6" t="s">
        <v>18</v>
      </c>
      <c r="C14" s="5">
        <v>0</v>
      </c>
      <c r="D14" s="5">
        <v>0</v>
      </c>
      <c r="E14" s="5">
        <v>21</v>
      </c>
      <c r="F14" s="5">
        <v>39</v>
      </c>
      <c r="G14" s="5">
        <v>245</v>
      </c>
      <c r="H14" s="5">
        <f t="shared" si="0"/>
        <v>305</v>
      </c>
      <c r="I14" s="5">
        <v>2069</v>
      </c>
      <c r="J14" s="5"/>
      <c r="K14" s="3"/>
    </row>
    <row r="15" spans="1:11" x14ac:dyDescent="0.25">
      <c r="A15" s="6"/>
      <c r="B15" s="8" t="s">
        <v>20</v>
      </c>
      <c r="C15" s="5">
        <v>15</v>
      </c>
      <c r="D15" s="5">
        <v>2</v>
      </c>
      <c r="E15" s="5">
        <v>8</v>
      </c>
      <c r="F15" s="5">
        <v>6</v>
      </c>
      <c r="G15" s="5">
        <v>65</v>
      </c>
      <c r="H15" s="5">
        <f t="shared" si="0"/>
        <v>96</v>
      </c>
      <c r="I15" s="5">
        <v>104</v>
      </c>
      <c r="J15" s="5"/>
      <c r="K15" s="3"/>
    </row>
    <row r="16" spans="1:11" x14ac:dyDescent="0.25">
      <c r="A16" s="6"/>
      <c r="B16" s="8" t="s">
        <v>21</v>
      </c>
      <c r="C16" s="5">
        <v>0</v>
      </c>
      <c r="D16" s="5">
        <v>1</v>
      </c>
      <c r="E16" s="5">
        <v>8</v>
      </c>
      <c r="F16" s="5">
        <v>7</v>
      </c>
      <c r="G16" s="5">
        <v>22</v>
      </c>
      <c r="H16" s="5">
        <f t="shared" si="0"/>
        <v>38</v>
      </c>
      <c r="I16" s="5">
        <v>156</v>
      </c>
      <c r="J16" s="5"/>
      <c r="K16" s="3"/>
    </row>
    <row r="17" spans="1:11" x14ac:dyDescent="0.25">
      <c r="A17" s="6"/>
      <c r="B17" s="8" t="s">
        <v>22</v>
      </c>
      <c r="C17" s="5">
        <v>1</v>
      </c>
      <c r="D17" s="5">
        <v>20</v>
      </c>
      <c r="E17" s="5">
        <v>13</v>
      </c>
      <c r="F17" s="5">
        <v>5</v>
      </c>
      <c r="G17" s="5">
        <v>114</v>
      </c>
      <c r="H17" s="5">
        <f t="shared" si="0"/>
        <v>153</v>
      </c>
      <c r="I17" s="5">
        <v>146</v>
      </c>
      <c r="J17" s="5"/>
      <c r="K17" s="3"/>
    </row>
    <row r="18" spans="1:11" x14ac:dyDescent="0.25">
      <c r="A18" s="6"/>
      <c r="B18" s="8" t="s">
        <v>23</v>
      </c>
      <c r="C18" s="5">
        <v>2</v>
      </c>
      <c r="D18" s="5">
        <v>3</v>
      </c>
      <c r="E18" s="5">
        <v>1</v>
      </c>
      <c r="F18" s="5">
        <v>0</v>
      </c>
      <c r="G18" s="5">
        <v>3</v>
      </c>
      <c r="H18" s="5">
        <f t="shared" si="0"/>
        <v>9</v>
      </c>
      <c r="I18" s="5">
        <v>5</v>
      </c>
      <c r="J18" s="5"/>
      <c r="K18" s="3"/>
    </row>
    <row r="19" spans="1:11" x14ac:dyDescent="0.25">
      <c r="A19" s="6"/>
      <c r="B19" s="8" t="s">
        <v>26</v>
      </c>
      <c r="C19" s="5">
        <f>SUM(C4:C18)</f>
        <v>7674</v>
      </c>
      <c r="D19" s="5">
        <f t="shared" ref="D19:I19" si="1">SUM(D4:D18)</f>
        <v>16173</v>
      </c>
      <c r="E19" s="5">
        <f t="shared" si="1"/>
        <v>7761</v>
      </c>
      <c r="F19" s="5">
        <f t="shared" si="1"/>
        <v>4116</v>
      </c>
      <c r="G19" s="5">
        <f t="shared" si="1"/>
        <v>14512</v>
      </c>
      <c r="H19" s="5">
        <f t="shared" si="1"/>
        <v>50236</v>
      </c>
      <c r="I19" s="5">
        <f t="shared" si="1"/>
        <v>58805</v>
      </c>
      <c r="J19" s="5"/>
      <c r="K19" s="3"/>
    </row>
    <row r="20" spans="1:11" x14ac:dyDescent="0.25">
      <c r="A20" s="6"/>
      <c r="B20" s="6"/>
      <c r="C20" s="5"/>
      <c r="D20" s="5"/>
      <c r="E20" s="5"/>
      <c r="F20" s="5"/>
      <c r="G20" s="5"/>
      <c r="H20" s="5"/>
      <c r="I20" s="5"/>
      <c r="J20" s="5"/>
      <c r="K20" s="3"/>
    </row>
    <row r="21" spans="1:11" x14ac:dyDescent="0.25">
      <c r="K21" s="3"/>
    </row>
    <row r="22" spans="1:11" x14ac:dyDescent="0.25">
      <c r="K22" s="3"/>
    </row>
    <row r="23" spans="1:11" x14ac:dyDescent="0.25">
      <c r="A23" s="14" t="s">
        <v>27</v>
      </c>
      <c r="B23" s="14"/>
      <c r="C23" s="13" t="s">
        <v>0</v>
      </c>
      <c r="D23" s="13"/>
      <c r="E23" s="13"/>
      <c r="F23" s="13"/>
      <c r="G23" s="13"/>
      <c r="H23" s="13" t="s">
        <v>25</v>
      </c>
      <c r="I23" s="5" t="s">
        <v>8</v>
      </c>
      <c r="K23" s="3"/>
    </row>
    <row r="24" spans="1:11" x14ac:dyDescent="0.25">
      <c r="A24" s="14"/>
      <c r="B24" s="14"/>
      <c r="C24" s="13" t="s">
        <v>1</v>
      </c>
      <c r="D24" s="13"/>
      <c r="E24" s="5" t="s">
        <v>4</v>
      </c>
      <c r="F24" s="13" t="s">
        <v>5</v>
      </c>
      <c r="G24" s="13"/>
      <c r="H24" s="13"/>
      <c r="I24" s="5"/>
      <c r="K24" s="3"/>
    </row>
    <row r="25" spans="1:11" x14ac:dyDescent="0.25">
      <c r="A25" s="7"/>
      <c r="B25" s="7"/>
      <c r="C25" s="5" t="s">
        <v>3</v>
      </c>
      <c r="D25" s="5" t="s">
        <v>2</v>
      </c>
      <c r="E25" s="5" t="s">
        <v>4</v>
      </c>
      <c r="F25" s="5" t="s">
        <v>6</v>
      </c>
      <c r="G25" s="5" t="s">
        <v>7</v>
      </c>
      <c r="H25" s="5"/>
      <c r="I25" s="5" t="s">
        <v>8</v>
      </c>
      <c r="K25" s="3"/>
    </row>
    <row r="26" spans="1:11" x14ac:dyDescent="0.25">
      <c r="A26" s="6"/>
      <c r="B26" s="6" t="s">
        <v>10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K26" s="3"/>
    </row>
    <row r="27" spans="1:11" x14ac:dyDescent="0.25">
      <c r="A27" s="6"/>
      <c r="B27" s="6" t="s">
        <v>11</v>
      </c>
      <c r="C27" s="5">
        <f>4073/76.74</f>
        <v>53.075319259838416</v>
      </c>
      <c r="D27" s="5">
        <f>5893/161.73</f>
        <v>36.43727199653744</v>
      </c>
      <c r="E27" s="5">
        <f>2613/77.61</f>
        <v>33.668341708542712</v>
      </c>
      <c r="F27" s="5">
        <f>1424/41.16</f>
        <v>34.596695821185619</v>
      </c>
      <c r="G27" s="5">
        <f>3869/145.12</f>
        <v>26.66069459757442</v>
      </c>
      <c r="H27" s="5">
        <f>17872/502.36</f>
        <v>35.576080898160683</v>
      </c>
      <c r="I27" s="5">
        <f>3596/588.05</f>
        <v>6.1151262647734042</v>
      </c>
      <c r="K27" s="3"/>
    </row>
    <row r="28" spans="1:11" x14ac:dyDescent="0.25">
      <c r="A28" s="6"/>
      <c r="B28" s="6" t="s">
        <v>12</v>
      </c>
      <c r="C28" s="5">
        <f>1181/76.74</f>
        <v>15.389627313004953</v>
      </c>
      <c r="D28" s="5">
        <f>4261/161.73</f>
        <v>26.346379768750388</v>
      </c>
      <c r="E28" s="5">
        <f>1310/77.61</f>
        <v>16.879268135549541</v>
      </c>
      <c r="F28" s="5">
        <f>631/41.16</f>
        <v>15.33041788143829</v>
      </c>
      <c r="G28" s="5">
        <f>2608/145.12</f>
        <v>17.971334068357223</v>
      </c>
      <c r="H28" s="5">
        <f>9991/502.36</f>
        <v>19.888128035671631</v>
      </c>
      <c r="I28" s="5">
        <f>5446/588.05</f>
        <v>9.2611172519343601</v>
      </c>
      <c r="K28" s="3"/>
    </row>
    <row r="29" spans="1:11" x14ac:dyDescent="0.25">
      <c r="A29" s="6"/>
      <c r="B29" s="6" t="s">
        <v>14</v>
      </c>
      <c r="C29" s="5">
        <f>369/76.74</f>
        <v>4.8084440969507432</v>
      </c>
      <c r="D29" s="5">
        <f>2910/161.73</f>
        <v>17.992951214987944</v>
      </c>
      <c r="E29" s="5">
        <f>1939/77.61</f>
        <v>24.983893828114933</v>
      </c>
      <c r="F29" s="5">
        <f>852/41.16</f>
        <v>20.699708454810498</v>
      </c>
      <c r="G29" s="5">
        <f>2728/145.12</f>
        <v>18.798235942668136</v>
      </c>
      <c r="H29" s="5">
        <f>8798/502.36</f>
        <v>17.513337049128115</v>
      </c>
      <c r="I29" s="5">
        <f>23599/588.05</f>
        <v>40.130941246492647</v>
      </c>
      <c r="K29" s="3"/>
    </row>
    <row r="30" spans="1:11" x14ac:dyDescent="0.25">
      <c r="A30" s="6"/>
      <c r="B30" s="6" t="s">
        <v>13</v>
      </c>
      <c r="C30" s="5">
        <f>425/76.74</f>
        <v>5.5381808704717228</v>
      </c>
      <c r="D30" s="5">
        <f>138/161.73</f>
        <v>0.85327397514375813</v>
      </c>
      <c r="E30" s="5">
        <f>40/77.61</f>
        <v>0.51539750032212339</v>
      </c>
      <c r="F30" s="5">
        <f>17/41.16</f>
        <v>0.41302235179786201</v>
      </c>
      <c r="G30" s="5">
        <f>149/145.12</f>
        <v>1.0267364939360528</v>
      </c>
      <c r="H30" s="5">
        <f>769/502.36</f>
        <v>1.5307747432120391</v>
      </c>
      <c r="I30" s="5">
        <f>170/588.05</f>
        <v>0.28909106368506082</v>
      </c>
      <c r="K30" s="3"/>
    </row>
    <row r="31" spans="1:11" x14ac:dyDescent="0.25">
      <c r="A31" s="6"/>
      <c r="B31" s="6" t="s">
        <v>15</v>
      </c>
      <c r="C31" s="5">
        <f>12/76.74</f>
        <v>0.15637216575449572</v>
      </c>
      <c r="D31" s="5">
        <f>158/161.73</f>
        <v>0.97693687009212893</v>
      </c>
      <c r="E31" s="5">
        <f>153/77.61</f>
        <v>1.9713954387321222</v>
      </c>
      <c r="F31" s="5">
        <f>341/41.16</f>
        <v>8.2847424684159385</v>
      </c>
      <c r="G31" s="5">
        <f>462/145.12</f>
        <v>3.1835722160970232</v>
      </c>
      <c r="H31" s="5">
        <f>1126/502.36</f>
        <v>2.2414204952623615</v>
      </c>
      <c r="I31" s="5">
        <f>2249/588.05</f>
        <v>3.8245047189864811</v>
      </c>
      <c r="K31" s="3"/>
    </row>
    <row r="32" spans="1:11" x14ac:dyDescent="0.25">
      <c r="A32" s="6"/>
      <c r="B32" s="8" t="s">
        <v>9</v>
      </c>
      <c r="C32" s="5">
        <f>87/76.74</f>
        <v>1.1336982017200938</v>
      </c>
      <c r="D32" s="5">
        <f>43/161.73</f>
        <v>0.26587522413899711</v>
      </c>
      <c r="E32" s="5">
        <f>43/77.61</f>
        <v>0.55405231284628265</v>
      </c>
      <c r="F32" s="5">
        <f>42/41.16</f>
        <v>1.0204081632653061</v>
      </c>
      <c r="G32" s="5">
        <f>448/145.12</f>
        <v>3.0871003307607494</v>
      </c>
      <c r="H32" s="5">
        <f>663/502.36</f>
        <v>1.3197706823791704</v>
      </c>
      <c r="I32" s="9">
        <f>2144/588.05</f>
        <v>3.6459484737692378</v>
      </c>
      <c r="K32" s="3"/>
    </row>
    <row r="33" spans="1:11" x14ac:dyDescent="0.25">
      <c r="A33" s="6"/>
      <c r="B33" s="8" t="s">
        <v>16</v>
      </c>
      <c r="C33" s="5">
        <f>1506/76.74</f>
        <v>19.624706802189213</v>
      </c>
      <c r="D33" s="5">
        <f>2525/161.73</f>
        <v>15.612440487231806</v>
      </c>
      <c r="E33" s="5">
        <f>1237/77.61</f>
        <v>15.938667697461668</v>
      </c>
      <c r="F33" s="5">
        <f>454/41.16</f>
        <v>11.030126336248786</v>
      </c>
      <c r="G33" s="5">
        <f>2833/145.12</f>
        <v>19.521775082690187</v>
      </c>
      <c r="H33" s="5">
        <f>8555/502.36</f>
        <v>17.029620192690501</v>
      </c>
      <c r="I33" s="5">
        <f>10063/588.05</f>
        <v>17.112490434486865</v>
      </c>
      <c r="K33" s="3"/>
    </row>
    <row r="34" spans="1:11" x14ac:dyDescent="0.25">
      <c r="A34" s="6"/>
      <c r="B34" s="8" t="s">
        <v>19</v>
      </c>
      <c r="C34" s="5">
        <v>0</v>
      </c>
      <c r="D34" s="5">
        <f>9/161.73</f>
        <v>5.5648302726766838E-2</v>
      </c>
      <c r="E34" s="5">
        <f>44/77.61</f>
        <v>0.56693725035433573</v>
      </c>
      <c r="F34" s="5">
        <f>45/41.16</f>
        <v>1.0932944606413995</v>
      </c>
      <c r="G34" s="5">
        <f>183/145.12</f>
        <v>1.2610253583241455</v>
      </c>
      <c r="H34" s="5">
        <f>281/502.36</f>
        <v>0.5593598216418505</v>
      </c>
      <c r="I34" s="5">
        <f>1535/588.05</f>
        <v>2.6103222515092255</v>
      </c>
      <c r="K34" s="3"/>
    </row>
    <row r="35" spans="1:11" x14ac:dyDescent="0.25">
      <c r="A35" s="6"/>
      <c r="B35" s="6" t="s">
        <v>17</v>
      </c>
      <c r="C35" s="5">
        <f>3/76.74</f>
        <v>3.9093041438623931E-2</v>
      </c>
      <c r="D35" s="5">
        <f>210/161.73</f>
        <v>1.2984603969578929</v>
      </c>
      <c r="E35" s="5">
        <f>331/77.61</f>
        <v>4.2649143151655711</v>
      </c>
      <c r="F35" s="5">
        <f>253/41.16</f>
        <v>6.146744412050535</v>
      </c>
      <c r="G35" s="5">
        <f>783/145.12</f>
        <v>5.3955347298787206</v>
      </c>
      <c r="H35" s="5">
        <f>1580/502.36</f>
        <v>3.145154869018234</v>
      </c>
      <c r="I35" s="5">
        <f>7523/588.05</f>
        <v>12.793129835898309</v>
      </c>
      <c r="K35" s="3"/>
    </row>
    <row r="36" spans="1:11" x14ac:dyDescent="0.25">
      <c r="A36" s="6"/>
      <c r="B36" s="6" t="s">
        <v>18</v>
      </c>
      <c r="C36" s="5">
        <v>0</v>
      </c>
      <c r="D36" s="5">
        <v>0</v>
      </c>
      <c r="E36" s="5">
        <f>21/77.61</f>
        <v>0.27058368766911478</v>
      </c>
      <c r="F36" s="5">
        <f>39/41.16</f>
        <v>0.94752186588921294</v>
      </c>
      <c r="G36" s="5">
        <f>245/145.12</f>
        <v>1.688257993384785</v>
      </c>
      <c r="H36" s="5">
        <f>305/502.36</f>
        <v>0.60713432598136796</v>
      </c>
      <c r="I36" s="5">
        <f>2069/588.05</f>
        <v>3.5184082986140637</v>
      </c>
      <c r="K36" s="3"/>
    </row>
    <row r="37" spans="1:11" x14ac:dyDescent="0.25">
      <c r="A37" s="6"/>
      <c r="B37" s="8" t="s">
        <v>20</v>
      </c>
      <c r="C37" s="5">
        <f>15/76.74</f>
        <v>0.19546520719311963</v>
      </c>
      <c r="D37" s="5">
        <f>2/161.73</f>
        <v>1.2366289494837075E-2</v>
      </c>
      <c r="E37" s="5">
        <f>8/77.61</f>
        <v>0.10307950006442469</v>
      </c>
      <c r="F37" s="5">
        <f>6/41.16</f>
        <v>0.1457725947521866</v>
      </c>
      <c r="G37" s="5">
        <f>65/145.12</f>
        <v>0.44790518191841233</v>
      </c>
      <c r="H37" s="5">
        <f>96/502.36</f>
        <v>0.19109801735806992</v>
      </c>
      <c r="I37" s="5">
        <f>104/588.05</f>
        <v>0.17685570954850779</v>
      </c>
      <c r="K37" s="3"/>
    </row>
    <row r="38" spans="1:11" x14ac:dyDescent="0.25">
      <c r="A38" s="6"/>
      <c r="B38" s="8" t="s">
        <v>21</v>
      </c>
      <c r="C38" s="5">
        <v>0</v>
      </c>
      <c r="D38" s="5">
        <f>1/161.73</f>
        <v>6.1831447474185374E-3</v>
      </c>
      <c r="E38" s="5">
        <f>8/77.61</f>
        <v>0.10307950006442469</v>
      </c>
      <c r="F38" s="5">
        <f>7/41.16</f>
        <v>0.17006802721088438</v>
      </c>
      <c r="G38" s="5">
        <f>22/145.12</f>
        <v>0.15159867695700111</v>
      </c>
      <c r="H38" s="5">
        <f>38/502.36</f>
        <v>7.564296520423601E-2</v>
      </c>
      <c r="I38" s="5">
        <f>156/588.05</f>
        <v>0.26528356432276168</v>
      </c>
      <c r="K38" s="3"/>
    </row>
    <row r="39" spans="1:11" x14ac:dyDescent="0.25">
      <c r="A39" s="6"/>
      <c r="B39" s="8" t="s">
        <v>22</v>
      </c>
      <c r="C39" s="5">
        <f>1/76.74</f>
        <v>1.3031013812874642E-2</v>
      </c>
      <c r="D39" s="5">
        <f>20/161.73</f>
        <v>0.12366289494837075</v>
      </c>
      <c r="E39" s="5">
        <f>13/77.61</f>
        <v>0.16750418760469013</v>
      </c>
      <c r="F39" s="5">
        <f>5/41.16</f>
        <v>0.12147716229348883</v>
      </c>
      <c r="G39" s="5">
        <f>114/145.12</f>
        <v>0.78555678059536937</v>
      </c>
      <c r="H39" s="5">
        <f>153/502.36</f>
        <v>0.30456246516442392</v>
      </c>
      <c r="I39" s="5">
        <f>146/588.05</f>
        <v>0.24827820763540517</v>
      </c>
      <c r="K39" s="3"/>
    </row>
    <row r="40" spans="1:11" x14ac:dyDescent="0.25">
      <c r="K40" s="3"/>
    </row>
    <row r="41" spans="1:11" x14ac:dyDescent="0.25">
      <c r="K41" s="3"/>
    </row>
    <row r="42" spans="1:11" x14ac:dyDescent="0.25">
      <c r="K42" s="3"/>
    </row>
    <row r="43" spans="1:11" x14ac:dyDescent="0.25">
      <c r="K43" s="3"/>
    </row>
    <row r="44" spans="1:11" x14ac:dyDescent="0.25">
      <c r="K44" s="3"/>
    </row>
    <row r="45" spans="1:11" x14ac:dyDescent="0.25">
      <c r="K45" s="3"/>
    </row>
    <row r="46" spans="1:11" x14ac:dyDescent="0.25">
      <c r="K46" s="3"/>
    </row>
    <row r="47" spans="1:11" x14ac:dyDescent="0.25">
      <c r="K47" s="3"/>
    </row>
    <row r="48" spans="1:11" x14ac:dyDescent="0.25">
      <c r="K48" s="3"/>
    </row>
    <row r="49" spans="11:11" x14ac:dyDescent="0.25">
      <c r="K49" s="3"/>
    </row>
    <row r="50" spans="11:11" x14ac:dyDescent="0.25">
      <c r="K50" s="3"/>
    </row>
  </sheetData>
  <mergeCells count="10">
    <mergeCell ref="A23:B24"/>
    <mergeCell ref="C23:G23"/>
    <mergeCell ref="H23:H24"/>
    <mergeCell ref="C24:D24"/>
    <mergeCell ref="F24:G24"/>
    <mergeCell ref="A1:B2"/>
    <mergeCell ref="C1:G1"/>
    <mergeCell ref="H1:H2"/>
    <mergeCell ref="C2:D2"/>
    <mergeCell ref="F2:G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F22" sqref="F22"/>
    </sheetView>
  </sheetViews>
  <sheetFormatPr defaultRowHeight="15" x14ac:dyDescent="0.25"/>
  <cols>
    <col min="3" max="8" width="12" bestFit="1" customWidth="1"/>
    <col min="9" max="9" width="17.42578125" bestFit="1" customWidth="1"/>
  </cols>
  <sheetData>
    <row r="1" spans="1:9" x14ac:dyDescent="0.25">
      <c r="A1" s="14" t="s">
        <v>56</v>
      </c>
      <c r="B1" s="14"/>
      <c r="C1" s="13" t="s">
        <v>0</v>
      </c>
      <c r="D1" s="13"/>
      <c r="E1" s="13"/>
      <c r="F1" s="13"/>
      <c r="G1" s="13"/>
      <c r="H1" s="13" t="s">
        <v>25</v>
      </c>
      <c r="I1" s="12" t="s">
        <v>8</v>
      </c>
    </row>
    <row r="2" spans="1:9" x14ac:dyDescent="0.25">
      <c r="A2" s="14"/>
      <c r="B2" s="14"/>
      <c r="C2" s="13" t="s">
        <v>1</v>
      </c>
      <c r="D2" s="13"/>
      <c r="E2" s="12" t="s">
        <v>4</v>
      </c>
      <c r="F2" s="13" t="s">
        <v>5</v>
      </c>
      <c r="G2" s="13"/>
      <c r="H2" s="13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6"/>
      <c r="B4" s="6" t="s">
        <v>41</v>
      </c>
      <c r="C4" s="12">
        <v>509</v>
      </c>
      <c r="D4" s="12">
        <v>1565</v>
      </c>
      <c r="E4" s="12">
        <v>1469</v>
      </c>
      <c r="F4" s="12">
        <v>894</v>
      </c>
      <c r="G4" s="12">
        <v>4743</v>
      </c>
      <c r="H4" s="12">
        <f>SUM(C4:G4)</f>
        <v>9180</v>
      </c>
      <c r="I4" s="12">
        <v>34611</v>
      </c>
    </row>
    <row r="5" spans="1:9" x14ac:dyDescent="0.25">
      <c r="A5" s="6"/>
      <c r="B5" s="6" t="s">
        <v>42</v>
      </c>
      <c r="C5" s="12">
        <v>7162</v>
      </c>
      <c r="D5" s="12">
        <v>14596</v>
      </c>
      <c r="E5" s="12">
        <v>6289</v>
      </c>
      <c r="F5" s="12">
        <v>3221</v>
      </c>
      <c r="G5" s="12">
        <v>9765</v>
      </c>
      <c r="H5" s="12">
        <f>SUM(C5:G5)</f>
        <v>41033</v>
      </c>
      <c r="I5" s="12">
        <v>24175</v>
      </c>
    </row>
    <row r="6" spans="1:9" x14ac:dyDescent="0.25">
      <c r="A6" s="6"/>
      <c r="B6" s="6" t="s">
        <v>23</v>
      </c>
      <c r="C6" s="12">
        <v>3</v>
      </c>
      <c r="D6" s="12">
        <v>12</v>
      </c>
      <c r="E6" s="12">
        <v>3</v>
      </c>
      <c r="F6" s="12">
        <v>1</v>
      </c>
      <c r="G6" s="12">
        <v>4</v>
      </c>
      <c r="H6" s="12">
        <f>SUM(C6:G6)</f>
        <v>23</v>
      </c>
      <c r="I6" s="12">
        <v>19</v>
      </c>
    </row>
    <row r="7" spans="1:9" x14ac:dyDescent="0.25">
      <c r="A7" s="6"/>
      <c r="B7" s="6" t="s">
        <v>26</v>
      </c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3" t="s">
        <v>0</v>
      </c>
      <c r="D11" s="13"/>
      <c r="E11" s="13"/>
      <c r="F11" s="13"/>
      <c r="G11" s="13"/>
      <c r="H11" s="13" t="s">
        <v>25</v>
      </c>
      <c r="I11" s="12" t="s">
        <v>8</v>
      </c>
    </row>
    <row r="12" spans="1:9" x14ac:dyDescent="0.25">
      <c r="C12" s="13" t="s">
        <v>1</v>
      </c>
      <c r="D12" s="13"/>
      <c r="E12" s="12" t="s">
        <v>4</v>
      </c>
      <c r="F12" s="13" t="s">
        <v>5</v>
      </c>
      <c r="G12" s="13"/>
      <c r="H12" s="13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B14" s="6" t="s">
        <v>41</v>
      </c>
      <c r="C14" s="12">
        <f>C4/76.74</f>
        <v>6.6327860307531932</v>
      </c>
      <c r="D14" s="12">
        <f>D4/161.73</f>
        <v>9.6766215297100118</v>
      </c>
      <c r="E14" s="12">
        <f>E4/77.61</f>
        <v>18.927973199329983</v>
      </c>
      <c r="F14" s="12">
        <f>F4/41.16</f>
        <v>21.720116618075803</v>
      </c>
      <c r="G14" s="12">
        <f>G4/145.12</f>
        <v>32.683296582138915</v>
      </c>
      <c r="H14" s="12">
        <f>H4/502.36</f>
        <v>18.273747909865435</v>
      </c>
      <c r="I14" s="12">
        <f>I4/588.05</f>
        <v>58.857240030609645</v>
      </c>
    </row>
    <row r="15" spans="1:9" x14ac:dyDescent="0.25">
      <c r="B15" s="6" t="s">
        <v>42</v>
      </c>
      <c r="C15" s="12">
        <f t="shared" ref="C15:C16" si="2">C5/76.74</f>
        <v>93.328120927808186</v>
      </c>
      <c r="D15" s="12">
        <f t="shared" ref="D15:D16" si="3">D5/161.73</f>
        <v>90.249180733320969</v>
      </c>
      <c r="E15" s="12">
        <f t="shared" ref="E15:E16" si="4">E5/77.61</f>
        <v>81.033371988145859</v>
      </c>
      <c r="F15" s="12">
        <f t="shared" ref="F15:F16" si="5">F5/41.16</f>
        <v>78.255587949465507</v>
      </c>
      <c r="G15" s="12">
        <f t="shared" ref="G15:G16" si="6">G5/145.12</f>
        <v>67.289140022050717</v>
      </c>
      <c r="H15" s="12">
        <f t="shared" ref="H15:H16" si="7">H5/502.36</f>
        <v>81.68046819014252</v>
      </c>
      <c r="I15" s="12">
        <f>I5/588.05</f>
        <v>41.110449791684381</v>
      </c>
    </row>
    <row r="16" spans="1:9" x14ac:dyDescent="0.25">
      <c r="B16" s="6" t="s">
        <v>23</v>
      </c>
      <c r="C16" s="12">
        <f t="shared" si="2"/>
        <v>3.9093041438623931E-2</v>
      </c>
      <c r="D16" s="12">
        <f t="shared" si="3"/>
        <v>7.4197736969022446E-2</v>
      </c>
      <c r="E16" s="12">
        <f t="shared" si="4"/>
        <v>3.8654812524159261E-2</v>
      </c>
      <c r="F16" s="12">
        <f t="shared" si="5"/>
        <v>2.4295432458697766E-2</v>
      </c>
      <c r="G16" s="12">
        <f t="shared" si="6"/>
        <v>2.7563395810363836E-2</v>
      </c>
      <c r="H16" s="12">
        <f t="shared" si="7"/>
        <v>4.578389999203758E-2</v>
      </c>
      <c r="I16" s="12">
        <f>I6/588.05</f>
        <v>3.2310177705977383E-2</v>
      </c>
    </row>
  </sheetData>
  <mergeCells count="9">
    <mergeCell ref="A1:B2"/>
    <mergeCell ref="C1:G1"/>
    <mergeCell ref="H1:H2"/>
    <mergeCell ref="C2:D2"/>
    <mergeCell ref="F2:G2"/>
    <mergeCell ref="C11:G11"/>
    <mergeCell ref="H11:H12"/>
    <mergeCell ref="C12:D12"/>
    <mergeCell ref="F12:G1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A3" sqref="A3"/>
    </sheetView>
  </sheetViews>
  <sheetFormatPr defaultRowHeight="15" x14ac:dyDescent="0.25"/>
  <cols>
    <col min="2" max="2" width="14.140625" customWidth="1"/>
    <col min="3" max="8" width="12" bestFit="1" customWidth="1"/>
    <col min="9" max="9" width="17.42578125" bestFit="1" customWidth="1"/>
  </cols>
  <sheetData>
    <row r="1" spans="1:9" x14ac:dyDescent="0.25">
      <c r="A1" s="14" t="s">
        <v>58</v>
      </c>
      <c r="B1" s="14"/>
      <c r="C1" s="13" t="s">
        <v>0</v>
      </c>
      <c r="D1" s="13"/>
      <c r="E1" s="13"/>
      <c r="F1" s="13"/>
      <c r="G1" s="13"/>
      <c r="H1" s="13" t="s">
        <v>25</v>
      </c>
      <c r="I1" s="12" t="s">
        <v>8</v>
      </c>
    </row>
    <row r="2" spans="1:9" x14ac:dyDescent="0.25">
      <c r="A2" s="14"/>
      <c r="B2" s="14"/>
      <c r="C2" s="13" t="s">
        <v>1</v>
      </c>
      <c r="D2" s="13"/>
      <c r="E2" s="12" t="s">
        <v>4</v>
      </c>
      <c r="F2" s="13" t="s">
        <v>5</v>
      </c>
      <c r="G2" s="13"/>
      <c r="H2" s="13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6"/>
      <c r="B4" s="6" t="s">
        <v>41</v>
      </c>
      <c r="C4" s="12">
        <v>6265</v>
      </c>
      <c r="D4" s="12">
        <v>12125</v>
      </c>
      <c r="E4" s="12">
        <v>5663</v>
      </c>
      <c r="F4" s="12">
        <v>3279</v>
      </c>
      <c r="G4" s="12">
        <v>11029</v>
      </c>
      <c r="H4" s="12">
        <f>SUM(C4:G4)</f>
        <v>38361</v>
      </c>
      <c r="I4" s="12">
        <v>47202</v>
      </c>
    </row>
    <row r="5" spans="1:9" x14ac:dyDescent="0.25">
      <c r="A5" s="6"/>
      <c r="B5" s="6" t="s">
        <v>42</v>
      </c>
      <c r="C5" s="12">
        <v>1404</v>
      </c>
      <c r="D5" s="12">
        <v>4030</v>
      </c>
      <c r="E5" s="12">
        <v>2094</v>
      </c>
      <c r="F5" s="12">
        <v>836</v>
      </c>
      <c r="G5" s="12">
        <v>3473</v>
      </c>
      <c r="H5" s="12">
        <f>SUM(C5:G5)</f>
        <v>11837</v>
      </c>
      <c r="I5" s="12">
        <v>11577</v>
      </c>
    </row>
    <row r="6" spans="1:9" x14ac:dyDescent="0.25">
      <c r="A6" s="6"/>
      <c r="B6" s="6" t="s">
        <v>23</v>
      </c>
      <c r="C6" s="12">
        <v>5</v>
      </c>
      <c r="D6" s="12">
        <v>18</v>
      </c>
      <c r="E6" s="12">
        <v>4</v>
      </c>
      <c r="F6" s="12">
        <v>1</v>
      </c>
      <c r="G6" s="12">
        <v>10</v>
      </c>
      <c r="H6" s="12">
        <f>SUM(C6:G6)</f>
        <v>38</v>
      </c>
      <c r="I6" s="12">
        <v>26</v>
      </c>
    </row>
    <row r="7" spans="1:9" x14ac:dyDescent="0.25">
      <c r="A7" s="6"/>
      <c r="B7" s="6" t="s">
        <v>26</v>
      </c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3" t="s">
        <v>0</v>
      </c>
      <c r="D11" s="13"/>
      <c r="E11" s="13"/>
      <c r="F11" s="13"/>
      <c r="G11" s="13"/>
      <c r="H11" s="13" t="s">
        <v>25</v>
      </c>
      <c r="I11" s="12" t="s">
        <v>8</v>
      </c>
    </row>
    <row r="12" spans="1:9" x14ac:dyDescent="0.25">
      <c r="C12" s="13" t="s">
        <v>1</v>
      </c>
      <c r="D12" s="13"/>
      <c r="E12" s="12" t="s">
        <v>4</v>
      </c>
      <c r="F12" s="13" t="s">
        <v>5</v>
      </c>
      <c r="G12" s="13"/>
      <c r="H12" s="13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B14" s="6" t="s">
        <v>41</v>
      </c>
      <c r="C14" s="12">
        <f>C4/76.74</f>
        <v>81.639301537659634</v>
      </c>
      <c r="D14" s="12">
        <f>D4/161.73</f>
        <v>74.970630062449771</v>
      </c>
      <c r="E14" s="12">
        <f>E4/77.61</f>
        <v>72.967401108104625</v>
      </c>
      <c r="F14" s="12">
        <f>F4/41.16</f>
        <v>79.664723032069972</v>
      </c>
      <c r="G14" s="12">
        <f>G4/145.12</f>
        <v>75.999173098125681</v>
      </c>
      <c r="H14" s="12">
        <f>H4/502.36</f>
        <v>76.361573373676251</v>
      </c>
      <c r="I14" s="12">
        <f>I4/588.05</f>
        <v>80.268684635660236</v>
      </c>
    </row>
    <row r="15" spans="1:9" x14ac:dyDescent="0.25">
      <c r="B15" s="6" t="s">
        <v>42</v>
      </c>
      <c r="C15" s="12">
        <f t="shared" ref="C15:C16" si="2">C5/76.74</f>
        <v>18.295543393275999</v>
      </c>
      <c r="D15" s="12">
        <f t="shared" ref="D15:D16" si="3">D5/161.73</f>
        <v>24.918073332096707</v>
      </c>
      <c r="E15" s="12">
        <f t="shared" ref="E15:E16" si="4">E5/77.61</f>
        <v>26.981059141863163</v>
      </c>
      <c r="F15" s="12">
        <f t="shared" ref="F15:F16" si="5">F5/41.16</f>
        <v>20.310981535471335</v>
      </c>
      <c r="G15" s="12">
        <f t="shared" ref="G15:G16" si="6">G5/145.12</f>
        <v>23.931918412348402</v>
      </c>
      <c r="H15" s="12">
        <f t="shared" ref="H15:H16" si="7">H5/502.36</f>
        <v>23.562783661119514</v>
      </c>
      <c r="I15" s="12">
        <f>I5/588.05</f>
        <v>19.687101436952641</v>
      </c>
    </row>
    <row r="16" spans="1:9" x14ac:dyDescent="0.25">
      <c r="B16" s="6" t="s">
        <v>23</v>
      </c>
      <c r="C16" s="12">
        <f t="shared" si="2"/>
        <v>6.5155069064373211E-2</v>
      </c>
      <c r="D16" s="12">
        <f t="shared" si="3"/>
        <v>0.11129660545353368</v>
      </c>
      <c r="E16" s="12">
        <f t="shared" si="4"/>
        <v>5.1539750032212346E-2</v>
      </c>
      <c r="F16" s="12">
        <f t="shared" si="5"/>
        <v>2.4295432458697766E-2</v>
      </c>
      <c r="G16" s="12">
        <f t="shared" si="6"/>
        <v>6.8908489525909583E-2</v>
      </c>
      <c r="H16" s="12">
        <f t="shared" si="7"/>
        <v>7.564296520423601E-2</v>
      </c>
      <c r="I16" s="12">
        <f>I6/588.05</f>
        <v>4.4213927387126949E-2</v>
      </c>
    </row>
  </sheetData>
  <mergeCells count="9">
    <mergeCell ref="A1:B2"/>
    <mergeCell ref="C1:G1"/>
    <mergeCell ref="H1:H2"/>
    <mergeCell ref="C2:D2"/>
    <mergeCell ref="F2:G2"/>
    <mergeCell ref="C11:G11"/>
    <mergeCell ref="H11:H12"/>
    <mergeCell ref="C12:D12"/>
    <mergeCell ref="F12:G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16" sqref="A1:I16"/>
    </sheetView>
  </sheetViews>
  <sheetFormatPr defaultRowHeight="15" x14ac:dyDescent="0.25"/>
  <cols>
    <col min="2" max="2" width="16.140625" customWidth="1"/>
    <col min="3" max="8" width="12" bestFit="1" customWidth="1"/>
    <col min="9" max="9" width="17.42578125" bestFit="1" customWidth="1"/>
  </cols>
  <sheetData>
    <row r="1" spans="1:9" x14ac:dyDescent="0.25">
      <c r="A1" s="14" t="s">
        <v>59</v>
      </c>
      <c r="B1" s="14"/>
      <c r="C1" s="13" t="s">
        <v>0</v>
      </c>
      <c r="D1" s="13"/>
      <c r="E1" s="13"/>
      <c r="F1" s="13"/>
      <c r="G1" s="13"/>
      <c r="H1" s="13" t="s">
        <v>25</v>
      </c>
      <c r="I1" s="12" t="s">
        <v>8</v>
      </c>
    </row>
    <row r="2" spans="1:9" x14ac:dyDescent="0.25">
      <c r="A2" s="14"/>
      <c r="B2" s="14"/>
      <c r="C2" s="13" t="s">
        <v>1</v>
      </c>
      <c r="D2" s="13"/>
      <c r="E2" s="12" t="s">
        <v>4</v>
      </c>
      <c r="F2" s="13" t="s">
        <v>5</v>
      </c>
      <c r="G2" s="13"/>
      <c r="H2" s="13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6"/>
      <c r="B4" s="6" t="s">
        <v>41</v>
      </c>
      <c r="C4" s="12">
        <v>2464</v>
      </c>
      <c r="D4" s="12">
        <v>6776</v>
      </c>
      <c r="E4" s="12">
        <v>3539</v>
      </c>
      <c r="F4" s="12">
        <v>1796</v>
      </c>
      <c r="G4" s="12">
        <v>7449</v>
      </c>
      <c r="H4" s="12">
        <f>SUM(C4:G4)</f>
        <v>22024</v>
      </c>
      <c r="I4" s="12">
        <v>48124</v>
      </c>
    </row>
    <row r="5" spans="1:9" x14ac:dyDescent="0.25">
      <c r="A5" s="6"/>
      <c r="B5" s="6" t="s">
        <v>42</v>
      </c>
      <c r="C5" s="12">
        <v>5208</v>
      </c>
      <c r="D5" s="12">
        <v>9384</v>
      </c>
      <c r="E5" s="12">
        <v>4218</v>
      </c>
      <c r="F5" s="12">
        <v>2319</v>
      </c>
      <c r="G5" s="12">
        <v>7058</v>
      </c>
      <c r="H5" s="12">
        <f>SUM(C5:G5)</f>
        <v>28187</v>
      </c>
      <c r="I5" s="12">
        <v>10663</v>
      </c>
    </row>
    <row r="6" spans="1:9" x14ac:dyDescent="0.25">
      <c r="A6" s="6"/>
      <c r="B6" s="6" t="s">
        <v>23</v>
      </c>
      <c r="C6" s="12">
        <v>2</v>
      </c>
      <c r="D6" s="12">
        <v>13</v>
      </c>
      <c r="E6" s="12">
        <v>4</v>
      </c>
      <c r="F6" s="12">
        <v>1</v>
      </c>
      <c r="G6" s="12">
        <v>5</v>
      </c>
      <c r="H6" s="12">
        <f>SUM(C6:G6)</f>
        <v>25</v>
      </c>
      <c r="I6" s="12">
        <v>18</v>
      </c>
    </row>
    <row r="7" spans="1:9" x14ac:dyDescent="0.25">
      <c r="A7" s="6"/>
      <c r="B7" s="6" t="s">
        <v>26</v>
      </c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3" t="s">
        <v>0</v>
      </c>
      <c r="D11" s="13"/>
      <c r="E11" s="13"/>
      <c r="F11" s="13"/>
      <c r="G11" s="13"/>
      <c r="H11" s="13" t="s">
        <v>25</v>
      </c>
      <c r="I11" s="12" t="s">
        <v>8</v>
      </c>
    </row>
    <row r="12" spans="1:9" x14ac:dyDescent="0.25">
      <c r="C12" s="13" t="s">
        <v>1</v>
      </c>
      <c r="D12" s="13"/>
      <c r="E12" s="12" t="s">
        <v>4</v>
      </c>
      <c r="F12" s="13" t="s">
        <v>5</v>
      </c>
      <c r="G12" s="13"/>
      <c r="H12" s="13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B14" s="6" t="s">
        <v>41</v>
      </c>
      <c r="C14" s="12">
        <f>C4/76.74</f>
        <v>32.108418034923119</v>
      </c>
      <c r="D14" s="12">
        <f>D4/161.73</f>
        <v>41.896988808508013</v>
      </c>
      <c r="E14" s="12">
        <f>E4/77.61</f>
        <v>45.599793840999872</v>
      </c>
      <c r="F14" s="12">
        <f>F4/41.16</f>
        <v>43.634596695821187</v>
      </c>
      <c r="G14" s="12">
        <f>G4/145.12</f>
        <v>51.32993384785005</v>
      </c>
      <c r="H14" s="12">
        <f>H4/502.36</f>
        <v>43.841070148897202</v>
      </c>
      <c r="I14" s="12">
        <f>I4/588.05</f>
        <v>81.836578522234504</v>
      </c>
    </row>
    <row r="15" spans="1:9" x14ac:dyDescent="0.25">
      <c r="B15" s="6" t="s">
        <v>42</v>
      </c>
      <c r="C15" s="12">
        <f t="shared" ref="C15:C16" si="2">C5/76.74</f>
        <v>67.86551993745114</v>
      </c>
      <c r="D15" s="12">
        <f t="shared" ref="D15:D16" si="3">D5/161.73</f>
        <v>58.022630309775558</v>
      </c>
      <c r="E15" s="12">
        <f t="shared" ref="E15:E16" si="4">E5/77.61</f>
        <v>54.348666408967915</v>
      </c>
      <c r="F15" s="12">
        <f t="shared" ref="F15:F16" si="5">F5/41.16</f>
        <v>56.341107871720119</v>
      </c>
      <c r="G15" s="12">
        <f t="shared" ref="G15:G16" si="6">G5/145.12</f>
        <v>48.635611907386988</v>
      </c>
      <c r="H15" s="12">
        <f t="shared" ref="H15:H16" si="7">H5/502.36</f>
        <v>56.109164742415793</v>
      </c>
      <c r="I15" s="12">
        <f>I5/588.05</f>
        <v>18.132811835728255</v>
      </c>
    </row>
    <row r="16" spans="1:9" x14ac:dyDescent="0.25">
      <c r="B16" s="6" t="s">
        <v>23</v>
      </c>
      <c r="C16" s="12">
        <f t="shared" si="2"/>
        <v>2.6062027625749284E-2</v>
      </c>
      <c r="D16" s="12">
        <f t="shared" si="3"/>
        <v>8.0380881716440991E-2</v>
      </c>
      <c r="E16" s="12">
        <f t="shared" si="4"/>
        <v>5.1539750032212346E-2</v>
      </c>
      <c r="F16" s="12">
        <f t="shared" si="5"/>
        <v>2.4295432458697766E-2</v>
      </c>
      <c r="G16" s="12">
        <f t="shared" si="6"/>
        <v>3.4454244762954792E-2</v>
      </c>
      <c r="H16" s="12">
        <f t="shared" si="7"/>
        <v>4.9765108686997371E-2</v>
      </c>
      <c r="I16" s="12">
        <f>I6/588.05</f>
        <v>3.0609642037241733E-2</v>
      </c>
    </row>
  </sheetData>
  <mergeCells count="9">
    <mergeCell ref="A1:B2"/>
    <mergeCell ref="C1:G1"/>
    <mergeCell ref="H1:H2"/>
    <mergeCell ref="C2:D2"/>
    <mergeCell ref="F2:G2"/>
    <mergeCell ref="C11:G11"/>
    <mergeCell ref="H11:H12"/>
    <mergeCell ref="C12:D12"/>
    <mergeCell ref="F12:G1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7" sqref="G7"/>
    </sheetView>
  </sheetViews>
  <sheetFormatPr defaultRowHeight="15" x14ac:dyDescent="0.25"/>
  <cols>
    <col min="2" max="2" width="15.28515625" customWidth="1"/>
    <col min="3" max="8" width="12" bestFit="1" customWidth="1"/>
    <col min="9" max="9" width="17.42578125" bestFit="1" customWidth="1"/>
  </cols>
  <sheetData>
    <row r="1" spans="1:9" x14ac:dyDescent="0.25">
      <c r="A1" s="14" t="s">
        <v>60</v>
      </c>
      <c r="B1" s="14"/>
      <c r="C1" s="13" t="s">
        <v>0</v>
      </c>
      <c r="D1" s="13"/>
      <c r="E1" s="13"/>
      <c r="F1" s="13"/>
      <c r="G1" s="13"/>
      <c r="H1" s="13" t="s">
        <v>25</v>
      </c>
      <c r="I1" s="12" t="s">
        <v>8</v>
      </c>
    </row>
    <row r="2" spans="1:9" x14ac:dyDescent="0.25">
      <c r="A2" s="14"/>
      <c r="B2" s="14"/>
      <c r="C2" s="13" t="s">
        <v>1</v>
      </c>
      <c r="D2" s="13"/>
      <c r="E2" s="12" t="s">
        <v>4</v>
      </c>
      <c r="F2" s="13" t="s">
        <v>5</v>
      </c>
      <c r="G2" s="13"/>
      <c r="H2" s="13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6"/>
      <c r="B4" s="6" t="s">
        <v>41</v>
      </c>
      <c r="C4" s="12">
        <v>5275</v>
      </c>
      <c r="D4" s="12">
        <v>10135</v>
      </c>
      <c r="E4" s="12">
        <v>4692</v>
      </c>
      <c r="F4" s="12">
        <v>2649</v>
      </c>
      <c r="G4" s="12">
        <v>10423</v>
      </c>
      <c r="H4" s="12">
        <f>SUM(C4:G4)</f>
        <v>33174</v>
      </c>
      <c r="I4" s="12">
        <v>48870</v>
      </c>
    </row>
    <row r="5" spans="1:9" x14ac:dyDescent="0.25">
      <c r="A5" s="6"/>
      <c r="B5" s="6" t="s">
        <v>42</v>
      </c>
      <c r="C5" s="12">
        <v>2393</v>
      </c>
      <c r="D5" s="12">
        <v>6024</v>
      </c>
      <c r="E5" s="12">
        <v>3062</v>
      </c>
      <c r="F5" s="12">
        <v>1465</v>
      </c>
      <c r="G5" s="12">
        <v>4084</v>
      </c>
      <c r="H5" s="12">
        <f>SUM(C5:G5)</f>
        <v>17028</v>
      </c>
      <c r="I5" s="12">
        <v>9917</v>
      </c>
    </row>
    <row r="6" spans="1:9" x14ac:dyDescent="0.25">
      <c r="A6" s="6"/>
      <c r="B6" s="6" t="s">
        <v>23</v>
      </c>
      <c r="C6" s="12">
        <v>6</v>
      </c>
      <c r="D6" s="12">
        <v>14</v>
      </c>
      <c r="E6" s="12">
        <v>7</v>
      </c>
      <c r="F6" s="12">
        <v>2</v>
      </c>
      <c r="G6" s="12">
        <v>5</v>
      </c>
      <c r="H6" s="12">
        <f>SUM(C6:G6)</f>
        <v>34</v>
      </c>
      <c r="I6" s="12">
        <v>18</v>
      </c>
    </row>
    <row r="7" spans="1:9" x14ac:dyDescent="0.25">
      <c r="A7" s="6"/>
      <c r="B7" s="6" t="s">
        <v>26</v>
      </c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3" t="s">
        <v>0</v>
      </c>
      <c r="D11" s="13"/>
      <c r="E11" s="13"/>
      <c r="F11" s="13"/>
      <c r="G11" s="13"/>
      <c r="H11" s="13" t="s">
        <v>25</v>
      </c>
      <c r="I11" s="12" t="s">
        <v>8</v>
      </c>
    </row>
    <row r="12" spans="1:9" x14ac:dyDescent="0.25">
      <c r="C12" s="13" t="s">
        <v>1</v>
      </c>
      <c r="D12" s="13"/>
      <c r="E12" s="12" t="s">
        <v>4</v>
      </c>
      <c r="F12" s="13" t="s">
        <v>5</v>
      </c>
      <c r="G12" s="13"/>
      <c r="H12" s="13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B14" s="6" t="s">
        <v>41</v>
      </c>
      <c r="C14" s="12">
        <f>C4/76.74</f>
        <v>68.738597862913736</v>
      </c>
      <c r="D14" s="12">
        <f>D4/161.73</f>
        <v>62.666172015086879</v>
      </c>
      <c r="E14" s="12">
        <f>E4/77.61</f>
        <v>60.456126787785081</v>
      </c>
      <c r="F14" s="12">
        <f>F4/41.16</f>
        <v>64.358600583090379</v>
      </c>
      <c r="G14" s="12">
        <f>G4/145.12</f>
        <v>71.82331863285556</v>
      </c>
      <c r="H14" s="12">
        <f>H4/502.36</f>
        <v>66.036308623298027</v>
      </c>
      <c r="I14" s="12">
        <f>I4/588.05</f>
        <v>83.105178131111302</v>
      </c>
    </row>
    <row r="15" spans="1:9" x14ac:dyDescent="0.25">
      <c r="B15" s="6" t="s">
        <v>42</v>
      </c>
      <c r="C15" s="12">
        <f t="shared" ref="C15:C16" si="2">C5/76.74</f>
        <v>31.183216054209019</v>
      </c>
      <c r="D15" s="12">
        <f t="shared" ref="D15:D16" si="3">D5/161.73</f>
        <v>37.247263958449267</v>
      </c>
      <c r="E15" s="12">
        <f t="shared" ref="E15:E16" si="4">E5/77.61</f>
        <v>39.453678649658549</v>
      </c>
      <c r="F15" s="12">
        <f t="shared" ref="F15:F16" si="5">F5/41.16</f>
        <v>35.592808551992228</v>
      </c>
      <c r="G15" s="12">
        <f t="shared" ref="G15:G16" si="6">G5/145.12</f>
        <v>28.142227122381477</v>
      </c>
      <c r="H15" s="12">
        <f t="shared" ref="H15:H16" si="7">H5/502.36</f>
        <v>33.896010828887647</v>
      </c>
      <c r="I15" s="12">
        <f>I5/588.05</f>
        <v>16.86421222685146</v>
      </c>
    </row>
    <row r="16" spans="1:9" x14ac:dyDescent="0.25">
      <c r="B16" s="6" t="s">
        <v>23</v>
      </c>
      <c r="C16" s="12">
        <f t="shared" si="2"/>
        <v>7.8186082877247862E-2</v>
      </c>
      <c r="D16" s="12">
        <f t="shared" si="3"/>
        <v>8.6564026463859522E-2</v>
      </c>
      <c r="E16" s="12">
        <f t="shared" si="4"/>
        <v>9.0194562556371607E-2</v>
      </c>
      <c r="F16" s="12">
        <f t="shared" si="5"/>
        <v>4.8590864917395532E-2</v>
      </c>
      <c r="G16" s="12">
        <f t="shared" si="6"/>
        <v>3.4454244762954792E-2</v>
      </c>
      <c r="H16" s="12">
        <f t="shared" si="7"/>
        <v>6.7680547814316427E-2</v>
      </c>
      <c r="I16" s="12">
        <f>I6/588.05</f>
        <v>3.0609642037241733E-2</v>
      </c>
    </row>
  </sheetData>
  <mergeCells count="9">
    <mergeCell ref="A1:B2"/>
    <mergeCell ref="C1:G1"/>
    <mergeCell ref="H1:H2"/>
    <mergeCell ref="C2:D2"/>
    <mergeCell ref="F2:G2"/>
    <mergeCell ref="C11:G11"/>
    <mergeCell ref="H11:H12"/>
    <mergeCell ref="C12:D12"/>
    <mergeCell ref="F12:G1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7" sqref="G7"/>
    </sheetView>
  </sheetViews>
  <sheetFormatPr defaultRowHeight="15" x14ac:dyDescent="0.25"/>
  <cols>
    <col min="2" max="2" width="12.7109375" customWidth="1"/>
    <col min="3" max="8" width="12" bestFit="1" customWidth="1"/>
    <col min="9" max="9" width="17.42578125" bestFit="1" customWidth="1"/>
  </cols>
  <sheetData>
    <row r="1" spans="1:9" x14ac:dyDescent="0.25">
      <c r="A1" s="14" t="s">
        <v>61</v>
      </c>
      <c r="B1" s="14"/>
      <c r="C1" s="13" t="s">
        <v>0</v>
      </c>
      <c r="D1" s="13"/>
      <c r="E1" s="13"/>
      <c r="F1" s="13"/>
      <c r="G1" s="13"/>
      <c r="H1" s="13" t="s">
        <v>25</v>
      </c>
      <c r="I1" s="12" t="s">
        <v>8</v>
      </c>
    </row>
    <row r="2" spans="1:9" x14ac:dyDescent="0.25">
      <c r="A2" s="14"/>
      <c r="B2" s="14"/>
      <c r="C2" s="13" t="s">
        <v>1</v>
      </c>
      <c r="D2" s="13"/>
      <c r="E2" s="12" t="s">
        <v>4</v>
      </c>
      <c r="F2" s="13" t="s">
        <v>5</v>
      </c>
      <c r="G2" s="13"/>
      <c r="H2" s="13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6"/>
      <c r="B4" s="6" t="s">
        <v>41</v>
      </c>
      <c r="C4" s="12">
        <v>6767</v>
      </c>
      <c r="D4" s="12">
        <v>14278</v>
      </c>
      <c r="E4" s="12">
        <v>7118</v>
      </c>
      <c r="F4" s="12">
        <v>3678</v>
      </c>
      <c r="G4" s="12">
        <v>13578</v>
      </c>
      <c r="H4" s="12">
        <f>SUM(C4:G4)</f>
        <v>45419</v>
      </c>
      <c r="I4" s="12">
        <v>58033</v>
      </c>
    </row>
    <row r="5" spans="1:9" x14ac:dyDescent="0.25">
      <c r="A5" s="6"/>
      <c r="B5" s="6" t="s">
        <v>42</v>
      </c>
      <c r="C5" s="12">
        <v>903</v>
      </c>
      <c r="D5" s="12">
        <v>1882</v>
      </c>
      <c r="E5" s="12">
        <v>638</v>
      </c>
      <c r="F5" s="12">
        <v>437</v>
      </c>
      <c r="G5" s="12">
        <v>928</v>
      </c>
      <c r="H5" s="12">
        <f>SUM(C5:G5)</f>
        <v>4788</v>
      </c>
      <c r="I5" s="12">
        <v>751</v>
      </c>
    </row>
    <row r="6" spans="1:9" x14ac:dyDescent="0.25">
      <c r="A6" s="6"/>
      <c r="B6" s="6" t="s">
        <v>23</v>
      </c>
      <c r="C6" s="12">
        <v>4</v>
      </c>
      <c r="D6" s="12">
        <v>13</v>
      </c>
      <c r="E6" s="12">
        <v>5</v>
      </c>
      <c r="F6" s="12">
        <v>1</v>
      </c>
      <c r="G6" s="12">
        <v>6</v>
      </c>
      <c r="H6" s="12">
        <f>SUM(C6:G6)</f>
        <v>29</v>
      </c>
      <c r="I6" s="12">
        <v>21</v>
      </c>
    </row>
    <row r="7" spans="1:9" x14ac:dyDescent="0.25">
      <c r="A7" s="6"/>
      <c r="B7" s="6" t="s">
        <v>26</v>
      </c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3" t="s">
        <v>0</v>
      </c>
      <c r="D11" s="13"/>
      <c r="E11" s="13"/>
      <c r="F11" s="13"/>
      <c r="G11" s="13"/>
      <c r="H11" s="13" t="s">
        <v>25</v>
      </c>
      <c r="I11" s="12" t="s">
        <v>8</v>
      </c>
    </row>
    <row r="12" spans="1:9" x14ac:dyDescent="0.25">
      <c r="C12" s="13" t="s">
        <v>1</v>
      </c>
      <c r="D12" s="13"/>
      <c r="E12" s="12" t="s">
        <v>4</v>
      </c>
      <c r="F12" s="13" t="s">
        <v>5</v>
      </c>
      <c r="G12" s="13"/>
      <c r="H12" s="13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B14" s="6" t="s">
        <v>41</v>
      </c>
      <c r="C14" s="12">
        <f>C4/76.74</f>
        <v>88.180870471722713</v>
      </c>
      <c r="D14" s="12">
        <f>D4/161.73</f>
        <v>88.282940703641884</v>
      </c>
      <c r="E14" s="12">
        <f>E4/77.61</f>
        <v>91.714985182321868</v>
      </c>
      <c r="F14" s="12">
        <f>F4/41.16</f>
        <v>89.358600583090393</v>
      </c>
      <c r="G14" s="12">
        <f>G4/145.12</f>
        <v>93.563947078280037</v>
      </c>
      <c r="H14" s="12">
        <f>H4/502.36</f>
        <v>90.411258858189342</v>
      </c>
      <c r="I14" s="12">
        <f>I4/588.05</f>
        <v>98.687186463736083</v>
      </c>
    </row>
    <row r="15" spans="1:9" x14ac:dyDescent="0.25">
      <c r="B15" s="6" t="s">
        <v>42</v>
      </c>
      <c r="C15" s="12">
        <f t="shared" ref="C15:C16" si="2">C5/76.74</f>
        <v>11.767005473025803</v>
      </c>
      <c r="D15" s="12">
        <f t="shared" ref="D15:D16" si="3">D5/161.73</f>
        <v>11.636678414641688</v>
      </c>
      <c r="E15" s="12">
        <f t="shared" ref="E15:E16" si="4">E5/77.61</f>
        <v>8.2205901301378681</v>
      </c>
      <c r="F15" s="12">
        <f t="shared" ref="F15:F16" si="5">F5/41.16</f>
        <v>10.617103984450925</v>
      </c>
      <c r="G15" s="12">
        <f t="shared" ref="G15:G16" si="6">G5/145.12</f>
        <v>6.3947078280044103</v>
      </c>
      <c r="H15" s="12">
        <f t="shared" ref="H15:H16" si="7">H5/502.36</f>
        <v>9.5310136157337357</v>
      </c>
      <c r="I15" s="12">
        <f>I5/588.05</f>
        <v>1.2771022872204745</v>
      </c>
    </row>
    <row r="16" spans="1:9" x14ac:dyDescent="0.25">
      <c r="B16" s="6" t="s">
        <v>23</v>
      </c>
      <c r="C16" s="12">
        <f t="shared" si="2"/>
        <v>5.2124055251498567E-2</v>
      </c>
      <c r="D16" s="12">
        <f t="shared" si="3"/>
        <v>8.0380881716440991E-2</v>
      </c>
      <c r="E16" s="12">
        <f t="shared" si="4"/>
        <v>6.4424687540265424E-2</v>
      </c>
      <c r="F16" s="12">
        <f t="shared" si="5"/>
        <v>2.4295432458697766E-2</v>
      </c>
      <c r="G16" s="12">
        <f t="shared" si="6"/>
        <v>4.1345093715545754E-2</v>
      </c>
      <c r="H16" s="12">
        <f t="shared" si="7"/>
        <v>5.7727526076916953E-2</v>
      </c>
      <c r="I16" s="12">
        <f>I6/588.05</f>
        <v>3.571124904344869E-2</v>
      </c>
    </row>
  </sheetData>
  <mergeCells count="9">
    <mergeCell ref="A1:B2"/>
    <mergeCell ref="C1:G1"/>
    <mergeCell ref="H1:H2"/>
    <mergeCell ref="C2:D2"/>
    <mergeCell ref="F2:G2"/>
    <mergeCell ref="C11:G11"/>
    <mergeCell ref="H11:H12"/>
    <mergeCell ref="C12:D12"/>
    <mergeCell ref="F12:G1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16" sqref="A1:I16"/>
    </sheetView>
  </sheetViews>
  <sheetFormatPr defaultRowHeight="15" x14ac:dyDescent="0.25"/>
  <cols>
    <col min="2" max="2" width="16.140625" customWidth="1"/>
    <col min="3" max="8" width="12" bestFit="1" customWidth="1"/>
    <col min="9" max="9" width="17.42578125" bestFit="1" customWidth="1"/>
  </cols>
  <sheetData>
    <row r="1" spans="1:9" x14ac:dyDescent="0.25">
      <c r="A1" s="14" t="s">
        <v>62</v>
      </c>
      <c r="B1" s="14"/>
      <c r="C1" s="13" t="s">
        <v>0</v>
      </c>
      <c r="D1" s="13"/>
      <c r="E1" s="13"/>
      <c r="F1" s="13"/>
      <c r="G1" s="13"/>
      <c r="H1" s="13" t="s">
        <v>25</v>
      </c>
      <c r="I1" s="12" t="s">
        <v>8</v>
      </c>
    </row>
    <row r="2" spans="1:9" x14ac:dyDescent="0.25">
      <c r="A2" s="14"/>
      <c r="B2" s="14"/>
      <c r="C2" s="13" t="s">
        <v>1</v>
      </c>
      <c r="D2" s="13"/>
      <c r="E2" s="12" t="s">
        <v>4</v>
      </c>
      <c r="F2" s="13" t="s">
        <v>5</v>
      </c>
      <c r="G2" s="13"/>
      <c r="H2" s="13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13" t="s">
        <v>41</v>
      </c>
      <c r="B4" s="13"/>
      <c r="C4" s="12">
        <v>7069</v>
      </c>
      <c r="D4" s="12">
        <v>13803</v>
      </c>
      <c r="E4" s="12">
        <v>6775</v>
      </c>
      <c r="F4" s="12">
        <v>3706</v>
      </c>
      <c r="G4" s="12">
        <v>13071</v>
      </c>
      <c r="H4" s="12">
        <f>SUM(C4:G4)</f>
        <v>44424</v>
      </c>
      <c r="I4" s="12">
        <v>53647</v>
      </c>
    </row>
    <row r="5" spans="1:9" x14ac:dyDescent="0.25">
      <c r="A5" s="13" t="s">
        <v>42</v>
      </c>
      <c r="B5" s="13"/>
      <c r="C5" s="12">
        <v>601</v>
      </c>
      <c r="D5" s="12">
        <v>2362</v>
      </c>
      <c r="E5" s="12">
        <v>980</v>
      </c>
      <c r="F5" s="12">
        <v>408</v>
      </c>
      <c r="G5" s="12">
        <v>1439</v>
      </c>
      <c r="H5" s="12">
        <f>SUM(C5:G5)</f>
        <v>5790</v>
      </c>
      <c r="I5" s="12">
        <v>5143</v>
      </c>
    </row>
    <row r="6" spans="1:9" x14ac:dyDescent="0.25">
      <c r="A6" s="13" t="s">
        <v>23</v>
      </c>
      <c r="B6" s="13"/>
      <c r="C6" s="12">
        <v>4</v>
      </c>
      <c r="D6" s="12">
        <v>8</v>
      </c>
      <c r="E6" s="12">
        <v>6</v>
      </c>
      <c r="F6" s="12">
        <v>2</v>
      </c>
      <c r="G6" s="12">
        <v>2</v>
      </c>
      <c r="H6" s="12">
        <f>SUM(C6:G6)</f>
        <v>22</v>
      </c>
      <c r="I6" s="12">
        <v>15</v>
      </c>
    </row>
    <row r="7" spans="1:9" x14ac:dyDescent="0.25">
      <c r="A7" s="13" t="s">
        <v>26</v>
      </c>
      <c r="B7" s="13"/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3" t="s">
        <v>0</v>
      </c>
      <c r="D11" s="13"/>
      <c r="E11" s="13"/>
      <c r="F11" s="13"/>
      <c r="G11" s="13"/>
      <c r="H11" s="13" t="s">
        <v>25</v>
      </c>
      <c r="I11" s="12" t="s">
        <v>8</v>
      </c>
    </row>
    <row r="12" spans="1:9" x14ac:dyDescent="0.25">
      <c r="C12" s="13" t="s">
        <v>1</v>
      </c>
      <c r="D12" s="13"/>
      <c r="E12" s="12" t="s">
        <v>4</v>
      </c>
      <c r="F12" s="13" t="s">
        <v>5</v>
      </c>
      <c r="G12" s="13"/>
      <c r="H12" s="13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A14" s="13" t="s">
        <v>41</v>
      </c>
      <c r="B14" s="13"/>
      <c r="C14" s="12">
        <f>C4/76.74</f>
        <v>92.116236643210854</v>
      </c>
      <c r="D14" s="12">
        <f>D4/161.73</f>
        <v>85.345946948618078</v>
      </c>
      <c r="E14" s="12">
        <f>E4/77.61</f>
        <v>87.295451617059655</v>
      </c>
      <c r="F14" s="12">
        <f>F4/41.16</f>
        <v>90.038872691933918</v>
      </c>
      <c r="G14" s="12">
        <f>G4/145.12</f>
        <v>90.070286659316423</v>
      </c>
      <c r="H14" s="12">
        <f>H4/502.36</f>
        <v>88.430607532446842</v>
      </c>
      <c r="I14" s="12">
        <f>I4/588.05</f>
        <v>91.228637020661509</v>
      </c>
    </row>
    <row r="15" spans="1:9" x14ac:dyDescent="0.25">
      <c r="A15" s="13" t="s">
        <v>42</v>
      </c>
      <c r="B15" s="13"/>
      <c r="C15" s="12">
        <f t="shared" ref="C15:C16" si="2">C5/76.74</f>
        <v>7.8316393015376597</v>
      </c>
      <c r="D15" s="12">
        <f t="shared" ref="D15:D16" si="3">D5/161.73</f>
        <v>14.604587893402586</v>
      </c>
      <c r="E15" s="12">
        <f t="shared" ref="E15:E16" si="4">E5/77.61</f>
        <v>12.627238757892025</v>
      </c>
      <c r="F15" s="12">
        <f t="shared" ref="F15:F16" si="5">F5/41.16</f>
        <v>9.9125364431486886</v>
      </c>
      <c r="G15" s="12">
        <f t="shared" ref="G15:G16" si="6">G5/145.12</f>
        <v>9.9159316427783892</v>
      </c>
      <c r="H15" s="12">
        <f t="shared" ref="H15:H16" si="7">H5/502.36</f>
        <v>11.525599171908592</v>
      </c>
      <c r="I15" s="12">
        <f>I5/588.05</f>
        <v>8.7458549443074567</v>
      </c>
    </row>
    <row r="16" spans="1:9" x14ac:dyDescent="0.25">
      <c r="A16" s="13" t="s">
        <v>23</v>
      </c>
      <c r="B16" s="13"/>
      <c r="C16" s="12">
        <f t="shared" si="2"/>
        <v>5.2124055251498567E-2</v>
      </c>
      <c r="D16" s="12">
        <f t="shared" si="3"/>
        <v>4.94651579793483E-2</v>
      </c>
      <c r="E16" s="12">
        <f t="shared" si="4"/>
        <v>7.7309625048318523E-2</v>
      </c>
      <c r="F16" s="12">
        <f t="shared" si="5"/>
        <v>4.8590864917395532E-2</v>
      </c>
      <c r="G16" s="12">
        <f t="shared" si="6"/>
        <v>1.3781697905181918E-2</v>
      </c>
      <c r="H16" s="12">
        <f t="shared" si="7"/>
        <v>4.3793295644557688E-2</v>
      </c>
      <c r="I16" s="12">
        <f>I6/588.05</f>
        <v>2.5508035031034777E-2</v>
      </c>
    </row>
  </sheetData>
  <mergeCells count="16">
    <mergeCell ref="A5:B5"/>
    <mergeCell ref="A6:B6"/>
    <mergeCell ref="A7:B7"/>
    <mergeCell ref="A14:B14"/>
    <mergeCell ref="A15:B15"/>
    <mergeCell ref="A16:B16"/>
    <mergeCell ref="A1:B2"/>
    <mergeCell ref="C1:G1"/>
    <mergeCell ref="H1:H2"/>
    <mergeCell ref="C2:D2"/>
    <mergeCell ref="F2:G2"/>
    <mergeCell ref="C11:G11"/>
    <mergeCell ref="H11:H12"/>
    <mergeCell ref="C12:D12"/>
    <mergeCell ref="F12:G12"/>
    <mergeCell ref="A4:B4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7" sqref="G7"/>
    </sheetView>
  </sheetViews>
  <sheetFormatPr defaultRowHeight="15" x14ac:dyDescent="0.25"/>
  <cols>
    <col min="2" max="2" width="11.140625" customWidth="1"/>
    <col min="3" max="8" width="12" bestFit="1" customWidth="1"/>
    <col min="9" max="9" width="17.42578125" bestFit="1" customWidth="1"/>
  </cols>
  <sheetData>
    <row r="1" spans="1:9" x14ac:dyDescent="0.25">
      <c r="A1" s="14" t="s">
        <v>63</v>
      </c>
      <c r="B1" s="14"/>
      <c r="C1" s="13" t="s">
        <v>0</v>
      </c>
      <c r="D1" s="13"/>
      <c r="E1" s="13"/>
      <c r="F1" s="13"/>
      <c r="G1" s="13"/>
      <c r="H1" s="13" t="s">
        <v>25</v>
      </c>
      <c r="I1" s="12" t="s">
        <v>8</v>
      </c>
    </row>
    <row r="2" spans="1:9" x14ac:dyDescent="0.25">
      <c r="A2" s="14"/>
      <c r="B2" s="14"/>
      <c r="C2" s="13" t="s">
        <v>1</v>
      </c>
      <c r="D2" s="13"/>
      <c r="E2" s="12" t="s">
        <v>4</v>
      </c>
      <c r="F2" s="13" t="s">
        <v>5</v>
      </c>
      <c r="G2" s="13"/>
      <c r="H2" s="13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13" t="s">
        <v>41</v>
      </c>
      <c r="B4" s="13"/>
      <c r="C4" s="12">
        <v>7655</v>
      </c>
      <c r="D4" s="12">
        <v>16113</v>
      </c>
      <c r="E4" s="12">
        <v>7710</v>
      </c>
      <c r="F4" s="12">
        <v>4091</v>
      </c>
      <c r="G4" s="12">
        <v>14445</v>
      </c>
      <c r="H4" s="12">
        <f>SUM(C4:G4)</f>
        <v>50014</v>
      </c>
      <c r="I4" s="12">
        <v>57779</v>
      </c>
    </row>
    <row r="5" spans="1:9" x14ac:dyDescent="0.25">
      <c r="A5" s="13" t="s">
        <v>42</v>
      </c>
      <c r="B5" s="13"/>
      <c r="C5" s="12">
        <v>14</v>
      </c>
      <c r="D5" s="12">
        <v>52</v>
      </c>
      <c r="E5" s="12">
        <v>46</v>
      </c>
      <c r="F5" s="12">
        <v>23</v>
      </c>
      <c r="G5" s="12">
        <v>65</v>
      </c>
      <c r="H5" s="12">
        <f>SUM(C5:G5)</f>
        <v>200</v>
      </c>
      <c r="I5" s="12">
        <v>1010</v>
      </c>
    </row>
    <row r="6" spans="1:9" x14ac:dyDescent="0.25">
      <c r="A6" s="13" t="s">
        <v>23</v>
      </c>
      <c r="B6" s="13"/>
      <c r="C6" s="12">
        <v>5</v>
      </c>
      <c r="D6" s="12">
        <v>8</v>
      </c>
      <c r="E6" s="12">
        <v>5</v>
      </c>
      <c r="F6" s="12">
        <v>2</v>
      </c>
      <c r="G6" s="12">
        <v>2</v>
      </c>
      <c r="H6" s="12">
        <f>SUM(C6:G6)</f>
        <v>22</v>
      </c>
      <c r="I6" s="12">
        <v>16</v>
      </c>
    </row>
    <row r="7" spans="1:9" x14ac:dyDescent="0.25">
      <c r="A7" s="13" t="s">
        <v>26</v>
      </c>
      <c r="B7" s="13"/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3" t="s">
        <v>0</v>
      </c>
      <c r="D11" s="13"/>
      <c r="E11" s="13"/>
      <c r="F11" s="13"/>
      <c r="G11" s="13"/>
      <c r="H11" s="13" t="s">
        <v>25</v>
      </c>
      <c r="I11" s="12" t="s">
        <v>8</v>
      </c>
    </row>
    <row r="12" spans="1:9" x14ac:dyDescent="0.25">
      <c r="C12" s="13" t="s">
        <v>1</v>
      </c>
      <c r="D12" s="13"/>
      <c r="E12" s="12" t="s">
        <v>4</v>
      </c>
      <c r="F12" s="13" t="s">
        <v>5</v>
      </c>
      <c r="G12" s="13"/>
      <c r="H12" s="13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A14" s="13" t="s">
        <v>41</v>
      </c>
      <c r="B14" s="13"/>
      <c r="C14" s="12">
        <f>C4/76.74</f>
        <v>99.752410737555394</v>
      </c>
      <c r="D14" s="12">
        <f>D4/161.73</f>
        <v>99.629011315154898</v>
      </c>
      <c r="E14" s="12">
        <f>E4/77.61</f>
        <v>99.342868187089294</v>
      </c>
      <c r="F14" s="12">
        <f>F4/41.16</f>
        <v>99.392614188532562</v>
      </c>
      <c r="G14" s="12">
        <f>G4/145.12</f>
        <v>99.538313120176397</v>
      </c>
      <c r="H14" s="12">
        <f>H4/502.36</f>
        <v>99.558085834859455</v>
      </c>
      <c r="I14" s="12">
        <f>I4/588.05</f>
        <v>98.255250403877227</v>
      </c>
    </row>
    <row r="15" spans="1:9" x14ac:dyDescent="0.25">
      <c r="A15" s="13" t="s">
        <v>42</v>
      </c>
      <c r="B15" s="13"/>
      <c r="C15" s="12">
        <f t="shared" ref="C15:C16" si="2">C5/76.74</f>
        <v>0.182434193380245</v>
      </c>
      <c r="D15" s="12">
        <f t="shared" ref="D15:D16" si="3">D5/161.73</f>
        <v>0.32152352686576396</v>
      </c>
      <c r="E15" s="12">
        <f t="shared" ref="E15:E16" si="4">E5/77.61</f>
        <v>0.59270712537044201</v>
      </c>
      <c r="F15" s="12">
        <f t="shared" ref="F15:F16" si="5">F5/41.16</f>
        <v>0.55879494655004869</v>
      </c>
      <c r="G15" s="12">
        <f t="shared" ref="G15:G16" si="6">G5/145.12</f>
        <v>0.44790518191841233</v>
      </c>
      <c r="H15" s="12">
        <f t="shared" ref="H15:H16" si="7">H5/502.36</f>
        <v>0.39812086949597897</v>
      </c>
      <c r="I15" s="12">
        <f>I5/588.05</f>
        <v>1.7175410254230083</v>
      </c>
    </row>
    <row r="16" spans="1:9" x14ac:dyDescent="0.25">
      <c r="A16" s="13" t="s">
        <v>23</v>
      </c>
      <c r="B16" s="13"/>
      <c r="C16" s="12">
        <f t="shared" si="2"/>
        <v>6.5155069064373211E-2</v>
      </c>
      <c r="D16" s="12">
        <f t="shared" si="3"/>
        <v>4.94651579793483E-2</v>
      </c>
      <c r="E16" s="12">
        <f t="shared" si="4"/>
        <v>6.4424687540265424E-2</v>
      </c>
      <c r="F16" s="12">
        <f t="shared" si="5"/>
        <v>4.8590864917395532E-2</v>
      </c>
      <c r="G16" s="12">
        <f t="shared" si="6"/>
        <v>1.3781697905181918E-2</v>
      </c>
      <c r="H16" s="12">
        <f t="shared" si="7"/>
        <v>4.3793295644557688E-2</v>
      </c>
      <c r="I16" s="12">
        <f>I6/588.05</f>
        <v>2.720857069977043E-2</v>
      </c>
    </row>
  </sheetData>
  <mergeCells count="16">
    <mergeCell ref="A14:B14"/>
    <mergeCell ref="A15:B15"/>
    <mergeCell ref="A16:B16"/>
    <mergeCell ref="A5:B5"/>
    <mergeCell ref="A6:B6"/>
    <mergeCell ref="A7:B7"/>
    <mergeCell ref="C11:G11"/>
    <mergeCell ref="H11:H12"/>
    <mergeCell ref="C12:D12"/>
    <mergeCell ref="F12:G12"/>
    <mergeCell ref="A1:B2"/>
    <mergeCell ref="C1:G1"/>
    <mergeCell ref="H1:H2"/>
    <mergeCell ref="C2:D2"/>
    <mergeCell ref="F2:G2"/>
    <mergeCell ref="A4:B4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17" sqref="G17"/>
    </sheetView>
  </sheetViews>
  <sheetFormatPr defaultRowHeight="15" x14ac:dyDescent="0.25"/>
  <cols>
    <col min="3" max="8" width="12" bestFit="1" customWidth="1"/>
    <col min="9" max="9" width="17.42578125" bestFit="1" customWidth="1"/>
  </cols>
  <sheetData>
    <row r="1" spans="1:9" x14ac:dyDescent="0.25">
      <c r="A1" s="14" t="s">
        <v>64</v>
      </c>
      <c r="B1" s="14"/>
      <c r="C1" s="13" t="s">
        <v>0</v>
      </c>
      <c r="D1" s="13"/>
      <c r="E1" s="13"/>
      <c r="F1" s="13"/>
      <c r="G1" s="13"/>
      <c r="H1" s="13" t="s">
        <v>25</v>
      </c>
      <c r="I1" s="12" t="s">
        <v>8</v>
      </c>
    </row>
    <row r="2" spans="1:9" x14ac:dyDescent="0.25">
      <c r="A2" s="14"/>
      <c r="B2" s="14"/>
      <c r="C2" s="13" t="s">
        <v>1</v>
      </c>
      <c r="D2" s="13"/>
      <c r="E2" s="12" t="s">
        <v>4</v>
      </c>
      <c r="F2" s="13" t="s">
        <v>5</v>
      </c>
      <c r="G2" s="13"/>
      <c r="H2" s="13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13" t="s">
        <v>41</v>
      </c>
      <c r="B4" s="13"/>
      <c r="C4" s="12">
        <v>7658</v>
      </c>
      <c r="D4" s="12">
        <v>16110</v>
      </c>
      <c r="E4" s="12">
        <v>7714</v>
      </c>
      <c r="F4" s="12">
        <v>4091</v>
      </c>
      <c r="G4" s="12">
        <v>14426</v>
      </c>
      <c r="H4" s="12">
        <f>SUM(C4:G4)</f>
        <v>49999</v>
      </c>
      <c r="I4" s="12">
        <v>57511</v>
      </c>
    </row>
    <row r="5" spans="1:9" x14ac:dyDescent="0.25">
      <c r="A5" s="13" t="s">
        <v>42</v>
      </c>
      <c r="B5" s="13"/>
      <c r="C5" s="12">
        <v>10</v>
      </c>
      <c r="D5" s="12">
        <v>55</v>
      </c>
      <c r="E5" s="12">
        <v>43</v>
      </c>
      <c r="F5" s="12">
        <v>23</v>
      </c>
      <c r="G5" s="12">
        <v>83</v>
      </c>
      <c r="H5" s="12">
        <f>SUM(C5:G5)</f>
        <v>214</v>
      </c>
      <c r="I5" s="12">
        <v>1272</v>
      </c>
    </row>
    <row r="6" spans="1:9" x14ac:dyDescent="0.25">
      <c r="A6" s="13" t="s">
        <v>23</v>
      </c>
      <c r="B6" s="13"/>
      <c r="C6" s="12">
        <v>6</v>
      </c>
      <c r="D6" s="12">
        <v>8</v>
      </c>
      <c r="E6" s="12">
        <v>4</v>
      </c>
      <c r="F6" s="12">
        <v>2</v>
      </c>
      <c r="G6" s="12">
        <v>3</v>
      </c>
      <c r="H6" s="12">
        <f>SUM(C6:G6)</f>
        <v>23</v>
      </c>
      <c r="I6" s="12">
        <v>22</v>
      </c>
    </row>
    <row r="7" spans="1:9" x14ac:dyDescent="0.25">
      <c r="A7" s="13" t="s">
        <v>26</v>
      </c>
      <c r="B7" s="13"/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3" t="s">
        <v>0</v>
      </c>
      <c r="D11" s="13"/>
      <c r="E11" s="13"/>
      <c r="F11" s="13"/>
      <c r="G11" s="13"/>
      <c r="H11" s="13" t="s">
        <v>25</v>
      </c>
      <c r="I11" s="12" t="s">
        <v>8</v>
      </c>
    </row>
    <row r="12" spans="1:9" x14ac:dyDescent="0.25">
      <c r="C12" s="13" t="s">
        <v>1</v>
      </c>
      <c r="D12" s="13"/>
      <c r="E12" s="12" t="s">
        <v>4</v>
      </c>
      <c r="F12" s="13" t="s">
        <v>5</v>
      </c>
      <c r="G12" s="13"/>
      <c r="H12" s="13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A14" s="13" t="s">
        <v>41</v>
      </c>
      <c r="B14" s="13"/>
      <c r="C14" s="12">
        <f>C4/76.74</f>
        <v>99.791503778994013</v>
      </c>
      <c r="D14" s="12">
        <f>D4/161.73</f>
        <v>99.610461880912638</v>
      </c>
      <c r="E14" s="12">
        <f>E4/77.61</f>
        <v>99.3944079371215</v>
      </c>
      <c r="F14" s="12">
        <f>F4/41.16</f>
        <v>99.392614188532562</v>
      </c>
      <c r="G14" s="12">
        <f>G4/145.12</f>
        <v>99.407386990077171</v>
      </c>
      <c r="H14" s="12">
        <f>H4/502.36</f>
        <v>99.528226769647262</v>
      </c>
      <c r="I14" s="12">
        <f>I4/588.05</f>
        <v>97.799506844656079</v>
      </c>
    </row>
    <row r="15" spans="1:9" x14ac:dyDescent="0.25">
      <c r="A15" s="13" t="s">
        <v>42</v>
      </c>
      <c r="B15" s="13"/>
      <c r="C15" s="12">
        <f t="shared" ref="C15:C16" si="2">C5/76.74</f>
        <v>0.13031013812874642</v>
      </c>
      <c r="D15" s="12">
        <f t="shared" ref="D15:D16" si="3">D5/161.73</f>
        <v>0.34007296110801954</v>
      </c>
      <c r="E15" s="12">
        <f t="shared" ref="E15:E16" si="4">E5/77.61</f>
        <v>0.55405231284628265</v>
      </c>
      <c r="F15" s="12">
        <f t="shared" ref="F15:F16" si="5">F5/41.16</f>
        <v>0.55879494655004869</v>
      </c>
      <c r="G15" s="12">
        <f t="shared" ref="G15:G16" si="6">G5/145.12</f>
        <v>0.57194046306504964</v>
      </c>
      <c r="H15" s="12">
        <f t="shared" ref="H15:H16" si="7">H5/502.36</f>
        <v>0.42598933036069747</v>
      </c>
      <c r="I15" s="12">
        <f>I5/588.05</f>
        <v>2.1630813706317493</v>
      </c>
    </row>
    <row r="16" spans="1:9" x14ac:dyDescent="0.25">
      <c r="A16" s="13" t="s">
        <v>23</v>
      </c>
      <c r="B16" s="13"/>
      <c r="C16" s="12">
        <f t="shared" si="2"/>
        <v>7.8186082877247862E-2</v>
      </c>
      <c r="D16" s="12">
        <f t="shared" si="3"/>
        <v>4.94651579793483E-2</v>
      </c>
      <c r="E16" s="12">
        <f t="shared" si="4"/>
        <v>5.1539750032212346E-2</v>
      </c>
      <c r="F16" s="12">
        <f t="shared" si="5"/>
        <v>4.8590864917395532E-2</v>
      </c>
      <c r="G16" s="12">
        <f t="shared" si="6"/>
        <v>2.0672546857772877E-2</v>
      </c>
      <c r="H16" s="12">
        <f t="shared" si="7"/>
        <v>4.578389999203758E-2</v>
      </c>
      <c r="I16" s="12">
        <f>I6/588.05</f>
        <v>3.7411784712184343E-2</v>
      </c>
    </row>
  </sheetData>
  <mergeCells count="16">
    <mergeCell ref="A14:B14"/>
    <mergeCell ref="A15:B15"/>
    <mergeCell ref="A16:B16"/>
    <mergeCell ref="A5:B5"/>
    <mergeCell ref="A6:B6"/>
    <mergeCell ref="A7:B7"/>
    <mergeCell ref="C11:G11"/>
    <mergeCell ref="H11:H12"/>
    <mergeCell ref="C12:D12"/>
    <mergeCell ref="F12:G12"/>
    <mergeCell ref="A1:B2"/>
    <mergeCell ref="C1:G1"/>
    <mergeCell ref="H1:H2"/>
    <mergeCell ref="C2:D2"/>
    <mergeCell ref="F2:G2"/>
    <mergeCell ref="A4:B4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J35" sqref="A1:J35"/>
    </sheetView>
  </sheetViews>
  <sheetFormatPr defaultRowHeight="15" x14ac:dyDescent="0.25"/>
  <cols>
    <col min="2" max="2" width="24.85546875" customWidth="1"/>
    <col min="3" max="8" width="12" bestFit="1" customWidth="1"/>
    <col min="9" max="9" width="17.42578125" bestFit="1" customWidth="1"/>
  </cols>
  <sheetData>
    <row r="1" spans="1:9" x14ac:dyDescent="0.25">
      <c r="A1" s="14" t="s">
        <v>65</v>
      </c>
      <c r="B1" s="14"/>
      <c r="C1" s="13" t="s">
        <v>0</v>
      </c>
      <c r="D1" s="13"/>
      <c r="E1" s="13"/>
      <c r="F1" s="13"/>
      <c r="G1" s="13"/>
      <c r="H1" s="13" t="s">
        <v>25</v>
      </c>
      <c r="I1" s="12" t="s">
        <v>8</v>
      </c>
    </row>
    <row r="2" spans="1:9" x14ac:dyDescent="0.25">
      <c r="A2" s="14"/>
      <c r="B2" s="14"/>
      <c r="C2" s="13" t="s">
        <v>1</v>
      </c>
      <c r="D2" s="13"/>
      <c r="E2" s="12" t="s">
        <v>4</v>
      </c>
      <c r="F2" s="13" t="s">
        <v>5</v>
      </c>
      <c r="G2" s="13"/>
      <c r="H2" s="13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13" t="s">
        <v>66</v>
      </c>
      <c r="B4" s="13"/>
      <c r="C4" s="12">
        <v>184</v>
      </c>
      <c r="D4" s="12">
        <v>82</v>
      </c>
      <c r="E4" s="12">
        <v>97</v>
      </c>
      <c r="F4" s="12">
        <v>59</v>
      </c>
      <c r="G4" s="12">
        <v>148</v>
      </c>
      <c r="H4" s="12">
        <f>SUM(C4:G4)</f>
        <v>570</v>
      </c>
      <c r="I4" s="12">
        <v>144</v>
      </c>
    </row>
    <row r="5" spans="1:9" x14ac:dyDescent="0.25">
      <c r="A5" s="13" t="s">
        <v>67</v>
      </c>
      <c r="B5" s="13"/>
      <c r="C5" s="12">
        <v>5354</v>
      </c>
      <c r="D5" s="12">
        <v>11088</v>
      </c>
      <c r="E5" s="12">
        <v>4811</v>
      </c>
      <c r="F5" s="12">
        <v>2640</v>
      </c>
      <c r="G5" s="12">
        <v>7805</v>
      </c>
      <c r="H5" s="12">
        <f t="shared" ref="H5:H15" si="0">SUM(C5:G5)</f>
        <v>31698</v>
      </c>
      <c r="I5" s="12">
        <v>6868</v>
      </c>
    </row>
    <row r="6" spans="1:9" x14ac:dyDescent="0.25">
      <c r="A6" s="13" t="s">
        <v>68</v>
      </c>
      <c r="B6" s="13"/>
      <c r="C6" s="12">
        <v>23</v>
      </c>
      <c r="D6" s="12">
        <v>65</v>
      </c>
      <c r="E6" s="12">
        <v>34</v>
      </c>
      <c r="F6" s="12">
        <v>22</v>
      </c>
      <c r="G6" s="12">
        <v>72</v>
      </c>
      <c r="H6" s="12">
        <f t="shared" si="0"/>
        <v>216</v>
      </c>
      <c r="I6" s="12">
        <v>267</v>
      </c>
    </row>
    <row r="7" spans="1:9" x14ac:dyDescent="0.25">
      <c r="A7" s="13" t="s">
        <v>69</v>
      </c>
      <c r="B7" s="13"/>
      <c r="C7" s="12">
        <v>1565</v>
      </c>
      <c r="D7" s="12">
        <v>2066</v>
      </c>
      <c r="E7" s="12">
        <v>494</v>
      </c>
      <c r="F7" s="12">
        <v>221</v>
      </c>
      <c r="G7" s="12">
        <v>584</v>
      </c>
      <c r="H7" s="12">
        <f t="shared" si="0"/>
        <v>4930</v>
      </c>
      <c r="I7" s="12">
        <v>627</v>
      </c>
    </row>
    <row r="8" spans="1:9" x14ac:dyDescent="0.25">
      <c r="A8" s="13" t="s">
        <v>70</v>
      </c>
      <c r="B8" s="13"/>
      <c r="C8" s="12">
        <v>4</v>
      </c>
      <c r="D8" s="12">
        <v>299</v>
      </c>
      <c r="E8" s="12">
        <v>512</v>
      </c>
      <c r="F8" s="12">
        <v>156</v>
      </c>
      <c r="G8" s="12">
        <v>471</v>
      </c>
      <c r="H8" s="12">
        <f t="shared" si="0"/>
        <v>1442</v>
      </c>
      <c r="I8" s="12">
        <v>303</v>
      </c>
    </row>
    <row r="9" spans="1:9" x14ac:dyDescent="0.25">
      <c r="A9" s="13" t="s">
        <v>71</v>
      </c>
      <c r="B9" s="13"/>
      <c r="C9" s="12">
        <v>4</v>
      </c>
      <c r="D9" s="12">
        <v>79</v>
      </c>
      <c r="E9" s="12">
        <v>28</v>
      </c>
      <c r="F9" s="12">
        <v>28</v>
      </c>
      <c r="G9" s="12">
        <v>236</v>
      </c>
      <c r="H9" s="12">
        <f t="shared" si="0"/>
        <v>375</v>
      </c>
      <c r="I9" s="12">
        <v>221</v>
      </c>
    </row>
    <row r="10" spans="1:9" x14ac:dyDescent="0.25">
      <c r="A10" s="15" t="s">
        <v>72</v>
      </c>
      <c r="B10" s="15"/>
      <c r="C10" s="12">
        <v>399</v>
      </c>
      <c r="D10" s="12">
        <v>1665</v>
      </c>
      <c r="E10" s="12">
        <v>1383</v>
      </c>
      <c r="F10" s="12">
        <v>808</v>
      </c>
      <c r="G10" s="12">
        <v>4616</v>
      </c>
      <c r="H10" s="12">
        <f t="shared" si="0"/>
        <v>8871</v>
      </c>
      <c r="I10" s="9">
        <v>39052</v>
      </c>
    </row>
    <row r="11" spans="1:9" x14ac:dyDescent="0.25">
      <c r="A11" s="15" t="s">
        <v>73</v>
      </c>
      <c r="B11" s="15"/>
      <c r="C11" s="12">
        <v>6</v>
      </c>
      <c r="D11" s="12">
        <v>72</v>
      </c>
      <c r="E11" s="12">
        <v>33</v>
      </c>
      <c r="F11" s="12">
        <v>26</v>
      </c>
      <c r="G11" s="12">
        <v>136</v>
      </c>
      <c r="H11" s="12">
        <f t="shared" si="0"/>
        <v>273</v>
      </c>
      <c r="I11" s="12">
        <v>2861</v>
      </c>
    </row>
    <row r="12" spans="1:9" x14ac:dyDescent="0.25">
      <c r="A12" s="15" t="s">
        <v>74</v>
      </c>
      <c r="B12" s="15"/>
      <c r="C12" s="12">
        <v>1</v>
      </c>
      <c r="D12" s="12">
        <v>27</v>
      </c>
      <c r="E12" s="12">
        <v>63</v>
      </c>
      <c r="F12" s="12">
        <v>42</v>
      </c>
      <c r="G12" s="12">
        <v>119</v>
      </c>
      <c r="H12" s="12">
        <f t="shared" si="0"/>
        <v>252</v>
      </c>
      <c r="I12" s="12">
        <v>2319</v>
      </c>
    </row>
    <row r="13" spans="1:9" x14ac:dyDescent="0.25">
      <c r="A13" s="13" t="s">
        <v>75</v>
      </c>
      <c r="B13" s="13"/>
      <c r="C13" s="12">
        <v>38</v>
      </c>
      <c r="D13" s="12">
        <v>584</v>
      </c>
      <c r="E13" s="12">
        <v>265</v>
      </c>
      <c r="F13" s="12">
        <v>83</v>
      </c>
      <c r="G13" s="12">
        <v>278</v>
      </c>
      <c r="H13" s="12">
        <f t="shared" si="0"/>
        <v>1248</v>
      </c>
      <c r="I13" s="12">
        <v>6031</v>
      </c>
    </row>
    <row r="14" spans="1:9" x14ac:dyDescent="0.25">
      <c r="A14" s="13" t="s">
        <v>22</v>
      </c>
      <c r="B14" s="13"/>
      <c r="C14" s="12">
        <v>95</v>
      </c>
      <c r="D14" s="12">
        <v>142</v>
      </c>
      <c r="E14" s="12">
        <v>40</v>
      </c>
      <c r="F14" s="12">
        <v>31</v>
      </c>
      <c r="G14" s="12">
        <v>45</v>
      </c>
      <c r="H14" s="12">
        <f t="shared" si="0"/>
        <v>353</v>
      </c>
      <c r="I14" s="12">
        <v>94</v>
      </c>
    </row>
    <row r="15" spans="1:9" x14ac:dyDescent="0.25">
      <c r="A15" s="15" t="s">
        <v>23</v>
      </c>
      <c r="B15" s="15"/>
      <c r="C15" s="12">
        <v>1</v>
      </c>
      <c r="D15" s="12">
        <v>4</v>
      </c>
      <c r="E15" s="12">
        <v>1</v>
      </c>
      <c r="F15" s="12">
        <v>0</v>
      </c>
      <c r="G15" s="12">
        <v>2</v>
      </c>
      <c r="H15" s="12">
        <f t="shared" si="0"/>
        <v>8</v>
      </c>
      <c r="I15" s="12">
        <v>18</v>
      </c>
    </row>
    <row r="16" spans="1:9" x14ac:dyDescent="0.25">
      <c r="A16" s="15" t="s">
        <v>26</v>
      </c>
      <c r="B16" s="15"/>
      <c r="C16" s="12">
        <f>SUM(C4:C15)</f>
        <v>7674</v>
      </c>
      <c r="D16" s="12">
        <f>SUM(D4:D15)</f>
        <v>16173</v>
      </c>
      <c r="E16" s="12">
        <f>SUM(E4:E15)</f>
        <v>7761</v>
      </c>
      <c r="F16" s="12">
        <f>SUM(F4:F15)</f>
        <v>4116</v>
      </c>
      <c r="G16" s="12">
        <f>SUM(G4:G15)</f>
        <v>14512</v>
      </c>
      <c r="H16" s="12">
        <f>SUM(H4:H15)</f>
        <v>50236</v>
      </c>
      <c r="I16" s="12">
        <f>SUM(I4:I15)</f>
        <v>58805</v>
      </c>
    </row>
    <row r="17" spans="1:9" x14ac:dyDescent="0.25">
      <c r="A17" s="6"/>
      <c r="B17" s="6"/>
      <c r="C17" s="12"/>
      <c r="D17" s="12"/>
      <c r="E17" s="12"/>
      <c r="F17" s="12"/>
      <c r="G17" s="12"/>
      <c r="H17" s="12"/>
      <c r="I17" s="12"/>
    </row>
    <row r="18" spans="1:9" x14ac:dyDescent="0.25">
      <c r="A18" s="6"/>
      <c r="B18" s="6"/>
      <c r="C18" s="12"/>
      <c r="D18" s="12"/>
      <c r="E18" s="12"/>
      <c r="F18" s="12"/>
      <c r="G18" s="12"/>
      <c r="H18" s="12"/>
      <c r="I18" s="12"/>
    </row>
    <row r="19" spans="1:9" x14ac:dyDescent="0.25">
      <c r="C19" s="1"/>
      <c r="D19" s="1"/>
      <c r="E19" s="1"/>
      <c r="F19" s="1"/>
      <c r="G19" s="1"/>
      <c r="H19" s="1"/>
      <c r="I19" s="1"/>
    </row>
    <row r="20" spans="1:9" x14ac:dyDescent="0.25">
      <c r="C20" s="13" t="s">
        <v>0</v>
      </c>
      <c r="D20" s="13"/>
      <c r="E20" s="13"/>
      <c r="F20" s="13"/>
      <c r="G20" s="13"/>
      <c r="H20" s="13" t="s">
        <v>25</v>
      </c>
      <c r="I20" s="12" t="s">
        <v>8</v>
      </c>
    </row>
    <row r="21" spans="1:9" x14ac:dyDescent="0.25">
      <c r="C21" s="13" t="s">
        <v>1</v>
      </c>
      <c r="D21" s="13"/>
      <c r="E21" s="12" t="s">
        <v>4</v>
      </c>
      <c r="F21" s="13" t="s">
        <v>5</v>
      </c>
      <c r="G21" s="13"/>
      <c r="H21" s="13"/>
      <c r="I21" s="12"/>
    </row>
    <row r="22" spans="1:9" x14ac:dyDescent="0.25">
      <c r="C22" s="12" t="s">
        <v>3</v>
      </c>
      <c r="D22" s="12" t="s">
        <v>2</v>
      </c>
      <c r="E22" s="12" t="s">
        <v>4</v>
      </c>
      <c r="F22" s="12" t="s">
        <v>6</v>
      </c>
      <c r="G22" s="12" t="s">
        <v>7</v>
      </c>
      <c r="H22" s="12"/>
      <c r="I22" s="12" t="s">
        <v>8</v>
      </c>
    </row>
    <row r="23" spans="1:9" x14ac:dyDescent="0.25">
      <c r="A23" s="13" t="s">
        <v>66</v>
      </c>
      <c r="B23" s="13"/>
      <c r="C23" s="12">
        <f>C4/76.74</f>
        <v>2.397706541568934</v>
      </c>
      <c r="D23" s="12">
        <f>D4/161.73</f>
        <v>0.50701786928832004</v>
      </c>
      <c r="E23" s="12">
        <f>E4/77.61</f>
        <v>1.2498389382811494</v>
      </c>
      <c r="F23" s="12">
        <f>F4/41.16</f>
        <v>1.4334305150631683</v>
      </c>
      <c r="G23" s="12">
        <f>G4/145.12</f>
        <v>1.0198456449834619</v>
      </c>
      <c r="H23" s="12">
        <f>H4/502.36</f>
        <v>1.1346444780635401</v>
      </c>
      <c r="I23" s="12">
        <f>I4/588.05</f>
        <v>0.24487713629793387</v>
      </c>
    </row>
    <row r="24" spans="1:9" x14ac:dyDescent="0.25">
      <c r="A24" s="13" t="s">
        <v>67</v>
      </c>
      <c r="B24" s="13"/>
      <c r="C24" s="12">
        <f t="shared" ref="C24:C34" si="1">C5/76.74</f>
        <v>69.768047954130836</v>
      </c>
      <c r="D24" s="12">
        <f t="shared" ref="D24:D34" si="2">D5/161.73</f>
        <v>68.558708959376744</v>
      </c>
      <c r="E24" s="12">
        <f t="shared" ref="E24:E34" si="3">E5/77.61</f>
        <v>61.989434351243396</v>
      </c>
      <c r="F24" s="12">
        <f t="shared" ref="F24:F34" si="4">F5/41.16</f>
        <v>64.139941690962104</v>
      </c>
      <c r="G24" s="12">
        <f t="shared" ref="G24:G34" si="5">G5/145.12</f>
        <v>53.783076074972435</v>
      </c>
      <c r="H24" s="12">
        <f t="shared" ref="H24:H34" si="6">H5/502.36</f>
        <v>63.098176606417709</v>
      </c>
      <c r="I24" s="12">
        <f t="shared" ref="I24:I34" si="7">I5/588.05</f>
        <v>11.679278972876457</v>
      </c>
    </row>
    <row r="25" spans="1:9" x14ac:dyDescent="0.25">
      <c r="A25" s="13" t="s">
        <v>68</v>
      </c>
      <c r="B25" s="13"/>
      <c r="C25" s="12">
        <f t="shared" si="1"/>
        <v>0.29971331769611675</v>
      </c>
      <c r="D25" s="12">
        <f t="shared" si="2"/>
        <v>0.40190440858220494</v>
      </c>
      <c r="E25" s="12">
        <f t="shared" si="3"/>
        <v>0.43808787527380494</v>
      </c>
      <c r="F25" s="12">
        <f t="shared" si="4"/>
        <v>0.53449951409135088</v>
      </c>
      <c r="G25" s="12">
        <f t="shared" si="5"/>
        <v>0.49614112458654902</v>
      </c>
      <c r="H25" s="12">
        <f t="shared" si="6"/>
        <v>0.4299705390556573</v>
      </c>
      <c r="I25" s="12">
        <f t="shared" si="7"/>
        <v>0.45404302355241904</v>
      </c>
    </row>
    <row r="26" spans="1:9" x14ac:dyDescent="0.25">
      <c r="A26" s="13" t="s">
        <v>69</v>
      </c>
      <c r="B26" s="13"/>
      <c r="C26" s="12">
        <f t="shared" si="1"/>
        <v>20.393536617148815</v>
      </c>
      <c r="D26" s="12">
        <f t="shared" si="2"/>
        <v>12.774377048166699</v>
      </c>
      <c r="E26" s="12">
        <f t="shared" si="3"/>
        <v>6.3651591289782248</v>
      </c>
      <c r="F26" s="12">
        <f t="shared" si="4"/>
        <v>5.3692905733722061</v>
      </c>
      <c r="G26" s="12">
        <f t="shared" si="5"/>
        <v>4.0242557883131198</v>
      </c>
      <c r="H26" s="12">
        <f t="shared" si="6"/>
        <v>9.8136794330758814</v>
      </c>
      <c r="I26" s="12">
        <f t="shared" si="7"/>
        <v>1.0662358642972538</v>
      </c>
    </row>
    <row r="27" spans="1:9" x14ac:dyDescent="0.25">
      <c r="A27" s="13" t="s">
        <v>70</v>
      </c>
      <c r="B27" s="13"/>
      <c r="C27" s="12">
        <f t="shared" si="1"/>
        <v>5.2124055251498567E-2</v>
      </c>
      <c r="D27" s="12">
        <f t="shared" si="2"/>
        <v>1.8487602794781428</v>
      </c>
      <c r="E27" s="12">
        <f t="shared" si="3"/>
        <v>6.5970880041231803</v>
      </c>
      <c r="F27" s="12">
        <f t="shared" si="4"/>
        <v>3.7900874635568518</v>
      </c>
      <c r="G27" s="12">
        <f t="shared" si="5"/>
        <v>3.2455898566703416</v>
      </c>
      <c r="H27" s="12">
        <f t="shared" si="6"/>
        <v>2.8704514690660083</v>
      </c>
      <c r="I27" s="12">
        <f t="shared" si="7"/>
        <v>0.5152623076269025</v>
      </c>
    </row>
    <row r="28" spans="1:9" x14ac:dyDescent="0.25">
      <c r="A28" s="13" t="s">
        <v>71</v>
      </c>
      <c r="B28" s="13"/>
      <c r="C28" s="12">
        <f t="shared" si="1"/>
        <v>5.2124055251498567E-2</v>
      </c>
      <c r="D28" s="12">
        <f t="shared" si="2"/>
        <v>0.48846843504606446</v>
      </c>
      <c r="E28" s="12">
        <f t="shared" si="3"/>
        <v>0.36077825022548643</v>
      </c>
      <c r="F28" s="12">
        <f t="shared" si="4"/>
        <v>0.6802721088435375</v>
      </c>
      <c r="G28" s="12">
        <f t="shared" si="5"/>
        <v>1.6262403528114664</v>
      </c>
      <c r="H28" s="12">
        <f t="shared" si="6"/>
        <v>0.74647663030496059</v>
      </c>
      <c r="I28" s="12">
        <f t="shared" si="7"/>
        <v>0.37581838279057905</v>
      </c>
    </row>
    <row r="29" spans="1:9" x14ac:dyDescent="0.25">
      <c r="A29" s="15" t="s">
        <v>72</v>
      </c>
      <c r="B29" s="15"/>
      <c r="C29" s="12">
        <f t="shared" si="1"/>
        <v>5.1993745113369823</v>
      </c>
      <c r="D29" s="12">
        <f t="shared" si="2"/>
        <v>10.294936004451865</v>
      </c>
      <c r="E29" s="12">
        <f t="shared" si="3"/>
        <v>17.819868573637418</v>
      </c>
      <c r="F29" s="12">
        <f t="shared" si="4"/>
        <v>19.630709426627796</v>
      </c>
      <c r="G29" s="12">
        <f t="shared" si="5"/>
        <v>31.808158765159867</v>
      </c>
      <c r="H29" s="12">
        <f t="shared" si="6"/>
        <v>17.658651166494145</v>
      </c>
      <c r="I29" s="12">
        <f t="shared" si="7"/>
        <v>66.409318935464682</v>
      </c>
    </row>
    <row r="30" spans="1:9" x14ac:dyDescent="0.25">
      <c r="A30" s="15" t="s">
        <v>73</v>
      </c>
      <c r="B30" s="15"/>
      <c r="C30" s="12">
        <f t="shared" si="1"/>
        <v>7.8186082877247862E-2</v>
      </c>
      <c r="D30" s="12">
        <f t="shared" si="2"/>
        <v>0.4451864218141347</v>
      </c>
      <c r="E30" s="12">
        <f t="shared" si="3"/>
        <v>0.42520293776575185</v>
      </c>
      <c r="F30" s="12">
        <f t="shared" si="4"/>
        <v>0.63168124392614189</v>
      </c>
      <c r="G30" s="12">
        <f t="shared" si="5"/>
        <v>0.9371554575523704</v>
      </c>
      <c r="H30" s="12">
        <f t="shared" si="6"/>
        <v>0.5434349868620113</v>
      </c>
      <c r="I30" s="12">
        <f t="shared" si="7"/>
        <v>4.8652325482526999</v>
      </c>
    </row>
    <row r="31" spans="1:9" x14ac:dyDescent="0.25">
      <c r="A31" s="15" t="s">
        <v>74</v>
      </c>
      <c r="B31" s="15"/>
      <c r="C31" s="12">
        <f t="shared" si="1"/>
        <v>1.3031013812874642E-2</v>
      </c>
      <c r="D31" s="12">
        <f t="shared" si="2"/>
        <v>0.1669449081803005</v>
      </c>
      <c r="E31" s="12">
        <f t="shared" si="3"/>
        <v>0.81175106300734445</v>
      </c>
      <c r="F31" s="12">
        <f t="shared" si="4"/>
        <v>1.0204081632653061</v>
      </c>
      <c r="G31" s="12">
        <f t="shared" si="5"/>
        <v>0.82001102535832415</v>
      </c>
      <c r="H31" s="12">
        <f t="shared" si="6"/>
        <v>0.50163229556493349</v>
      </c>
      <c r="I31" s="12">
        <f t="shared" si="7"/>
        <v>3.9435422157979767</v>
      </c>
    </row>
    <row r="32" spans="1:9" x14ac:dyDescent="0.25">
      <c r="A32" s="13" t="s">
        <v>75</v>
      </c>
      <c r="B32" s="13"/>
      <c r="C32" s="12">
        <f t="shared" si="1"/>
        <v>0.49517852488923642</v>
      </c>
      <c r="D32" s="12">
        <f t="shared" si="2"/>
        <v>3.610956532492426</v>
      </c>
      <c r="E32" s="12">
        <f t="shared" si="3"/>
        <v>3.4145084396340679</v>
      </c>
      <c r="F32" s="12">
        <f t="shared" si="4"/>
        <v>2.0165208940719146</v>
      </c>
      <c r="G32" s="12">
        <f t="shared" si="5"/>
        <v>1.9156560088202865</v>
      </c>
      <c r="H32" s="12">
        <f t="shared" si="6"/>
        <v>2.4842742256549086</v>
      </c>
      <c r="I32" s="12">
        <f t="shared" si="7"/>
        <v>10.255930618144717</v>
      </c>
    </row>
    <row r="33" spans="1:9" x14ac:dyDescent="0.25">
      <c r="A33" s="13" t="s">
        <v>22</v>
      </c>
      <c r="B33" s="13"/>
      <c r="C33" s="12">
        <f t="shared" si="1"/>
        <v>1.2379463122230911</v>
      </c>
      <c r="D33" s="12">
        <f t="shared" si="2"/>
        <v>0.87800655413343232</v>
      </c>
      <c r="E33" s="12">
        <f t="shared" si="3"/>
        <v>0.51539750032212339</v>
      </c>
      <c r="F33" s="12">
        <f t="shared" si="4"/>
        <v>0.75315840621963082</v>
      </c>
      <c r="G33" s="12">
        <f t="shared" si="5"/>
        <v>0.31008820286659317</v>
      </c>
      <c r="H33" s="12">
        <f t="shared" si="6"/>
        <v>0.70268333466040289</v>
      </c>
      <c r="I33" s="12">
        <f t="shared" si="7"/>
        <v>0.15985035286115126</v>
      </c>
    </row>
    <row r="34" spans="1:9" x14ac:dyDescent="0.25">
      <c r="A34" s="15" t="s">
        <v>23</v>
      </c>
      <c r="B34" s="15"/>
      <c r="C34" s="12">
        <f t="shared" si="1"/>
        <v>1.3031013812874642E-2</v>
      </c>
      <c r="D34" s="12">
        <f t="shared" si="2"/>
        <v>2.473257898967415E-2</v>
      </c>
      <c r="E34" s="12">
        <f t="shared" si="3"/>
        <v>1.2884937508053087E-2</v>
      </c>
      <c r="F34" s="12">
        <f t="shared" si="4"/>
        <v>0</v>
      </c>
      <c r="G34" s="12">
        <f t="shared" si="5"/>
        <v>1.3781697905181918E-2</v>
      </c>
      <c r="H34" s="12">
        <f t="shared" si="6"/>
        <v>1.5924834779839157E-2</v>
      </c>
      <c r="I34" s="12">
        <f t="shared" si="7"/>
        <v>3.0609642037241733E-2</v>
      </c>
    </row>
  </sheetData>
  <mergeCells count="34">
    <mergeCell ref="A31:B31"/>
    <mergeCell ref="A32:B32"/>
    <mergeCell ref="A33:B33"/>
    <mergeCell ref="A34:B34"/>
    <mergeCell ref="A25:B25"/>
    <mergeCell ref="A26:B26"/>
    <mergeCell ref="A27:B27"/>
    <mergeCell ref="A28:B28"/>
    <mergeCell ref="A29:B29"/>
    <mergeCell ref="A30:B30"/>
    <mergeCell ref="A15:B15"/>
    <mergeCell ref="A16:B16"/>
    <mergeCell ref="C20:G20"/>
    <mergeCell ref="H20:H21"/>
    <mergeCell ref="C21:D21"/>
    <mergeCell ref="F21:G21"/>
    <mergeCell ref="A23:B23"/>
    <mergeCell ref="A24:B24"/>
    <mergeCell ref="A14:B14"/>
    <mergeCell ref="A8:B8"/>
    <mergeCell ref="A9:B9"/>
    <mergeCell ref="A10:B10"/>
    <mergeCell ref="A11:B11"/>
    <mergeCell ref="A12:B12"/>
    <mergeCell ref="A13:B13"/>
    <mergeCell ref="A5:B5"/>
    <mergeCell ref="A6:B6"/>
    <mergeCell ref="A7:B7"/>
    <mergeCell ref="A1:B2"/>
    <mergeCell ref="C1:G1"/>
    <mergeCell ref="H1:H2"/>
    <mergeCell ref="C2:D2"/>
    <mergeCell ref="F2:G2"/>
    <mergeCell ref="A4:B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H19" sqref="H19"/>
    </sheetView>
  </sheetViews>
  <sheetFormatPr defaultRowHeight="15" x14ac:dyDescent="0.25"/>
  <cols>
    <col min="2" max="2" width="17.42578125" customWidth="1"/>
    <col min="3" max="8" width="12" bestFit="1" customWidth="1"/>
    <col min="9" max="9" width="17.42578125" bestFit="1" customWidth="1"/>
  </cols>
  <sheetData>
    <row r="1" spans="1:10" x14ac:dyDescent="0.25">
      <c r="A1" s="14" t="s">
        <v>76</v>
      </c>
      <c r="B1" s="14"/>
      <c r="C1" s="13" t="s">
        <v>0</v>
      </c>
      <c r="D1" s="13"/>
      <c r="E1" s="13"/>
      <c r="F1" s="13"/>
      <c r="G1" s="13"/>
      <c r="H1" s="13" t="s">
        <v>25</v>
      </c>
      <c r="I1" s="12" t="s">
        <v>8</v>
      </c>
      <c r="J1" s="3"/>
    </row>
    <row r="2" spans="1:10" x14ac:dyDescent="0.25">
      <c r="A2" s="14"/>
      <c r="B2" s="14"/>
      <c r="C2" s="13" t="s">
        <v>1</v>
      </c>
      <c r="D2" s="13"/>
      <c r="E2" s="12" t="s">
        <v>4</v>
      </c>
      <c r="F2" s="13" t="s">
        <v>5</v>
      </c>
      <c r="G2" s="13"/>
      <c r="H2" s="13"/>
      <c r="I2" s="12"/>
      <c r="J2" s="3"/>
    </row>
    <row r="3" spans="1:10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  <c r="J3" s="3"/>
    </row>
    <row r="4" spans="1:10" x14ac:dyDescent="0.25">
      <c r="A4" s="13" t="s">
        <v>89</v>
      </c>
      <c r="B4" s="13"/>
      <c r="C4" s="12">
        <v>111</v>
      </c>
      <c r="D4" s="12">
        <v>763</v>
      </c>
      <c r="E4" s="12">
        <v>571</v>
      </c>
      <c r="F4" s="12">
        <v>511</v>
      </c>
      <c r="G4" s="12">
        <v>3054</v>
      </c>
      <c r="H4" s="12">
        <f t="shared" ref="H4:H18" si="0">SUM(C4:G4)</f>
        <v>5010</v>
      </c>
      <c r="I4" s="12">
        <v>23681</v>
      </c>
      <c r="J4" s="3"/>
    </row>
    <row r="5" spans="1:10" x14ac:dyDescent="0.25">
      <c r="A5" s="13" t="s">
        <v>77</v>
      </c>
      <c r="B5" s="13"/>
      <c r="C5" s="12">
        <v>5</v>
      </c>
      <c r="D5" s="12">
        <v>31</v>
      </c>
      <c r="E5" s="12">
        <v>24</v>
      </c>
      <c r="F5" s="12">
        <v>24</v>
      </c>
      <c r="G5" s="12">
        <v>59</v>
      </c>
      <c r="H5" s="12">
        <f t="shared" si="0"/>
        <v>143</v>
      </c>
      <c r="I5" s="12">
        <v>821</v>
      </c>
      <c r="J5" s="3"/>
    </row>
    <row r="6" spans="1:10" x14ac:dyDescent="0.25">
      <c r="A6" s="13" t="s">
        <v>78</v>
      </c>
      <c r="B6" s="13"/>
      <c r="C6" s="12">
        <v>24</v>
      </c>
      <c r="D6" s="12">
        <v>373</v>
      </c>
      <c r="E6" s="12">
        <v>183</v>
      </c>
      <c r="F6" s="12">
        <v>120</v>
      </c>
      <c r="G6" s="12">
        <v>538</v>
      </c>
      <c r="H6" s="12">
        <f t="shared" si="0"/>
        <v>1238</v>
      </c>
      <c r="I6" s="12">
        <v>9514</v>
      </c>
      <c r="J6" s="3"/>
    </row>
    <row r="7" spans="1:10" x14ac:dyDescent="0.25">
      <c r="A7" s="13" t="s">
        <v>79</v>
      </c>
      <c r="B7" s="13"/>
      <c r="C7" s="12">
        <v>10</v>
      </c>
      <c r="D7" s="12">
        <v>2</v>
      </c>
      <c r="E7" s="12">
        <v>43</v>
      </c>
      <c r="F7" s="12">
        <v>62</v>
      </c>
      <c r="G7" s="12">
        <v>399</v>
      </c>
      <c r="H7" s="12">
        <f t="shared" si="0"/>
        <v>516</v>
      </c>
      <c r="I7" s="12">
        <v>1360</v>
      </c>
      <c r="J7" s="3"/>
    </row>
    <row r="8" spans="1:10" x14ac:dyDescent="0.25">
      <c r="A8" s="15" t="s">
        <v>80</v>
      </c>
      <c r="B8" s="15"/>
      <c r="C8" s="12">
        <v>0</v>
      </c>
      <c r="D8" s="12">
        <v>3</v>
      </c>
      <c r="E8" s="12">
        <v>4</v>
      </c>
      <c r="F8" s="12">
        <v>3</v>
      </c>
      <c r="G8" s="12">
        <v>67</v>
      </c>
      <c r="H8" s="12">
        <f t="shared" si="0"/>
        <v>77</v>
      </c>
      <c r="I8" s="9">
        <v>920</v>
      </c>
      <c r="J8" s="3"/>
    </row>
    <row r="9" spans="1:10" x14ac:dyDescent="0.25">
      <c r="A9" s="15" t="s">
        <v>81</v>
      </c>
      <c r="B9" s="15"/>
      <c r="C9" s="12">
        <v>14</v>
      </c>
      <c r="D9" s="12">
        <v>161</v>
      </c>
      <c r="E9" s="12">
        <v>112</v>
      </c>
      <c r="F9" s="12">
        <v>9</v>
      </c>
      <c r="G9" s="12">
        <v>57</v>
      </c>
      <c r="H9" s="12">
        <f t="shared" si="0"/>
        <v>353</v>
      </c>
      <c r="I9" s="12">
        <v>487</v>
      </c>
      <c r="J9" s="3"/>
    </row>
    <row r="10" spans="1:10" x14ac:dyDescent="0.25">
      <c r="A10" s="17" t="s">
        <v>82</v>
      </c>
      <c r="B10" s="17"/>
      <c r="C10" s="12">
        <v>250</v>
      </c>
      <c r="D10" s="12">
        <v>1837</v>
      </c>
      <c r="E10" s="12">
        <v>343</v>
      </c>
      <c r="F10" s="12">
        <v>58</v>
      </c>
      <c r="G10" s="12">
        <v>629</v>
      </c>
      <c r="H10" s="12">
        <f t="shared" si="0"/>
        <v>3117</v>
      </c>
      <c r="I10" s="12">
        <v>1774</v>
      </c>
      <c r="J10" s="3"/>
    </row>
    <row r="11" spans="1:10" x14ac:dyDescent="0.25">
      <c r="A11" s="15" t="s">
        <v>83</v>
      </c>
      <c r="B11" s="15"/>
      <c r="C11" s="12">
        <v>3</v>
      </c>
      <c r="D11" s="12">
        <v>11</v>
      </c>
      <c r="E11" s="12">
        <v>75</v>
      </c>
      <c r="F11" s="12">
        <v>24</v>
      </c>
      <c r="G11" s="12">
        <v>215</v>
      </c>
      <c r="H11" s="12">
        <f t="shared" si="0"/>
        <v>328</v>
      </c>
      <c r="I11" s="12">
        <v>526</v>
      </c>
      <c r="J11" s="3"/>
    </row>
    <row r="12" spans="1:10" x14ac:dyDescent="0.25">
      <c r="A12" s="15" t="s">
        <v>84</v>
      </c>
      <c r="B12" s="15"/>
      <c r="C12" s="12">
        <v>24</v>
      </c>
      <c r="D12" s="12">
        <v>94</v>
      </c>
      <c r="E12" s="12">
        <v>161</v>
      </c>
      <c r="F12" s="12">
        <v>16</v>
      </c>
      <c r="G12" s="12">
        <v>136</v>
      </c>
      <c r="H12" s="12">
        <f t="shared" si="0"/>
        <v>431</v>
      </c>
      <c r="I12" s="12">
        <v>207</v>
      </c>
      <c r="J12" s="3"/>
    </row>
    <row r="13" spans="1:10" x14ac:dyDescent="0.25">
      <c r="A13" s="15" t="s">
        <v>85</v>
      </c>
      <c r="B13" s="15"/>
      <c r="C13" s="12">
        <v>1400</v>
      </c>
      <c r="D13" s="12">
        <v>1872</v>
      </c>
      <c r="E13" s="12">
        <v>516</v>
      </c>
      <c r="F13" s="12">
        <v>417</v>
      </c>
      <c r="G13" s="12">
        <v>814</v>
      </c>
      <c r="H13" s="12">
        <f t="shared" si="0"/>
        <v>5019</v>
      </c>
      <c r="I13" s="12">
        <v>1180</v>
      </c>
      <c r="J13" s="3"/>
    </row>
    <row r="14" spans="1:10" x14ac:dyDescent="0.25">
      <c r="A14" s="15" t="s">
        <v>86</v>
      </c>
      <c r="B14" s="15"/>
      <c r="C14" s="12">
        <v>4066</v>
      </c>
      <c r="D14" s="12">
        <v>7532</v>
      </c>
      <c r="E14" s="12">
        <v>4387</v>
      </c>
      <c r="F14" s="12">
        <v>2378</v>
      </c>
      <c r="G14" s="12">
        <v>7311</v>
      </c>
      <c r="H14" s="12">
        <f t="shared" si="0"/>
        <v>25674</v>
      </c>
      <c r="I14" s="12">
        <v>16302</v>
      </c>
      <c r="J14" s="3"/>
    </row>
    <row r="15" spans="1:10" x14ac:dyDescent="0.25">
      <c r="A15" s="15" t="s">
        <v>87</v>
      </c>
      <c r="B15" s="15"/>
      <c r="C15" s="12">
        <v>120</v>
      </c>
      <c r="D15" s="12">
        <v>105</v>
      </c>
      <c r="E15" s="12">
        <v>163</v>
      </c>
      <c r="F15" s="12">
        <v>102</v>
      </c>
      <c r="G15" s="12">
        <v>299</v>
      </c>
      <c r="H15" s="12">
        <f t="shared" si="0"/>
        <v>789</v>
      </c>
      <c r="I15" s="12">
        <v>284</v>
      </c>
      <c r="J15" s="3"/>
    </row>
    <row r="16" spans="1:10" x14ac:dyDescent="0.25">
      <c r="A16" s="18" t="s">
        <v>88</v>
      </c>
      <c r="B16" s="18"/>
      <c r="C16" s="12">
        <v>1642</v>
      </c>
      <c r="D16" s="12">
        <v>3377</v>
      </c>
      <c r="E16" s="12">
        <v>1164</v>
      </c>
      <c r="F16" s="12">
        <v>383</v>
      </c>
      <c r="G16" s="12">
        <v>928</v>
      </c>
      <c r="H16" s="12">
        <f t="shared" si="0"/>
        <v>7494</v>
      </c>
      <c r="I16" s="12">
        <v>1624</v>
      </c>
      <c r="J16" s="3"/>
    </row>
    <row r="17" spans="1:9" x14ac:dyDescent="0.25">
      <c r="A17" s="13" t="s">
        <v>22</v>
      </c>
      <c r="B17" s="13"/>
      <c r="C17" s="12">
        <v>3</v>
      </c>
      <c r="D17" s="12">
        <v>6</v>
      </c>
      <c r="E17" s="12">
        <v>12</v>
      </c>
      <c r="F17" s="12">
        <v>9</v>
      </c>
      <c r="G17" s="12">
        <v>5</v>
      </c>
      <c r="H17" s="12">
        <f t="shared" si="0"/>
        <v>35</v>
      </c>
      <c r="I17" s="12">
        <v>114</v>
      </c>
    </row>
    <row r="18" spans="1:9" x14ac:dyDescent="0.25">
      <c r="A18" s="15" t="s">
        <v>23</v>
      </c>
      <c r="B18" s="15"/>
      <c r="C18" s="12">
        <v>2</v>
      </c>
      <c r="D18" s="12">
        <v>6</v>
      </c>
      <c r="E18" s="12">
        <v>3</v>
      </c>
      <c r="F18" s="12">
        <v>0</v>
      </c>
      <c r="G18" s="12">
        <v>1</v>
      </c>
      <c r="H18" s="12">
        <f t="shared" si="0"/>
        <v>12</v>
      </c>
      <c r="I18" s="12">
        <v>11</v>
      </c>
    </row>
    <row r="19" spans="1:9" x14ac:dyDescent="0.25">
      <c r="A19" s="15" t="s">
        <v>26</v>
      </c>
      <c r="B19" s="15"/>
      <c r="C19" s="12">
        <f>SUM(C4:C18)</f>
        <v>7674</v>
      </c>
      <c r="D19" s="12">
        <f>SUM(D4:D18)</f>
        <v>16173</v>
      </c>
      <c r="E19" s="12">
        <f>SUM(E4:E18)</f>
        <v>7761</v>
      </c>
      <c r="F19" s="12">
        <f>SUM(F4:F18)</f>
        <v>4116</v>
      </c>
      <c r="G19" s="12">
        <f>SUM(G4:G18)</f>
        <v>14512</v>
      </c>
      <c r="H19" s="12">
        <f>SUM(H4:H18)</f>
        <v>50236</v>
      </c>
      <c r="I19" s="12">
        <f>SUM(I4:I18)</f>
        <v>58805</v>
      </c>
    </row>
    <row r="20" spans="1:9" x14ac:dyDescent="0.25">
      <c r="A20" s="6"/>
      <c r="B20" s="6"/>
      <c r="C20" s="12"/>
      <c r="D20" s="12"/>
      <c r="E20" s="12"/>
      <c r="F20" s="12"/>
      <c r="G20" s="12"/>
      <c r="H20" s="12"/>
      <c r="I20" s="12"/>
    </row>
    <row r="21" spans="1:9" x14ac:dyDescent="0.25">
      <c r="A21" s="6"/>
      <c r="B21" s="6"/>
      <c r="C21" s="12"/>
      <c r="D21" s="12"/>
      <c r="E21" s="12"/>
      <c r="F21" s="12"/>
      <c r="G21" s="12"/>
      <c r="H21" s="12"/>
      <c r="I21" s="12"/>
    </row>
    <row r="22" spans="1:9" x14ac:dyDescent="0.25">
      <c r="C22" s="1"/>
      <c r="D22" s="1"/>
      <c r="E22" s="1"/>
      <c r="F22" s="1"/>
      <c r="G22" s="1"/>
      <c r="H22" s="1"/>
      <c r="I22" s="1"/>
    </row>
    <row r="23" spans="1:9" x14ac:dyDescent="0.25">
      <c r="C23" s="13" t="s">
        <v>0</v>
      </c>
      <c r="D23" s="13"/>
      <c r="E23" s="13"/>
      <c r="F23" s="13"/>
      <c r="G23" s="13"/>
      <c r="H23" s="13" t="s">
        <v>25</v>
      </c>
      <c r="I23" s="12" t="s">
        <v>8</v>
      </c>
    </row>
    <row r="24" spans="1:9" x14ac:dyDescent="0.25">
      <c r="C24" s="13" t="s">
        <v>1</v>
      </c>
      <c r="D24" s="13"/>
      <c r="E24" s="12" t="s">
        <v>4</v>
      </c>
      <c r="F24" s="13" t="s">
        <v>5</v>
      </c>
      <c r="G24" s="13"/>
      <c r="H24" s="13"/>
      <c r="I24" s="12"/>
    </row>
    <row r="25" spans="1:9" x14ac:dyDescent="0.25">
      <c r="C25" s="12" t="s">
        <v>3</v>
      </c>
      <c r="D25" s="12" t="s">
        <v>2</v>
      </c>
      <c r="E25" s="12" t="s">
        <v>4</v>
      </c>
      <c r="F25" s="12" t="s">
        <v>6</v>
      </c>
      <c r="G25" s="12" t="s">
        <v>7</v>
      </c>
      <c r="H25" s="12"/>
      <c r="I25" s="12" t="s">
        <v>8</v>
      </c>
    </row>
    <row r="26" spans="1:9" x14ac:dyDescent="0.25">
      <c r="A26" s="13" t="s">
        <v>89</v>
      </c>
      <c r="B26" s="13"/>
      <c r="C26" s="12">
        <f>C4/76.74</f>
        <v>1.4464425332290853</v>
      </c>
      <c r="D26" s="12">
        <f>D4/161.73</f>
        <v>4.7177394422803438</v>
      </c>
      <c r="E26" s="12">
        <f>E4/77.61</f>
        <v>7.3572993170983123</v>
      </c>
      <c r="F26" s="12">
        <f>F4/41.16</f>
        <v>12.414965986394559</v>
      </c>
      <c r="G26" s="12">
        <f>G4/145.12</f>
        <v>21.04465270121279</v>
      </c>
      <c r="H26" s="12">
        <f>H4/502.36</f>
        <v>9.972927780874274</v>
      </c>
      <c r="I26" s="12">
        <f>I4/588.05</f>
        <v>40.270385171328975</v>
      </c>
    </row>
    <row r="27" spans="1:9" x14ac:dyDescent="0.25">
      <c r="A27" s="13" t="s">
        <v>77</v>
      </c>
      <c r="B27" s="13"/>
      <c r="C27" s="12">
        <f t="shared" ref="C27:C40" si="1">C5/76.74</f>
        <v>6.5155069064373211E-2</v>
      </c>
      <c r="D27" s="12">
        <f t="shared" ref="D27:D40" si="2">D5/161.73</f>
        <v>0.19167748716997465</v>
      </c>
      <c r="E27" s="12">
        <f t="shared" ref="E27:E40" si="3">E5/77.61</f>
        <v>0.30923850019327409</v>
      </c>
      <c r="F27" s="12">
        <f t="shared" ref="F27:F40" si="4">F5/41.16</f>
        <v>0.58309037900874638</v>
      </c>
      <c r="G27" s="12">
        <f t="shared" ref="G27:G40" si="5">G5/145.12</f>
        <v>0.4065600882028666</v>
      </c>
      <c r="H27" s="12">
        <f t="shared" ref="H27:H40" si="6">H5/502.36</f>
        <v>0.28465642168962496</v>
      </c>
      <c r="I27" s="12">
        <f t="shared" ref="I27:I40" si="7">I5/588.05</f>
        <v>1.3961397840319703</v>
      </c>
    </row>
    <row r="28" spans="1:9" x14ac:dyDescent="0.25">
      <c r="A28" s="13" t="s">
        <v>78</v>
      </c>
      <c r="B28" s="13"/>
      <c r="C28" s="12">
        <f t="shared" si="1"/>
        <v>0.31274433150899145</v>
      </c>
      <c r="D28" s="12">
        <f t="shared" si="2"/>
        <v>2.3063129907871143</v>
      </c>
      <c r="E28" s="12">
        <f t="shared" si="3"/>
        <v>2.357943563973715</v>
      </c>
      <c r="F28" s="12">
        <f t="shared" si="4"/>
        <v>2.915451895043732</v>
      </c>
      <c r="G28" s="12">
        <f t="shared" si="5"/>
        <v>3.7072767364939359</v>
      </c>
      <c r="H28" s="12">
        <f t="shared" si="6"/>
        <v>2.46436818218011</v>
      </c>
      <c r="I28" s="12">
        <f t="shared" si="7"/>
        <v>16.178896352350993</v>
      </c>
    </row>
    <row r="29" spans="1:9" x14ac:dyDescent="0.25">
      <c r="A29" s="13" t="s">
        <v>79</v>
      </c>
      <c r="B29" s="13"/>
      <c r="C29" s="12">
        <f t="shared" si="1"/>
        <v>0.13031013812874642</v>
      </c>
      <c r="D29" s="12">
        <f t="shared" si="2"/>
        <v>1.2366289494837075E-2</v>
      </c>
      <c r="E29" s="12">
        <f t="shared" si="3"/>
        <v>0.55405231284628265</v>
      </c>
      <c r="F29" s="12">
        <f t="shared" si="4"/>
        <v>1.5063168124392616</v>
      </c>
      <c r="G29" s="12">
        <f t="shared" si="5"/>
        <v>2.7494487320837928</v>
      </c>
      <c r="H29" s="12">
        <f t="shared" si="6"/>
        <v>1.0271518432996258</v>
      </c>
      <c r="I29" s="12">
        <f t="shared" si="7"/>
        <v>2.3127285094804866</v>
      </c>
    </row>
    <row r="30" spans="1:9" x14ac:dyDescent="0.25">
      <c r="A30" s="15" t="s">
        <v>80</v>
      </c>
      <c r="B30" s="15"/>
      <c r="C30" s="12">
        <f t="shared" si="1"/>
        <v>0</v>
      </c>
      <c r="D30" s="12">
        <f t="shared" si="2"/>
        <v>1.8549434242255611E-2</v>
      </c>
      <c r="E30" s="12">
        <f t="shared" si="3"/>
        <v>5.1539750032212346E-2</v>
      </c>
      <c r="F30" s="12">
        <f t="shared" si="4"/>
        <v>7.2886297376093298E-2</v>
      </c>
      <c r="G30" s="12">
        <f t="shared" si="5"/>
        <v>0.46168687982359424</v>
      </c>
      <c r="H30" s="12">
        <f t="shared" si="6"/>
        <v>0.1532765347559519</v>
      </c>
      <c r="I30" s="12">
        <f t="shared" si="7"/>
        <v>1.5644928152367996</v>
      </c>
    </row>
    <row r="31" spans="1:9" x14ac:dyDescent="0.25">
      <c r="A31" s="15" t="s">
        <v>81</v>
      </c>
      <c r="B31" s="15"/>
      <c r="C31" s="12">
        <f t="shared" si="1"/>
        <v>0.182434193380245</v>
      </c>
      <c r="D31" s="12">
        <f t="shared" si="2"/>
        <v>0.99548630433438456</v>
      </c>
      <c r="E31" s="12">
        <f t="shared" si="3"/>
        <v>1.4431130009019457</v>
      </c>
      <c r="F31" s="12">
        <f t="shared" si="4"/>
        <v>0.21865889212827991</v>
      </c>
      <c r="G31" s="12">
        <f t="shared" si="5"/>
        <v>0.39277839029768469</v>
      </c>
      <c r="H31" s="12">
        <f t="shared" si="6"/>
        <v>0.70268333466040289</v>
      </c>
      <c r="I31" s="12">
        <f t="shared" si="7"/>
        <v>0.82816087067426247</v>
      </c>
    </row>
    <row r="32" spans="1:9" x14ac:dyDescent="0.25">
      <c r="A32" s="17" t="s">
        <v>82</v>
      </c>
      <c r="B32" s="17"/>
      <c r="C32" s="12">
        <f t="shared" si="1"/>
        <v>3.2577534532186605</v>
      </c>
      <c r="D32" s="12">
        <f t="shared" si="2"/>
        <v>11.358436901007853</v>
      </c>
      <c r="E32" s="12">
        <f t="shared" si="3"/>
        <v>4.4195335652622081</v>
      </c>
      <c r="F32" s="12">
        <f t="shared" si="4"/>
        <v>1.4091350826044704</v>
      </c>
      <c r="G32" s="12">
        <f t="shared" si="5"/>
        <v>4.334343991179713</v>
      </c>
      <c r="H32" s="12">
        <f t="shared" si="6"/>
        <v>6.2047137510948325</v>
      </c>
      <c r="I32" s="12">
        <f t="shared" si="7"/>
        <v>3.0167502763370466</v>
      </c>
    </row>
    <row r="33" spans="1:9" x14ac:dyDescent="0.25">
      <c r="A33" s="15" t="s">
        <v>83</v>
      </c>
      <c r="B33" s="15"/>
      <c r="C33" s="12">
        <f t="shared" si="1"/>
        <v>3.9093041438623931E-2</v>
      </c>
      <c r="D33" s="12">
        <f t="shared" si="2"/>
        <v>6.8014592221603914E-2</v>
      </c>
      <c r="E33" s="12">
        <f t="shared" si="3"/>
        <v>0.96637031310398147</v>
      </c>
      <c r="F33" s="12">
        <f t="shared" si="4"/>
        <v>0.58309037900874638</v>
      </c>
      <c r="G33" s="12">
        <f t="shared" si="5"/>
        <v>1.4815325248070561</v>
      </c>
      <c r="H33" s="12">
        <f t="shared" si="6"/>
        <v>0.65291822597340554</v>
      </c>
      <c r="I33" s="12">
        <f t="shared" si="7"/>
        <v>0.89448176175495286</v>
      </c>
    </row>
    <row r="34" spans="1:9" x14ac:dyDescent="0.25">
      <c r="A34" s="15" t="s">
        <v>84</v>
      </c>
      <c r="B34" s="15"/>
      <c r="C34" s="12">
        <f t="shared" si="1"/>
        <v>0.31274433150899145</v>
      </c>
      <c r="D34" s="12">
        <f t="shared" si="2"/>
        <v>0.58121560625734248</v>
      </c>
      <c r="E34" s="12">
        <f t="shared" si="3"/>
        <v>2.0744749387965467</v>
      </c>
      <c r="F34" s="12">
        <f t="shared" si="4"/>
        <v>0.38872691933916426</v>
      </c>
      <c r="G34" s="12">
        <f t="shared" si="5"/>
        <v>0.9371554575523704</v>
      </c>
      <c r="H34" s="12">
        <f t="shared" si="6"/>
        <v>0.85795047376383471</v>
      </c>
      <c r="I34" s="12">
        <f t="shared" si="7"/>
        <v>0.35201088342827991</v>
      </c>
    </row>
    <row r="35" spans="1:9" x14ac:dyDescent="0.25">
      <c r="A35" s="15" t="s">
        <v>85</v>
      </c>
      <c r="B35" s="15"/>
      <c r="C35" s="12">
        <f t="shared" si="1"/>
        <v>18.243419338024498</v>
      </c>
      <c r="D35" s="12">
        <f t="shared" si="2"/>
        <v>11.574846967167502</v>
      </c>
      <c r="E35" s="12">
        <f t="shared" si="3"/>
        <v>6.6486277541553926</v>
      </c>
      <c r="F35" s="12">
        <f t="shared" si="4"/>
        <v>10.131195335276969</v>
      </c>
      <c r="G35" s="12">
        <f t="shared" si="5"/>
        <v>5.6091510474090409</v>
      </c>
      <c r="H35" s="12">
        <f t="shared" si="6"/>
        <v>9.990843220001592</v>
      </c>
      <c r="I35" s="12">
        <f t="shared" si="7"/>
        <v>2.0066320891080691</v>
      </c>
    </row>
    <row r="36" spans="1:9" x14ac:dyDescent="0.25">
      <c r="A36" s="15" t="s">
        <v>86</v>
      </c>
      <c r="B36" s="15"/>
      <c r="C36" s="12">
        <f t="shared" si="1"/>
        <v>52.984102163148293</v>
      </c>
      <c r="D36" s="12">
        <f t="shared" si="2"/>
        <v>46.571446237556422</v>
      </c>
      <c r="E36" s="12">
        <f t="shared" si="3"/>
        <v>56.526220847828888</v>
      </c>
      <c r="F36" s="12">
        <f t="shared" si="4"/>
        <v>57.774538386783291</v>
      </c>
      <c r="G36" s="12">
        <f t="shared" si="5"/>
        <v>50.378996692392498</v>
      </c>
      <c r="H36" s="12">
        <f t="shared" si="6"/>
        <v>51.106776017198818</v>
      </c>
      <c r="I36" s="12">
        <f t="shared" si="7"/>
        <v>27.722132471728596</v>
      </c>
    </row>
    <row r="37" spans="1:9" x14ac:dyDescent="0.25">
      <c r="A37" s="15" t="s">
        <v>87</v>
      </c>
      <c r="B37" s="15"/>
      <c r="C37" s="12">
        <f t="shared" si="1"/>
        <v>1.5637216575449571</v>
      </c>
      <c r="D37" s="12">
        <f t="shared" si="2"/>
        <v>0.64923019847894647</v>
      </c>
      <c r="E37" s="12">
        <f t="shared" si="3"/>
        <v>2.1002448138126528</v>
      </c>
      <c r="F37" s="12">
        <f t="shared" si="4"/>
        <v>2.4781341107871722</v>
      </c>
      <c r="G37" s="12">
        <f t="shared" si="5"/>
        <v>2.0603638368246968</v>
      </c>
      <c r="H37" s="12">
        <f t="shared" si="6"/>
        <v>1.570586830161637</v>
      </c>
      <c r="I37" s="12">
        <f t="shared" si="7"/>
        <v>0.48295212992092512</v>
      </c>
    </row>
    <row r="38" spans="1:9" x14ac:dyDescent="0.25">
      <c r="A38" s="18" t="s">
        <v>88</v>
      </c>
      <c r="B38" s="18"/>
      <c r="C38" s="12">
        <f t="shared" si="1"/>
        <v>21.396924680740163</v>
      </c>
      <c r="D38" s="12">
        <f t="shared" si="2"/>
        <v>20.880479812032402</v>
      </c>
      <c r="E38" s="12">
        <f t="shared" si="3"/>
        <v>14.998067259373792</v>
      </c>
      <c r="F38" s="12">
        <f t="shared" si="4"/>
        <v>9.3051506316812453</v>
      </c>
      <c r="G38" s="12">
        <f t="shared" si="5"/>
        <v>6.3947078280044103</v>
      </c>
      <c r="H38" s="12">
        <f t="shared" si="6"/>
        <v>14.917588980014331</v>
      </c>
      <c r="I38" s="12">
        <f t="shared" si="7"/>
        <v>2.7616699260266988</v>
      </c>
    </row>
    <row r="39" spans="1:9" x14ac:dyDescent="0.25">
      <c r="A39" s="13" t="s">
        <v>22</v>
      </c>
      <c r="B39" s="13"/>
      <c r="C39" s="12">
        <f t="shared" si="1"/>
        <v>3.9093041438623931E-2</v>
      </c>
      <c r="D39" s="12">
        <f t="shared" si="2"/>
        <v>3.7098868484511223E-2</v>
      </c>
      <c r="E39" s="12">
        <f t="shared" si="3"/>
        <v>0.15461925009663705</v>
      </c>
      <c r="F39" s="12">
        <f t="shared" si="4"/>
        <v>0.21865889212827991</v>
      </c>
      <c r="G39" s="12">
        <f t="shared" si="5"/>
        <v>3.4454244762954792E-2</v>
      </c>
      <c r="H39" s="12">
        <f t="shared" si="6"/>
        <v>6.9671152161796313E-2</v>
      </c>
      <c r="I39" s="12">
        <f t="shared" si="7"/>
        <v>0.1938610662358643</v>
      </c>
    </row>
    <row r="40" spans="1:9" x14ac:dyDescent="0.25">
      <c r="A40" s="15" t="s">
        <v>23</v>
      </c>
      <c r="B40" s="15"/>
      <c r="C40" s="12">
        <f t="shared" si="1"/>
        <v>2.6062027625749284E-2</v>
      </c>
      <c r="D40" s="12">
        <f t="shared" si="2"/>
        <v>3.7098868484511223E-2</v>
      </c>
      <c r="E40" s="12">
        <f t="shared" si="3"/>
        <v>3.8654812524159261E-2</v>
      </c>
      <c r="F40" s="12">
        <f t="shared" si="4"/>
        <v>0</v>
      </c>
      <c r="G40" s="12">
        <f t="shared" si="5"/>
        <v>6.890848952590959E-3</v>
      </c>
      <c r="H40" s="12">
        <f t="shared" si="6"/>
        <v>2.3887252169758739E-2</v>
      </c>
      <c r="I40" s="12">
        <f t="shared" si="7"/>
        <v>1.8705892356092171E-2</v>
      </c>
    </row>
  </sheetData>
  <mergeCells count="40">
    <mergeCell ref="A38:B38"/>
    <mergeCell ref="A39:B39"/>
    <mergeCell ref="A40:B40"/>
    <mergeCell ref="A34:B34"/>
    <mergeCell ref="A35:B35"/>
    <mergeCell ref="A36:B36"/>
    <mergeCell ref="A37:B37"/>
    <mergeCell ref="A10:B10"/>
    <mergeCell ref="A11:B11"/>
    <mergeCell ref="A12:B12"/>
    <mergeCell ref="A13:B13"/>
    <mergeCell ref="A14:B14"/>
    <mergeCell ref="A28:B28"/>
    <mergeCell ref="A29:B29"/>
    <mergeCell ref="A30:B30"/>
    <mergeCell ref="A31:B31"/>
    <mergeCell ref="A32:B32"/>
    <mergeCell ref="A33:B33"/>
    <mergeCell ref="C23:G23"/>
    <mergeCell ref="H23:H24"/>
    <mergeCell ref="C24:D24"/>
    <mergeCell ref="F24:G24"/>
    <mergeCell ref="A26:B26"/>
    <mergeCell ref="A27:B27"/>
    <mergeCell ref="A9:B9"/>
    <mergeCell ref="A15:B15"/>
    <mergeCell ref="A16:B16"/>
    <mergeCell ref="A17:B17"/>
    <mergeCell ref="A18:B18"/>
    <mergeCell ref="A19:B19"/>
    <mergeCell ref="A4:B4"/>
    <mergeCell ref="A5:B5"/>
    <mergeCell ref="A6:B6"/>
    <mergeCell ref="A7:B7"/>
    <mergeCell ref="A8:B8"/>
    <mergeCell ref="A1:B2"/>
    <mergeCell ref="C1:G1"/>
    <mergeCell ref="H1:H2"/>
    <mergeCell ref="C2:D2"/>
    <mergeCell ref="F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J1" sqref="J1"/>
    </sheetView>
  </sheetViews>
  <sheetFormatPr defaultRowHeight="15" x14ac:dyDescent="0.25"/>
  <cols>
    <col min="2" max="2" width="34.28515625" bestFit="1" customWidth="1"/>
    <col min="3" max="8" width="12" bestFit="1" customWidth="1"/>
    <col min="9" max="9" width="17.42578125" bestFit="1" customWidth="1"/>
  </cols>
  <sheetData>
    <row r="1" spans="1:11" x14ac:dyDescent="0.25">
      <c r="A1" s="14" t="s">
        <v>39</v>
      </c>
      <c r="B1" s="14"/>
      <c r="C1" s="13" t="s">
        <v>0</v>
      </c>
      <c r="D1" s="13"/>
      <c r="E1" s="13"/>
      <c r="F1" s="13"/>
      <c r="G1" s="13"/>
      <c r="H1" s="13" t="s">
        <v>25</v>
      </c>
      <c r="I1" s="5" t="s">
        <v>8</v>
      </c>
      <c r="K1" s="3"/>
    </row>
    <row r="2" spans="1:11" x14ac:dyDescent="0.25">
      <c r="A2" s="14"/>
      <c r="B2" s="14"/>
      <c r="C2" s="13" t="s">
        <v>1</v>
      </c>
      <c r="D2" s="13"/>
      <c r="E2" s="5" t="s">
        <v>4</v>
      </c>
      <c r="F2" s="13" t="s">
        <v>5</v>
      </c>
      <c r="G2" s="13"/>
      <c r="H2" s="13"/>
      <c r="I2" s="5"/>
      <c r="K2" s="3"/>
    </row>
    <row r="3" spans="1:11" x14ac:dyDescent="0.25">
      <c r="A3" s="7"/>
      <c r="B3" s="7"/>
      <c r="C3" s="5" t="s">
        <v>3</v>
      </c>
      <c r="D3" s="5" t="s">
        <v>2</v>
      </c>
      <c r="E3" s="5" t="s">
        <v>4</v>
      </c>
      <c r="F3" s="5" t="s">
        <v>6</v>
      </c>
      <c r="G3" s="5" t="s">
        <v>7</v>
      </c>
      <c r="H3" s="5"/>
      <c r="I3" s="5" t="s">
        <v>8</v>
      </c>
      <c r="K3" s="3"/>
    </row>
    <row r="4" spans="1:11" x14ac:dyDescent="0.25">
      <c r="A4" s="6"/>
      <c r="B4" s="6" t="s">
        <v>28</v>
      </c>
      <c r="C4" s="5">
        <v>0</v>
      </c>
      <c r="D4" s="5">
        <v>3</v>
      </c>
      <c r="E4" s="5">
        <v>9</v>
      </c>
      <c r="F4" s="5">
        <v>8</v>
      </c>
      <c r="G4" s="5">
        <v>37</v>
      </c>
      <c r="H4" s="5">
        <f>SUM(C4:G4)</f>
        <v>57</v>
      </c>
      <c r="I4" s="5">
        <v>96</v>
      </c>
      <c r="K4" s="3"/>
    </row>
    <row r="5" spans="1:11" x14ac:dyDescent="0.25">
      <c r="A5" s="6"/>
      <c r="B5" s="6" t="s">
        <v>32</v>
      </c>
      <c r="C5" s="5">
        <v>33</v>
      </c>
      <c r="D5" s="5">
        <v>53</v>
      </c>
      <c r="E5" s="5">
        <v>42</v>
      </c>
      <c r="F5" s="5">
        <v>36</v>
      </c>
      <c r="G5" s="5">
        <v>112</v>
      </c>
      <c r="H5" s="5">
        <f>SUM(C5:G5)</f>
        <v>276</v>
      </c>
      <c r="I5" s="5">
        <v>637</v>
      </c>
      <c r="K5" s="3"/>
    </row>
    <row r="6" spans="1:11" x14ac:dyDescent="0.25">
      <c r="A6" s="6"/>
      <c r="B6" s="6" t="s">
        <v>29</v>
      </c>
      <c r="C6" s="5">
        <v>5093</v>
      </c>
      <c r="D6" s="5">
        <v>7918</v>
      </c>
      <c r="E6" s="5">
        <v>1616</v>
      </c>
      <c r="F6" s="5">
        <v>325</v>
      </c>
      <c r="G6" s="5">
        <v>1192</v>
      </c>
      <c r="H6" s="5">
        <f>SUM(C6:G6)</f>
        <v>16144</v>
      </c>
      <c r="I6" s="5">
        <v>544</v>
      </c>
      <c r="K6" s="3"/>
    </row>
    <row r="7" spans="1:11" x14ac:dyDescent="0.25">
      <c r="A7" s="6"/>
      <c r="B7" s="6" t="s">
        <v>33</v>
      </c>
      <c r="C7" s="5">
        <v>52</v>
      </c>
      <c r="D7" s="5">
        <v>836</v>
      </c>
      <c r="E7" s="5">
        <v>557</v>
      </c>
      <c r="F7" s="5">
        <v>275</v>
      </c>
      <c r="G7" s="5">
        <v>1317</v>
      </c>
      <c r="H7" s="5">
        <f>SUM(C7:G7)</f>
        <v>3037</v>
      </c>
      <c r="I7" s="5">
        <v>4672</v>
      </c>
      <c r="K7" s="3"/>
    </row>
    <row r="8" spans="1:11" x14ac:dyDescent="0.25">
      <c r="A8" s="6"/>
      <c r="B8" s="6" t="s">
        <v>30</v>
      </c>
      <c r="C8" s="5">
        <v>615</v>
      </c>
      <c r="D8" s="5">
        <v>4899</v>
      </c>
      <c r="E8" s="5">
        <v>3940</v>
      </c>
      <c r="F8" s="5">
        <v>2685</v>
      </c>
      <c r="G8" s="5">
        <v>7144</v>
      </c>
      <c r="H8" s="5">
        <f>SUM(C8:G8)</f>
        <v>19283</v>
      </c>
      <c r="I8" s="5">
        <v>10272</v>
      </c>
      <c r="K8" s="3"/>
    </row>
    <row r="9" spans="1:11" x14ac:dyDescent="0.25">
      <c r="A9" s="6"/>
      <c r="B9" s="6" t="s">
        <v>34</v>
      </c>
      <c r="C9" s="5">
        <v>1427</v>
      </c>
      <c r="D9" s="5">
        <v>1022</v>
      </c>
      <c r="E9" s="5">
        <v>193</v>
      </c>
      <c r="F9" s="5">
        <v>99</v>
      </c>
      <c r="G9" s="5">
        <v>343</v>
      </c>
      <c r="H9" s="5">
        <f>SUM(C9:G9)</f>
        <v>3084</v>
      </c>
      <c r="I9" s="5">
        <v>280</v>
      </c>
      <c r="K9" s="3"/>
    </row>
    <row r="10" spans="1:11" x14ac:dyDescent="0.25">
      <c r="A10" s="6"/>
      <c r="B10" s="8" t="s">
        <v>31</v>
      </c>
      <c r="C10" s="5">
        <v>66</v>
      </c>
      <c r="D10" s="5">
        <v>25</v>
      </c>
      <c r="E10" s="5">
        <v>10</v>
      </c>
      <c r="F10" s="5">
        <v>4</v>
      </c>
      <c r="G10" s="5">
        <v>12</v>
      </c>
      <c r="H10" s="5">
        <f>SUM(C10:G10)</f>
        <v>117</v>
      </c>
      <c r="I10" s="9">
        <v>39</v>
      </c>
      <c r="K10" s="3"/>
    </row>
    <row r="11" spans="1:11" x14ac:dyDescent="0.25">
      <c r="A11" s="6"/>
      <c r="B11" s="8" t="s">
        <v>35</v>
      </c>
      <c r="C11" s="5">
        <v>325</v>
      </c>
      <c r="D11" s="5">
        <v>1051</v>
      </c>
      <c r="E11" s="5">
        <v>1076</v>
      </c>
      <c r="F11" s="5">
        <v>432</v>
      </c>
      <c r="G11" s="5">
        <v>2532</v>
      </c>
      <c r="H11" s="5">
        <f>SUM(C11:G11)</f>
        <v>5416</v>
      </c>
      <c r="I11" s="5">
        <v>36040</v>
      </c>
      <c r="K11" s="3"/>
    </row>
    <row r="12" spans="1:11" x14ac:dyDescent="0.25">
      <c r="A12" s="6"/>
      <c r="B12" s="8" t="s">
        <v>22</v>
      </c>
      <c r="C12" s="5">
        <v>24</v>
      </c>
      <c r="D12" s="5">
        <v>56</v>
      </c>
      <c r="E12" s="5">
        <v>14</v>
      </c>
      <c r="F12" s="5">
        <v>32</v>
      </c>
      <c r="G12" s="5">
        <v>51</v>
      </c>
      <c r="H12" s="5">
        <f>SUM(C12:G12)</f>
        <v>177</v>
      </c>
      <c r="I12" s="5">
        <v>128</v>
      </c>
      <c r="K12" s="3"/>
    </row>
    <row r="13" spans="1:11" x14ac:dyDescent="0.25">
      <c r="A13" s="6"/>
      <c r="B13" s="8" t="s">
        <v>36</v>
      </c>
      <c r="C13" s="5">
        <v>18</v>
      </c>
      <c r="D13" s="5">
        <v>128</v>
      </c>
      <c r="E13" s="5">
        <v>189</v>
      </c>
      <c r="F13" s="5">
        <v>127</v>
      </c>
      <c r="G13" s="5">
        <v>1010</v>
      </c>
      <c r="H13" s="5">
        <f>SUM(C13:G13)</f>
        <v>1472</v>
      </c>
      <c r="I13" s="5">
        <v>3045</v>
      </c>
      <c r="K13" s="3"/>
    </row>
    <row r="14" spans="1:11" x14ac:dyDescent="0.25">
      <c r="A14" s="6"/>
      <c r="B14" s="8" t="s">
        <v>37</v>
      </c>
      <c r="C14" s="5">
        <v>6</v>
      </c>
      <c r="D14" s="5">
        <v>54</v>
      </c>
      <c r="E14" s="5">
        <v>69</v>
      </c>
      <c r="F14" s="5">
        <v>79</v>
      </c>
      <c r="G14" s="5">
        <v>706</v>
      </c>
      <c r="H14" s="5">
        <f>SUM(C14:G14)</f>
        <v>914</v>
      </c>
      <c r="I14" s="5">
        <v>2857</v>
      </c>
      <c r="K14" s="3"/>
    </row>
    <row r="15" spans="1:11" x14ac:dyDescent="0.25">
      <c r="A15" s="6"/>
      <c r="B15" s="8" t="s">
        <v>38</v>
      </c>
      <c r="C15" s="5">
        <v>8</v>
      </c>
      <c r="D15" s="5">
        <v>107</v>
      </c>
      <c r="E15" s="5">
        <v>37</v>
      </c>
      <c r="F15" s="5">
        <v>12</v>
      </c>
      <c r="G15" s="5">
        <v>45</v>
      </c>
      <c r="H15" s="5">
        <f>SUM(C15:G15)</f>
        <v>209</v>
      </c>
      <c r="I15" s="5">
        <v>143</v>
      </c>
    </row>
    <row r="16" spans="1:11" x14ac:dyDescent="0.25">
      <c r="A16" s="6"/>
      <c r="B16" s="8" t="s">
        <v>23</v>
      </c>
      <c r="C16" s="5">
        <v>7</v>
      </c>
      <c r="D16" s="5">
        <v>21</v>
      </c>
      <c r="E16" s="5">
        <v>9</v>
      </c>
      <c r="F16" s="5">
        <v>2</v>
      </c>
      <c r="G16" s="5">
        <v>11</v>
      </c>
      <c r="H16" s="5">
        <f>SUM(C16:G16)</f>
        <v>50</v>
      </c>
      <c r="I16" s="5">
        <v>52</v>
      </c>
    </row>
    <row r="17" spans="1:9" x14ac:dyDescent="0.25">
      <c r="A17" s="6"/>
      <c r="B17" s="8" t="s">
        <v>26</v>
      </c>
      <c r="C17" s="5">
        <f t="shared" ref="C17:I17" si="0">SUM(C4:C16)</f>
        <v>7674</v>
      </c>
      <c r="D17" s="5">
        <f t="shared" si="0"/>
        <v>16173</v>
      </c>
      <c r="E17" s="5">
        <f t="shared" si="0"/>
        <v>7761</v>
      </c>
      <c r="F17" s="5">
        <f t="shared" si="0"/>
        <v>4116</v>
      </c>
      <c r="G17" s="5">
        <f t="shared" si="0"/>
        <v>14512</v>
      </c>
      <c r="H17" s="5">
        <f t="shared" si="0"/>
        <v>50236</v>
      </c>
      <c r="I17" s="5">
        <f t="shared" si="0"/>
        <v>58805</v>
      </c>
    </row>
    <row r="21" spans="1:9" x14ac:dyDescent="0.25">
      <c r="C21" s="13" t="s">
        <v>0</v>
      </c>
      <c r="D21" s="13"/>
      <c r="E21" s="13"/>
      <c r="F21" s="13"/>
      <c r="G21" s="13"/>
      <c r="H21" s="13" t="s">
        <v>25</v>
      </c>
      <c r="I21" s="11" t="s">
        <v>8</v>
      </c>
    </row>
    <row r="22" spans="1:9" x14ac:dyDescent="0.25">
      <c r="C22" s="13" t="s">
        <v>1</v>
      </c>
      <c r="D22" s="13"/>
      <c r="E22" s="11" t="s">
        <v>4</v>
      </c>
      <c r="F22" s="13" t="s">
        <v>5</v>
      </c>
      <c r="G22" s="13"/>
      <c r="H22" s="13"/>
      <c r="I22" s="11"/>
    </row>
    <row r="23" spans="1:9" x14ac:dyDescent="0.25">
      <c r="C23" s="11" t="s">
        <v>3</v>
      </c>
      <c r="D23" s="11" t="s">
        <v>2</v>
      </c>
      <c r="E23" s="11" t="s">
        <v>4</v>
      </c>
      <c r="F23" s="11" t="s">
        <v>6</v>
      </c>
      <c r="G23" s="11" t="s">
        <v>7</v>
      </c>
      <c r="H23" s="11"/>
      <c r="I23" s="11" t="s">
        <v>8</v>
      </c>
    </row>
    <row r="24" spans="1:9" x14ac:dyDescent="0.25">
      <c r="B24" s="6" t="s">
        <v>28</v>
      </c>
      <c r="C24" s="12">
        <f>0/76.74</f>
        <v>0</v>
      </c>
      <c r="D24" s="12">
        <f>3/161.73</f>
        <v>1.8549434242255611E-2</v>
      </c>
      <c r="E24" s="12">
        <f>9/77.61</f>
        <v>0.11596443757247778</v>
      </c>
      <c r="F24" s="12">
        <f>8/41.16</f>
        <v>0.19436345966958213</v>
      </c>
      <c r="G24" s="12">
        <f>37/145.12</f>
        <v>0.25496141124586547</v>
      </c>
      <c r="H24" s="12">
        <f>57/502.36</f>
        <v>0.11346444780635401</v>
      </c>
      <c r="I24" s="12">
        <f>96/588.05</f>
        <v>0.16325142419862257</v>
      </c>
    </row>
    <row r="25" spans="1:9" x14ac:dyDescent="0.25">
      <c r="B25" s="6" t="s">
        <v>32</v>
      </c>
      <c r="C25" s="12">
        <f>33/76.74</f>
        <v>0.43002345582486318</v>
      </c>
      <c r="D25" s="12">
        <f>53/161.73</f>
        <v>0.32770667161318251</v>
      </c>
      <c r="E25" s="12">
        <f>42/77.61</f>
        <v>0.54116737533822956</v>
      </c>
      <c r="F25" s="12">
        <f>36/41.16</f>
        <v>0.87463556851311963</v>
      </c>
      <c r="G25" s="12">
        <f>112/145.12</f>
        <v>0.77177508269018735</v>
      </c>
      <c r="H25" s="12">
        <f>276/502.36</f>
        <v>0.54940679990445096</v>
      </c>
      <c r="I25" s="12">
        <f>637/588.05</f>
        <v>1.0832412209846103</v>
      </c>
    </row>
    <row r="26" spans="1:9" x14ac:dyDescent="0.25">
      <c r="B26" s="6" t="s">
        <v>29</v>
      </c>
      <c r="C26" s="12">
        <f>5093/76.74</f>
        <v>66.366953348970554</v>
      </c>
      <c r="D26" s="12">
        <f>7918/161.73</f>
        <v>48.958140110059979</v>
      </c>
      <c r="E26" s="12">
        <f>1616/77.61</f>
        <v>20.822059013013789</v>
      </c>
      <c r="F26" s="12">
        <f>325/41.16</f>
        <v>7.8960155490767745</v>
      </c>
      <c r="G26" s="12">
        <f>1192/145.12</f>
        <v>8.2138919514884225</v>
      </c>
      <c r="H26" s="12">
        <f>16144/502.36</f>
        <v>32.13631658571542</v>
      </c>
      <c r="I26" s="12">
        <f>544/588.05</f>
        <v>0.92509140379219457</v>
      </c>
    </row>
    <row r="27" spans="1:9" x14ac:dyDescent="0.25">
      <c r="B27" s="6" t="s">
        <v>33</v>
      </c>
      <c r="C27" s="12">
        <f>52/76.74</f>
        <v>0.67761271826948144</v>
      </c>
      <c r="D27" s="12">
        <f>836/161.73</f>
        <v>5.1691090088418976</v>
      </c>
      <c r="E27" s="12">
        <f>557/77.61</f>
        <v>7.1769101919855691</v>
      </c>
      <c r="F27" s="12">
        <f>275/41.16</f>
        <v>6.6812439261418861</v>
      </c>
      <c r="G27" s="12">
        <f>1317/145.12</f>
        <v>9.0752480705622922</v>
      </c>
      <c r="H27" s="12">
        <f>3037/502.36</f>
        <v>6.0454654032964408</v>
      </c>
      <c r="I27" s="12">
        <f>4672/588.05</f>
        <v>7.9449026443329656</v>
      </c>
    </row>
    <row r="28" spans="1:9" x14ac:dyDescent="0.25">
      <c r="B28" s="6" t="s">
        <v>30</v>
      </c>
      <c r="C28" s="12">
        <f>615/76.74</f>
        <v>8.0140734949179055</v>
      </c>
      <c r="D28" s="12">
        <f>4899/161.73</f>
        <v>30.291226117603415</v>
      </c>
      <c r="E28" s="12">
        <f>3940/77.61</f>
        <v>50.766653781729161</v>
      </c>
      <c r="F28" s="12">
        <f>2685/41.16</f>
        <v>65.233236151603506</v>
      </c>
      <c r="G28" s="12">
        <f>7144/145.12</f>
        <v>49.228224917309809</v>
      </c>
      <c r="H28" s="12">
        <f>19283/502.36</f>
        <v>38.384823632454811</v>
      </c>
      <c r="I28" s="12">
        <f>10272/588.05</f>
        <v>17.467902389252615</v>
      </c>
    </row>
    <row r="29" spans="1:9" x14ac:dyDescent="0.25">
      <c r="B29" s="6" t="s">
        <v>34</v>
      </c>
      <c r="C29" s="12">
        <f>1427/76.74</f>
        <v>18.595256710972116</v>
      </c>
      <c r="D29" s="12">
        <f>1022/161.73</f>
        <v>6.3191739318617453</v>
      </c>
      <c r="E29" s="12">
        <f>193/77.61</f>
        <v>2.4867929390542458</v>
      </c>
      <c r="F29" s="12">
        <f>99/41.16</f>
        <v>2.4052478134110791</v>
      </c>
      <c r="G29" s="12">
        <f>343/145.12</f>
        <v>2.3635611907386989</v>
      </c>
      <c r="H29" s="12">
        <f>3084/502.36</f>
        <v>6.1390238076279955</v>
      </c>
      <c r="I29" s="12">
        <f>280/588.05</f>
        <v>0.47614998724598251</v>
      </c>
    </row>
    <row r="30" spans="1:9" x14ac:dyDescent="0.25">
      <c r="B30" s="8" t="s">
        <v>31</v>
      </c>
      <c r="C30" s="12">
        <f>66/76.74</f>
        <v>0.86004691164972635</v>
      </c>
      <c r="D30" s="12">
        <f>25/161.73</f>
        <v>0.15457861868546344</v>
      </c>
      <c r="E30" s="12">
        <f>10/77.61</f>
        <v>0.12884937508053085</v>
      </c>
      <c r="F30" s="12">
        <f>4/41.16</f>
        <v>9.7181729834791064E-2</v>
      </c>
      <c r="G30" s="12">
        <f>12/145.12</f>
        <v>8.2690187431091508E-2</v>
      </c>
      <c r="H30" s="12">
        <f>117/502.36</f>
        <v>0.2329007086551477</v>
      </c>
      <c r="I30" s="9">
        <f>39/588.05</f>
        <v>6.6320891080690419E-2</v>
      </c>
    </row>
    <row r="31" spans="1:9" x14ac:dyDescent="0.25">
      <c r="B31" s="8" t="s">
        <v>35</v>
      </c>
      <c r="C31" s="12">
        <f>325/76.74</f>
        <v>4.2350794891842591</v>
      </c>
      <c r="D31" s="12">
        <f>1051/161.73</f>
        <v>6.4984851295368831</v>
      </c>
      <c r="E31" s="12">
        <f>1076/77.61</f>
        <v>13.864192758665121</v>
      </c>
      <c r="F31" s="12">
        <f>432/41.16</f>
        <v>10.495626822157435</v>
      </c>
      <c r="G31" s="12">
        <f>2532/145.12</f>
        <v>17.447629547960307</v>
      </c>
      <c r="H31" s="12">
        <f>5416/502.36</f>
        <v>10.78111314595111</v>
      </c>
      <c r="I31" s="12">
        <f>36040/588.05</f>
        <v>61.287305501232893</v>
      </c>
    </row>
    <row r="32" spans="1:9" x14ac:dyDescent="0.25">
      <c r="B32" s="8" t="s">
        <v>22</v>
      </c>
      <c r="C32" s="12">
        <f>24/76.74</f>
        <v>0.31274433150899145</v>
      </c>
      <c r="D32" s="12">
        <f>56/161.73</f>
        <v>0.34625610585543809</v>
      </c>
      <c r="E32" s="12">
        <f>14/77.61</f>
        <v>0.18038912511274321</v>
      </c>
      <c r="F32" s="12">
        <f>32/41.16</f>
        <v>0.77745383867832851</v>
      </c>
      <c r="G32" s="12">
        <f>51/145.12</f>
        <v>0.3514332965821389</v>
      </c>
      <c r="H32" s="12">
        <f>177/502.36</f>
        <v>0.35233696950394139</v>
      </c>
      <c r="I32" s="12">
        <f>128/588.05</f>
        <v>0.21766856559816344</v>
      </c>
    </row>
    <row r="33" spans="2:9" x14ac:dyDescent="0.25">
      <c r="B33" s="8" t="s">
        <v>36</v>
      </c>
      <c r="C33" s="12">
        <f>18/76.74</f>
        <v>0.23455824863174357</v>
      </c>
      <c r="D33" s="12">
        <f>128/161.73</f>
        <v>0.79144252766957279</v>
      </c>
      <c r="E33" s="12">
        <f>189/77.61</f>
        <v>2.4352531890220335</v>
      </c>
      <c r="F33" s="12">
        <f>127/41.16</f>
        <v>3.0855199222546164</v>
      </c>
      <c r="G33" s="12">
        <f>1010/145.12</f>
        <v>6.9597574421168682</v>
      </c>
      <c r="H33" s="12">
        <f>1472/502.36</f>
        <v>2.9301695994904051</v>
      </c>
      <c r="I33" s="12">
        <f>3045/588.05</f>
        <v>5.1781311113000603</v>
      </c>
    </row>
    <row r="34" spans="2:9" x14ac:dyDescent="0.25">
      <c r="B34" s="8" t="s">
        <v>37</v>
      </c>
      <c r="C34" s="12">
        <f>6/76.74</f>
        <v>7.8186082877247862E-2</v>
      </c>
      <c r="D34" s="12">
        <f>54/161.73</f>
        <v>0.333889816360601</v>
      </c>
      <c r="E34" s="12">
        <f>69/77.61</f>
        <v>0.88906068805566296</v>
      </c>
      <c r="F34" s="12">
        <f>79/41.16</f>
        <v>1.9193391642371236</v>
      </c>
      <c r="G34" s="12">
        <f>706/145.12</f>
        <v>4.8649393605292168</v>
      </c>
      <c r="H34" s="12">
        <f>914/502.36</f>
        <v>1.8194123735966239</v>
      </c>
      <c r="I34" s="12">
        <f>2857/588.05</f>
        <v>4.8584304055777574</v>
      </c>
    </row>
    <row r="35" spans="2:9" x14ac:dyDescent="0.25">
      <c r="B35" s="8" t="s">
        <v>38</v>
      </c>
      <c r="C35" s="12">
        <f>8/76.74</f>
        <v>0.10424811050299713</v>
      </c>
      <c r="D35" s="12">
        <f>107/161.73</f>
        <v>0.66159648797378345</v>
      </c>
      <c r="E35" s="12">
        <f>37/77.61</f>
        <v>0.47674268779796419</v>
      </c>
      <c r="F35" s="12">
        <f>12/41.16</f>
        <v>0.29154518950437319</v>
      </c>
      <c r="G35" s="12">
        <f>45/145.12</f>
        <v>0.31008820286659317</v>
      </c>
      <c r="H35" s="12">
        <f>209/502.36</f>
        <v>0.41603630862329805</v>
      </c>
      <c r="I35" s="12">
        <f>143/588.05</f>
        <v>0.24317660062919821</v>
      </c>
    </row>
    <row r="36" spans="2:9" x14ac:dyDescent="0.25">
      <c r="B36" s="8" t="s">
        <v>23</v>
      </c>
      <c r="C36" s="12">
        <f>7/76.74</f>
        <v>9.1217096690122498E-2</v>
      </c>
      <c r="D36" s="12">
        <f>21/161.73</f>
        <v>0.12984603969578928</v>
      </c>
      <c r="E36" s="12">
        <f>9/77.61</f>
        <v>0.11596443757247778</v>
      </c>
      <c r="F36" s="12">
        <f>2/41.16</f>
        <v>4.8590864917395532E-2</v>
      </c>
      <c r="G36" s="12">
        <f>11/145.12</f>
        <v>7.5799338478500553E-2</v>
      </c>
      <c r="H36" s="12">
        <f>50/502.36</f>
        <v>9.9530217373994742E-2</v>
      </c>
      <c r="I36" s="12">
        <f>52/588.05</f>
        <v>8.8427854774253897E-2</v>
      </c>
    </row>
    <row r="37" spans="2:9" x14ac:dyDescent="0.25">
      <c r="B37" s="8"/>
      <c r="C37" s="12"/>
      <c r="D37" s="12"/>
      <c r="E37" s="12"/>
      <c r="F37" s="12"/>
      <c r="G37" s="12"/>
      <c r="H37" s="12"/>
      <c r="I37" s="12"/>
    </row>
  </sheetData>
  <mergeCells count="9">
    <mergeCell ref="C21:G21"/>
    <mergeCell ref="H21:H22"/>
    <mergeCell ref="C22:D22"/>
    <mergeCell ref="F22:G22"/>
    <mergeCell ref="A1:B2"/>
    <mergeCell ref="C1:G1"/>
    <mergeCell ref="H1:H2"/>
    <mergeCell ref="C2:D2"/>
    <mergeCell ref="F2:G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workbookViewId="0">
      <selection activeCell="M10" sqref="M10"/>
    </sheetView>
  </sheetViews>
  <sheetFormatPr defaultRowHeight="15" x14ac:dyDescent="0.25"/>
  <cols>
    <col min="2" max="2" width="23.85546875" customWidth="1"/>
    <col min="3" max="8" width="12" bestFit="1" customWidth="1"/>
    <col min="9" max="9" width="17.42578125" bestFit="1" customWidth="1"/>
  </cols>
  <sheetData>
    <row r="1" spans="1:9" x14ac:dyDescent="0.25">
      <c r="A1" s="14" t="s">
        <v>90</v>
      </c>
      <c r="B1" s="14"/>
      <c r="C1" s="13" t="s">
        <v>0</v>
      </c>
      <c r="D1" s="13"/>
      <c r="E1" s="13"/>
      <c r="F1" s="13"/>
      <c r="G1" s="13"/>
      <c r="H1" s="13" t="s">
        <v>25</v>
      </c>
      <c r="I1" s="12" t="s">
        <v>8</v>
      </c>
    </row>
    <row r="2" spans="1:9" x14ac:dyDescent="0.25">
      <c r="A2" s="14"/>
      <c r="B2" s="14"/>
      <c r="C2" s="13" t="s">
        <v>1</v>
      </c>
      <c r="D2" s="13"/>
      <c r="E2" s="12" t="s">
        <v>4</v>
      </c>
      <c r="F2" s="13" t="s">
        <v>5</v>
      </c>
      <c r="G2" s="13"/>
      <c r="H2" s="13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13" t="s">
        <v>91</v>
      </c>
      <c r="B4" s="13"/>
      <c r="C4" s="12"/>
      <c r="D4" s="12"/>
      <c r="E4" s="12"/>
      <c r="F4" s="12"/>
      <c r="G4" s="12"/>
      <c r="H4" s="12">
        <f t="shared" ref="H4:H22" si="0">SUM(C4:G4)</f>
        <v>0</v>
      </c>
      <c r="I4" s="12"/>
    </row>
    <row r="5" spans="1:9" x14ac:dyDescent="0.25">
      <c r="A5" s="13" t="s">
        <v>92</v>
      </c>
      <c r="B5" s="13"/>
      <c r="C5" s="12"/>
      <c r="D5" s="12"/>
      <c r="E5" s="12"/>
      <c r="F5" s="12"/>
      <c r="G5" s="12"/>
      <c r="H5" s="12">
        <f t="shared" si="0"/>
        <v>0</v>
      </c>
      <c r="I5" s="12"/>
    </row>
    <row r="6" spans="1:9" x14ac:dyDescent="0.25">
      <c r="A6" s="13" t="s">
        <v>93</v>
      </c>
      <c r="B6" s="13"/>
      <c r="C6" s="12"/>
      <c r="D6" s="12"/>
      <c r="E6" s="12"/>
      <c r="F6" s="12"/>
      <c r="G6" s="12"/>
      <c r="H6" s="12">
        <f t="shared" si="0"/>
        <v>0</v>
      </c>
      <c r="I6" s="12"/>
    </row>
    <row r="7" spans="1:9" x14ac:dyDescent="0.25">
      <c r="A7" s="13" t="s">
        <v>94</v>
      </c>
      <c r="B7" s="13"/>
      <c r="C7" s="12"/>
      <c r="D7" s="12"/>
      <c r="E7" s="12"/>
      <c r="F7" s="12"/>
      <c r="G7" s="12"/>
      <c r="H7" s="12">
        <f t="shared" si="0"/>
        <v>0</v>
      </c>
      <c r="I7" s="12"/>
    </row>
    <row r="8" spans="1:9" x14ac:dyDescent="0.25">
      <c r="A8" s="15" t="s">
        <v>95</v>
      </c>
      <c r="B8" s="15"/>
      <c r="C8" s="12"/>
      <c r="D8" s="12"/>
      <c r="E8" s="12"/>
      <c r="F8" s="12"/>
      <c r="G8" s="12"/>
      <c r="H8" s="12">
        <f t="shared" si="0"/>
        <v>0</v>
      </c>
      <c r="I8" s="9"/>
    </row>
    <row r="9" spans="1:9" x14ac:dyDescent="0.25">
      <c r="A9" s="15" t="s">
        <v>96</v>
      </c>
      <c r="B9" s="15"/>
      <c r="C9" s="12"/>
      <c r="D9" s="12"/>
      <c r="E9" s="12"/>
      <c r="F9" s="12"/>
      <c r="G9" s="12"/>
      <c r="H9" s="12">
        <f t="shared" si="0"/>
        <v>0</v>
      </c>
      <c r="I9" s="12"/>
    </row>
    <row r="10" spans="1:9" x14ac:dyDescent="0.25">
      <c r="A10" s="17" t="s">
        <v>97</v>
      </c>
      <c r="B10" s="17"/>
      <c r="C10" s="12"/>
      <c r="D10" s="12"/>
      <c r="E10" s="12"/>
      <c r="F10" s="12"/>
      <c r="G10" s="12"/>
      <c r="H10" s="12">
        <f t="shared" si="0"/>
        <v>0</v>
      </c>
      <c r="I10" s="12"/>
    </row>
    <row r="11" spans="1:9" x14ac:dyDescent="0.25">
      <c r="A11" s="15" t="s">
        <v>98</v>
      </c>
      <c r="B11" s="15"/>
      <c r="C11" s="12"/>
      <c r="D11" s="12"/>
      <c r="E11" s="12"/>
      <c r="F11" s="12"/>
      <c r="G11" s="12"/>
      <c r="H11" s="12">
        <f t="shared" si="0"/>
        <v>0</v>
      </c>
      <c r="I11" s="12"/>
    </row>
    <row r="12" spans="1:9" x14ac:dyDescent="0.25">
      <c r="A12" s="15" t="s">
        <v>99</v>
      </c>
      <c r="B12" s="15"/>
      <c r="C12" s="12"/>
      <c r="D12" s="12"/>
      <c r="E12" s="12"/>
      <c r="F12" s="12"/>
      <c r="G12" s="12"/>
      <c r="H12" s="12">
        <f t="shared" si="0"/>
        <v>0</v>
      </c>
      <c r="I12" s="12"/>
    </row>
    <row r="13" spans="1:9" x14ac:dyDescent="0.25">
      <c r="A13" s="15" t="s">
        <v>100</v>
      </c>
      <c r="B13" s="15"/>
      <c r="C13" s="12"/>
      <c r="D13" s="12"/>
      <c r="E13" s="12"/>
      <c r="F13" s="12"/>
      <c r="G13" s="12"/>
      <c r="H13" s="12">
        <f t="shared" si="0"/>
        <v>0</v>
      </c>
      <c r="I13" s="12"/>
    </row>
    <row r="14" spans="1:9" x14ac:dyDescent="0.25">
      <c r="A14" s="15" t="s">
        <v>101</v>
      </c>
      <c r="B14" s="15"/>
      <c r="C14" s="12"/>
      <c r="D14" s="12"/>
      <c r="E14" s="12"/>
      <c r="F14" s="12"/>
      <c r="G14" s="12"/>
      <c r="H14" s="12">
        <f t="shared" si="0"/>
        <v>0</v>
      </c>
      <c r="I14" s="12"/>
    </row>
    <row r="15" spans="1:9" x14ac:dyDescent="0.25">
      <c r="A15" s="15" t="s">
        <v>102</v>
      </c>
      <c r="B15" s="15"/>
      <c r="C15" s="12"/>
      <c r="D15" s="12"/>
      <c r="E15" s="12"/>
      <c r="F15" s="12"/>
      <c r="G15" s="12"/>
      <c r="H15" s="12">
        <f t="shared" si="0"/>
        <v>0</v>
      </c>
      <c r="I15" s="12"/>
    </row>
    <row r="16" spans="1:9" x14ac:dyDescent="0.25">
      <c r="A16" s="13" t="s">
        <v>103</v>
      </c>
      <c r="B16" s="13"/>
      <c r="C16" s="12"/>
      <c r="D16" s="12"/>
      <c r="E16" s="12"/>
      <c r="F16" s="12"/>
      <c r="G16" s="12"/>
      <c r="H16" s="12">
        <f t="shared" si="0"/>
        <v>0</v>
      </c>
      <c r="I16" s="12"/>
    </row>
    <row r="17" spans="1:9" x14ac:dyDescent="0.25">
      <c r="A17" s="13" t="s">
        <v>104</v>
      </c>
      <c r="B17" s="13"/>
      <c r="C17" s="12"/>
      <c r="D17" s="12"/>
      <c r="E17" s="12"/>
      <c r="F17" s="12"/>
      <c r="G17" s="12"/>
      <c r="H17" s="12">
        <f t="shared" si="0"/>
        <v>0</v>
      </c>
      <c r="I17" s="12"/>
    </row>
    <row r="18" spans="1:9" x14ac:dyDescent="0.25">
      <c r="A18" s="13" t="s">
        <v>105</v>
      </c>
      <c r="B18" s="13"/>
      <c r="C18" s="12"/>
      <c r="D18" s="12"/>
      <c r="E18" s="12"/>
      <c r="F18" s="12"/>
      <c r="G18" s="12"/>
      <c r="H18" s="12">
        <f t="shared" si="0"/>
        <v>0</v>
      </c>
      <c r="I18" s="12"/>
    </row>
    <row r="19" spans="1:9" x14ac:dyDescent="0.25">
      <c r="A19" s="13" t="s">
        <v>106</v>
      </c>
      <c r="B19" s="13"/>
      <c r="C19" s="12"/>
      <c r="D19" s="12"/>
      <c r="E19" s="12"/>
      <c r="F19" s="12"/>
      <c r="G19" s="12"/>
      <c r="H19" s="12">
        <f t="shared" si="0"/>
        <v>0</v>
      </c>
      <c r="I19" s="12"/>
    </row>
    <row r="20" spans="1:9" x14ac:dyDescent="0.25">
      <c r="A20" s="13" t="s">
        <v>22</v>
      </c>
      <c r="B20" s="13"/>
      <c r="C20" s="12"/>
      <c r="D20" s="12"/>
      <c r="E20" s="12"/>
      <c r="F20" s="12"/>
      <c r="G20" s="12"/>
      <c r="H20" s="12">
        <f t="shared" si="0"/>
        <v>0</v>
      </c>
      <c r="I20" s="12"/>
    </row>
    <row r="21" spans="1:9" x14ac:dyDescent="0.25">
      <c r="A21" s="15" t="s">
        <v>23</v>
      </c>
      <c r="B21" s="15"/>
      <c r="C21" s="12"/>
      <c r="D21" s="12"/>
      <c r="E21" s="12"/>
      <c r="F21" s="12"/>
      <c r="G21" s="12"/>
      <c r="H21" s="12">
        <f t="shared" si="0"/>
        <v>0</v>
      </c>
      <c r="I21" s="12"/>
    </row>
    <row r="22" spans="1:9" x14ac:dyDescent="0.25">
      <c r="A22" s="15" t="s">
        <v>26</v>
      </c>
      <c r="B22" s="15"/>
      <c r="C22" s="12">
        <f>SUM(C4:C21)</f>
        <v>0</v>
      </c>
      <c r="D22" s="12">
        <f>SUM(D4:D21)</f>
        <v>0</v>
      </c>
      <c r="E22" s="12">
        <f>SUM(E4:E21)</f>
        <v>0</v>
      </c>
      <c r="F22" s="12">
        <f>SUM(F4:F21)</f>
        <v>0</v>
      </c>
      <c r="G22" s="12">
        <f>SUM(G4:G21)</f>
        <v>0</v>
      </c>
      <c r="H22" s="12">
        <f>SUM(H4:H21)</f>
        <v>0</v>
      </c>
      <c r="I22" s="12">
        <f>SUM(I4:I21)</f>
        <v>0</v>
      </c>
    </row>
    <row r="23" spans="1:9" x14ac:dyDescent="0.25">
      <c r="A23" s="6"/>
      <c r="B23" s="6"/>
      <c r="C23" s="12"/>
      <c r="D23" s="12"/>
      <c r="E23" s="12"/>
      <c r="F23" s="12"/>
      <c r="G23" s="12"/>
      <c r="H23" s="12"/>
      <c r="I23" s="12"/>
    </row>
    <row r="24" spans="1:9" x14ac:dyDescent="0.25">
      <c r="A24" s="6"/>
      <c r="B24" s="6"/>
      <c r="C24" s="12"/>
      <c r="D24" s="12"/>
      <c r="E24" s="12"/>
      <c r="F24" s="12"/>
      <c r="G24" s="12"/>
      <c r="H24" s="12"/>
      <c r="I24" s="12"/>
    </row>
    <row r="25" spans="1:9" x14ac:dyDescent="0.25">
      <c r="C25" s="1"/>
      <c r="D25" s="1"/>
      <c r="E25" s="1"/>
      <c r="F25" s="1"/>
      <c r="G25" s="1"/>
      <c r="H25" s="1"/>
      <c r="I25" s="1"/>
    </row>
    <row r="26" spans="1:9" x14ac:dyDescent="0.25">
      <c r="C26" s="13" t="s">
        <v>0</v>
      </c>
      <c r="D26" s="13"/>
      <c r="E26" s="13"/>
      <c r="F26" s="13"/>
      <c r="G26" s="13"/>
      <c r="H26" s="13" t="s">
        <v>25</v>
      </c>
      <c r="I26" s="12" t="s">
        <v>8</v>
      </c>
    </row>
    <row r="27" spans="1:9" x14ac:dyDescent="0.25">
      <c r="C27" s="13" t="s">
        <v>1</v>
      </c>
      <c r="D27" s="13"/>
      <c r="E27" s="12" t="s">
        <v>4</v>
      </c>
      <c r="F27" s="13" t="s">
        <v>5</v>
      </c>
      <c r="G27" s="13"/>
      <c r="H27" s="13"/>
      <c r="I27" s="12"/>
    </row>
    <row r="28" spans="1:9" x14ac:dyDescent="0.25">
      <c r="C28" s="12" t="s">
        <v>3</v>
      </c>
      <c r="D28" s="12" t="s">
        <v>2</v>
      </c>
      <c r="E28" s="12" t="s">
        <v>4</v>
      </c>
      <c r="F28" s="12" t="s">
        <v>6</v>
      </c>
      <c r="G28" s="12" t="s">
        <v>7</v>
      </c>
      <c r="H28" s="12"/>
      <c r="I28" s="12" t="s">
        <v>8</v>
      </c>
    </row>
    <row r="29" spans="1:9" x14ac:dyDescent="0.25">
      <c r="A29" s="13" t="s">
        <v>91</v>
      </c>
      <c r="B29" s="13"/>
      <c r="C29" s="12">
        <f>C4/76.74</f>
        <v>0</v>
      </c>
      <c r="D29" s="12">
        <f>D4/161.73</f>
        <v>0</v>
      </c>
      <c r="E29" s="12">
        <f>E4/77.61</f>
        <v>0</v>
      </c>
      <c r="F29" s="12">
        <f>F4/41.16</f>
        <v>0</v>
      </c>
      <c r="G29" s="12">
        <f>G4/145.12</f>
        <v>0</v>
      </c>
      <c r="H29" s="12">
        <f>H4/502.36</f>
        <v>0</v>
      </c>
      <c r="I29" s="12">
        <f>I4/588.05</f>
        <v>0</v>
      </c>
    </row>
    <row r="30" spans="1:9" x14ac:dyDescent="0.25">
      <c r="A30" s="13" t="s">
        <v>92</v>
      </c>
      <c r="B30" s="13"/>
      <c r="C30" s="12">
        <f>C5/76.74</f>
        <v>0</v>
      </c>
      <c r="D30" s="12">
        <f t="shared" ref="D30:D46" si="1">D5/161.73</f>
        <v>0</v>
      </c>
      <c r="E30" s="12">
        <f t="shared" ref="E30:E46" si="2">E5/77.61</f>
        <v>0</v>
      </c>
      <c r="F30" s="12">
        <f t="shared" ref="F30:F46" si="3">F5/41.16</f>
        <v>0</v>
      </c>
      <c r="G30" s="12">
        <f t="shared" ref="G30:G49" si="4">G5/145.12</f>
        <v>0</v>
      </c>
      <c r="H30" s="12">
        <f t="shared" ref="H30:H46" si="5">H5/502.36</f>
        <v>0</v>
      </c>
      <c r="I30" s="12">
        <f t="shared" ref="I30:I46" si="6">I5/588.05</f>
        <v>0</v>
      </c>
    </row>
    <row r="31" spans="1:9" x14ac:dyDescent="0.25">
      <c r="A31" s="13" t="s">
        <v>93</v>
      </c>
      <c r="B31" s="13"/>
      <c r="C31" s="12">
        <f>C6/76.74</f>
        <v>0</v>
      </c>
      <c r="D31" s="12">
        <f t="shared" si="1"/>
        <v>0</v>
      </c>
      <c r="E31" s="12">
        <f t="shared" si="2"/>
        <v>0</v>
      </c>
      <c r="F31" s="12">
        <f t="shared" si="3"/>
        <v>0</v>
      </c>
      <c r="G31" s="12">
        <f t="shared" si="4"/>
        <v>0</v>
      </c>
      <c r="H31" s="12">
        <f t="shared" si="5"/>
        <v>0</v>
      </c>
      <c r="I31" s="12">
        <f t="shared" si="6"/>
        <v>0</v>
      </c>
    </row>
    <row r="32" spans="1:9" x14ac:dyDescent="0.25">
      <c r="A32" s="13" t="s">
        <v>94</v>
      </c>
      <c r="B32" s="13"/>
      <c r="C32" s="12">
        <f>C7/76.74</f>
        <v>0</v>
      </c>
      <c r="D32" s="12">
        <f t="shared" si="1"/>
        <v>0</v>
      </c>
      <c r="E32" s="12">
        <f t="shared" si="2"/>
        <v>0</v>
      </c>
      <c r="F32" s="12">
        <f t="shared" si="3"/>
        <v>0</v>
      </c>
      <c r="G32" s="12">
        <f t="shared" si="4"/>
        <v>0</v>
      </c>
      <c r="H32" s="12">
        <f t="shared" si="5"/>
        <v>0</v>
      </c>
      <c r="I32" s="12">
        <f t="shared" si="6"/>
        <v>0</v>
      </c>
    </row>
    <row r="33" spans="1:9" x14ac:dyDescent="0.25">
      <c r="A33" s="15" t="s">
        <v>95</v>
      </c>
      <c r="B33" s="15"/>
      <c r="C33" s="12">
        <f>C8/76.74</f>
        <v>0</v>
      </c>
      <c r="D33" s="12">
        <f t="shared" si="1"/>
        <v>0</v>
      </c>
      <c r="E33" s="12">
        <f t="shared" si="2"/>
        <v>0</v>
      </c>
      <c r="F33" s="12">
        <f t="shared" si="3"/>
        <v>0</v>
      </c>
      <c r="G33" s="12">
        <f t="shared" si="4"/>
        <v>0</v>
      </c>
      <c r="H33" s="12">
        <f t="shared" si="5"/>
        <v>0</v>
      </c>
      <c r="I33" s="12">
        <f t="shared" si="6"/>
        <v>0</v>
      </c>
    </row>
    <row r="34" spans="1:9" x14ac:dyDescent="0.25">
      <c r="A34" s="15" t="s">
        <v>96</v>
      </c>
      <c r="B34" s="15"/>
      <c r="C34" s="12">
        <f>C9/76.74</f>
        <v>0</v>
      </c>
      <c r="D34" s="12">
        <f t="shared" si="1"/>
        <v>0</v>
      </c>
      <c r="E34" s="12">
        <f t="shared" si="2"/>
        <v>0</v>
      </c>
      <c r="F34" s="12">
        <f t="shared" si="3"/>
        <v>0</v>
      </c>
      <c r="G34" s="12">
        <f t="shared" si="4"/>
        <v>0</v>
      </c>
      <c r="H34" s="12">
        <f t="shared" si="5"/>
        <v>0</v>
      </c>
      <c r="I34" s="12">
        <f t="shared" si="6"/>
        <v>0</v>
      </c>
    </row>
    <row r="35" spans="1:9" x14ac:dyDescent="0.25">
      <c r="A35" s="17" t="s">
        <v>97</v>
      </c>
      <c r="B35" s="17"/>
      <c r="C35" s="12">
        <f>C10/76.74</f>
        <v>0</v>
      </c>
      <c r="D35" s="12">
        <f t="shared" si="1"/>
        <v>0</v>
      </c>
      <c r="E35" s="12">
        <f t="shared" si="2"/>
        <v>0</v>
      </c>
      <c r="F35" s="12">
        <f t="shared" si="3"/>
        <v>0</v>
      </c>
      <c r="G35" s="12">
        <f t="shared" si="4"/>
        <v>0</v>
      </c>
      <c r="H35" s="12">
        <f t="shared" si="5"/>
        <v>0</v>
      </c>
      <c r="I35" s="12">
        <f t="shared" si="6"/>
        <v>0</v>
      </c>
    </row>
    <row r="36" spans="1:9" x14ac:dyDescent="0.25">
      <c r="A36" s="15" t="s">
        <v>98</v>
      </c>
      <c r="B36" s="15"/>
      <c r="C36" s="12">
        <f>C11/76.74</f>
        <v>0</v>
      </c>
      <c r="D36" s="12">
        <f t="shared" si="1"/>
        <v>0</v>
      </c>
      <c r="E36" s="12">
        <f t="shared" si="2"/>
        <v>0</v>
      </c>
      <c r="F36" s="12">
        <f t="shared" si="3"/>
        <v>0</v>
      </c>
      <c r="G36" s="12">
        <f t="shared" si="4"/>
        <v>0</v>
      </c>
      <c r="H36" s="12">
        <f t="shared" si="5"/>
        <v>0</v>
      </c>
      <c r="I36" s="12">
        <f t="shared" si="6"/>
        <v>0</v>
      </c>
    </row>
    <row r="37" spans="1:9" x14ac:dyDescent="0.25">
      <c r="A37" s="15" t="s">
        <v>99</v>
      </c>
      <c r="B37" s="15"/>
      <c r="C37" s="12">
        <f>C12/76.74</f>
        <v>0</v>
      </c>
      <c r="D37" s="12">
        <f t="shared" si="1"/>
        <v>0</v>
      </c>
      <c r="E37" s="12">
        <f t="shared" si="2"/>
        <v>0</v>
      </c>
      <c r="F37" s="12">
        <f t="shared" si="3"/>
        <v>0</v>
      </c>
      <c r="G37" s="12">
        <f t="shared" si="4"/>
        <v>0</v>
      </c>
      <c r="H37" s="12">
        <f t="shared" si="5"/>
        <v>0</v>
      </c>
      <c r="I37" s="12">
        <f t="shared" si="6"/>
        <v>0</v>
      </c>
    </row>
    <row r="38" spans="1:9" x14ac:dyDescent="0.25">
      <c r="A38" s="15" t="s">
        <v>100</v>
      </c>
      <c r="B38" s="15"/>
      <c r="C38" s="12">
        <f>C13/76.74</f>
        <v>0</v>
      </c>
      <c r="D38" s="12">
        <f t="shared" si="1"/>
        <v>0</v>
      </c>
      <c r="E38" s="12">
        <f t="shared" si="2"/>
        <v>0</v>
      </c>
      <c r="F38" s="12">
        <f t="shared" si="3"/>
        <v>0</v>
      </c>
      <c r="G38" s="12">
        <f t="shared" si="4"/>
        <v>0</v>
      </c>
      <c r="H38" s="12">
        <f t="shared" si="5"/>
        <v>0</v>
      </c>
      <c r="I38" s="12">
        <f t="shared" si="6"/>
        <v>0</v>
      </c>
    </row>
    <row r="39" spans="1:9" x14ac:dyDescent="0.25">
      <c r="A39" s="15" t="s">
        <v>101</v>
      </c>
      <c r="B39" s="15"/>
      <c r="C39" s="12">
        <f>C14/76.74</f>
        <v>0</v>
      </c>
      <c r="D39" s="12">
        <f t="shared" si="1"/>
        <v>0</v>
      </c>
      <c r="E39" s="12">
        <f t="shared" si="2"/>
        <v>0</v>
      </c>
      <c r="F39" s="12">
        <f t="shared" si="3"/>
        <v>0</v>
      </c>
      <c r="G39" s="12">
        <f t="shared" si="4"/>
        <v>0</v>
      </c>
      <c r="H39" s="12">
        <f t="shared" si="5"/>
        <v>0</v>
      </c>
      <c r="I39" s="12">
        <f t="shared" si="6"/>
        <v>0</v>
      </c>
    </row>
    <row r="40" spans="1:9" x14ac:dyDescent="0.25">
      <c r="A40" s="15" t="s">
        <v>102</v>
      </c>
      <c r="B40" s="15"/>
      <c r="C40" s="12">
        <f>C15/76.74</f>
        <v>0</v>
      </c>
      <c r="D40" s="12">
        <f t="shared" si="1"/>
        <v>0</v>
      </c>
      <c r="E40" s="12">
        <f t="shared" si="2"/>
        <v>0</v>
      </c>
      <c r="F40" s="12">
        <f t="shared" si="3"/>
        <v>0</v>
      </c>
      <c r="G40" s="12">
        <f t="shared" si="4"/>
        <v>0</v>
      </c>
      <c r="H40" s="12">
        <f t="shared" si="5"/>
        <v>0</v>
      </c>
      <c r="I40" s="12">
        <f t="shared" si="6"/>
        <v>0</v>
      </c>
    </row>
    <row r="41" spans="1:9" x14ac:dyDescent="0.25">
      <c r="A41" s="13" t="s">
        <v>103</v>
      </c>
      <c r="B41" s="13"/>
      <c r="C41" s="12">
        <f>C16/76.74</f>
        <v>0</v>
      </c>
      <c r="D41" s="12">
        <f t="shared" si="1"/>
        <v>0</v>
      </c>
      <c r="E41" s="12">
        <f t="shared" si="2"/>
        <v>0</v>
      </c>
      <c r="F41" s="12">
        <f t="shared" si="3"/>
        <v>0</v>
      </c>
      <c r="G41" s="12">
        <f t="shared" si="4"/>
        <v>0</v>
      </c>
      <c r="H41" s="12">
        <f t="shared" si="5"/>
        <v>0</v>
      </c>
      <c r="I41" s="12">
        <f t="shared" si="6"/>
        <v>0</v>
      </c>
    </row>
    <row r="42" spans="1:9" x14ac:dyDescent="0.25">
      <c r="A42" s="13" t="s">
        <v>104</v>
      </c>
      <c r="B42" s="13"/>
      <c r="C42" s="12">
        <f t="shared" ref="C42:C46" si="7">C20/76.74</f>
        <v>0</v>
      </c>
      <c r="D42" s="12">
        <f t="shared" si="1"/>
        <v>0</v>
      </c>
      <c r="E42" s="12">
        <f t="shared" si="2"/>
        <v>0</v>
      </c>
      <c r="F42" s="12">
        <f t="shared" si="3"/>
        <v>0</v>
      </c>
      <c r="G42" s="12">
        <f t="shared" si="4"/>
        <v>0</v>
      </c>
      <c r="H42" s="12">
        <f t="shared" si="5"/>
        <v>0</v>
      </c>
      <c r="I42" s="12">
        <f t="shared" si="6"/>
        <v>0</v>
      </c>
    </row>
    <row r="43" spans="1:9" x14ac:dyDescent="0.25">
      <c r="A43" s="13" t="s">
        <v>105</v>
      </c>
      <c r="B43" s="13"/>
      <c r="C43" s="12">
        <f t="shared" si="7"/>
        <v>0</v>
      </c>
      <c r="D43" s="12">
        <f t="shared" si="1"/>
        <v>0</v>
      </c>
      <c r="E43" s="12">
        <f t="shared" si="2"/>
        <v>0</v>
      </c>
      <c r="F43" s="12">
        <f t="shared" si="3"/>
        <v>0</v>
      </c>
      <c r="G43" s="12">
        <f t="shared" si="4"/>
        <v>0</v>
      </c>
      <c r="H43" s="12">
        <f t="shared" si="5"/>
        <v>0</v>
      </c>
      <c r="I43" s="12">
        <f t="shared" si="6"/>
        <v>0</v>
      </c>
    </row>
    <row r="44" spans="1:9" x14ac:dyDescent="0.25">
      <c r="A44" s="13" t="s">
        <v>106</v>
      </c>
      <c r="B44" s="13"/>
      <c r="C44" s="12">
        <f t="shared" si="7"/>
        <v>0</v>
      </c>
      <c r="D44" s="12">
        <f t="shared" si="1"/>
        <v>0</v>
      </c>
      <c r="E44" s="12">
        <f t="shared" si="2"/>
        <v>0</v>
      </c>
      <c r="F44" s="12">
        <f t="shared" si="3"/>
        <v>0</v>
      </c>
      <c r="G44" s="12">
        <f t="shared" si="4"/>
        <v>0</v>
      </c>
      <c r="H44" s="12">
        <f t="shared" si="5"/>
        <v>0</v>
      </c>
      <c r="I44" s="12">
        <f t="shared" si="6"/>
        <v>0</v>
      </c>
    </row>
    <row r="45" spans="1:9" x14ac:dyDescent="0.25">
      <c r="A45" s="13" t="s">
        <v>22</v>
      </c>
      <c r="B45" s="13"/>
      <c r="C45" s="12">
        <f t="shared" si="7"/>
        <v>0</v>
      </c>
      <c r="D45" s="12">
        <f t="shared" si="1"/>
        <v>0</v>
      </c>
      <c r="E45" s="12">
        <f t="shared" si="2"/>
        <v>0</v>
      </c>
      <c r="F45" s="12">
        <f t="shared" si="3"/>
        <v>0</v>
      </c>
      <c r="G45" s="12">
        <f t="shared" si="4"/>
        <v>0</v>
      </c>
      <c r="H45" s="12">
        <f t="shared" si="5"/>
        <v>0</v>
      </c>
      <c r="I45" s="12">
        <f t="shared" si="6"/>
        <v>0</v>
      </c>
    </row>
    <row r="46" spans="1:9" x14ac:dyDescent="0.25">
      <c r="A46" s="15" t="s">
        <v>23</v>
      </c>
      <c r="B46" s="15"/>
      <c r="C46" s="12">
        <f t="shared" si="7"/>
        <v>0</v>
      </c>
      <c r="D46" s="12">
        <f t="shared" si="1"/>
        <v>0</v>
      </c>
      <c r="E46" s="12">
        <f t="shared" si="2"/>
        <v>0</v>
      </c>
      <c r="F46" s="12">
        <f t="shared" si="3"/>
        <v>0</v>
      </c>
      <c r="G46" s="12">
        <f t="shared" si="4"/>
        <v>0</v>
      </c>
      <c r="H46" s="12">
        <f t="shared" si="5"/>
        <v>0</v>
      </c>
      <c r="I46" s="12">
        <f t="shared" si="6"/>
        <v>0</v>
      </c>
    </row>
    <row r="47" spans="1:9" x14ac:dyDescent="0.25">
      <c r="G47" s="12"/>
    </row>
    <row r="48" spans="1:9" x14ac:dyDescent="0.25">
      <c r="G48" s="12"/>
    </row>
    <row r="49" spans="7:7" x14ac:dyDescent="0.25">
      <c r="G49" s="12"/>
    </row>
  </sheetData>
  <mergeCells count="46">
    <mergeCell ref="A44:B44"/>
    <mergeCell ref="A45:B45"/>
    <mergeCell ref="A46:B46"/>
    <mergeCell ref="A41:B41"/>
    <mergeCell ref="A42:B42"/>
    <mergeCell ref="A43:B43"/>
    <mergeCell ref="A17:B17"/>
    <mergeCell ref="A18:B18"/>
    <mergeCell ref="A19:B19"/>
    <mergeCell ref="A35:B35"/>
    <mergeCell ref="A36:B36"/>
    <mergeCell ref="A37:B37"/>
    <mergeCell ref="A38:B38"/>
    <mergeCell ref="A39:B39"/>
    <mergeCell ref="A40:B40"/>
    <mergeCell ref="A29:B29"/>
    <mergeCell ref="A30:B30"/>
    <mergeCell ref="A31:B31"/>
    <mergeCell ref="A32:B32"/>
    <mergeCell ref="A33:B33"/>
    <mergeCell ref="A34:B34"/>
    <mergeCell ref="A20:B20"/>
    <mergeCell ref="A21:B21"/>
    <mergeCell ref="A22:B22"/>
    <mergeCell ref="C26:G26"/>
    <mergeCell ref="H26:H27"/>
    <mergeCell ref="C27:D27"/>
    <mergeCell ref="F27:G27"/>
    <mergeCell ref="A11:B11"/>
    <mergeCell ref="A12:B12"/>
    <mergeCell ref="A13:B13"/>
    <mergeCell ref="A14:B14"/>
    <mergeCell ref="A15:B15"/>
    <mergeCell ref="A16:B16"/>
    <mergeCell ref="A5:B5"/>
    <mergeCell ref="A6:B6"/>
    <mergeCell ref="A7:B7"/>
    <mergeCell ref="A8:B8"/>
    <mergeCell ref="A9:B9"/>
    <mergeCell ref="A10:B10"/>
    <mergeCell ref="A1:B2"/>
    <mergeCell ref="C1:G1"/>
    <mergeCell ref="H1:H2"/>
    <mergeCell ref="C2:D2"/>
    <mergeCell ref="F2:G2"/>
    <mergeCell ref="A4:B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F21" sqref="F21"/>
    </sheetView>
  </sheetViews>
  <sheetFormatPr defaultRowHeight="15" x14ac:dyDescent="0.25"/>
  <cols>
    <col min="2" max="2" width="21" customWidth="1"/>
    <col min="3" max="8" width="12" bestFit="1" customWidth="1"/>
    <col min="9" max="9" width="17.42578125" bestFit="1" customWidth="1"/>
  </cols>
  <sheetData>
    <row r="1" spans="1:10" x14ac:dyDescent="0.25">
      <c r="A1" s="14" t="s">
        <v>40</v>
      </c>
      <c r="B1" s="14"/>
      <c r="C1" s="13" t="s">
        <v>0</v>
      </c>
      <c r="D1" s="13"/>
      <c r="E1" s="13"/>
      <c r="F1" s="13"/>
      <c r="G1" s="13"/>
      <c r="H1" s="13" t="s">
        <v>25</v>
      </c>
      <c r="I1" s="12" t="s">
        <v>8</v>
      </c>
      <c r="J1" s="6"/>
    </row>
    <row r="2" spans="1:10" x14ac:dyDescent="0.25">
      <c r="A2" s="14"/>
      <c r="B2" s="14"/>
      <c r="C2" s="13" t="s">
        <v>1</v>
      </c>
      <c r="D2" s="13"/>
      <c r="E2" s="12" t="s">
        <v>4</v>
      </c>
      <c r="F2" s="13" t="s">
        <v>5</v>
      </c>
      <c r="G2" s="13"/>
      <c r="H2" s="13"/>
      <c r="I2" s="12"/>
      <c r="J2" s="6"/>
    </row>
    <row r="3" spans="1:10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  <c r="J3" s="6"/>
    </row>
    <row r="4" spans="1:10" x14ac:dyDescent="0.25">
      <c r="A4" s="6"/>
      <c r="B4" s="6" t="s">
        <v>41</v>
      </c>
      <c r="C4" s="12">
        <v>111</v>
      </c>
      <c r="D4" s="12">
        <v>656</v>
      </c>
      <c r="E4" s="12">
        <v>460</v>
      </c>
      <c r="F4" s="12">
        <v>263</v>
      </c>
      <c r="G4" s="12">
        <v>1247</v>
      </c>
      <c r="H4" s="12">
        <f>SUM(C4:G4)</f>
        <v>2737</v>
      </c>
      <c r="I4" s="12">
        <v>20445</v>
      </c>
      <c r="J4" s="6"/>
    </row>
    <row r="5" spans="1:10" x14ac:dyDescent="0.25">
      <c r="A5" s="6"/>
      <c r="B5" s="6" t="s">
        <v>42</v>
      </c>
      <c r="C5" s="12">
        <v>7561</v>
      </c>
      <c r="D5" s="12">
        <v>15510</v>
      </c>
      <c r="E5" s="12">
        <v>7299</v>
      </c>
      <c r="F5" s="12">
        <v>3853</v>
      </c>
      <c r="G5" s="12">
        <v>13264</v>
      </c>
      <c r="H5" s="12">
        <f>SUM(C5:G5)</f>
        <v>47487</v>
      </c>
      <c r="I5" s="12">
        <v>38350</v>
      </c>
      <c r="J5" s="6"/>
    </row>
    <row r="6" spans="1:10" x14ac:dyDescent="0.25">
      <c r="A6" s="6"/>
      <c r="B6" s="6" t="s">
        <v>23</v>
      </c>
      <c r="C6" s="12">
        <v>2</v>
      </c>
      <c r="D6" s="12">
        <v>7</v>
      </c>
      <c r="E6" s="12">
        <v>2</v>
      </c>
      <c r="F6" s="12">
        <v>0</v>
      </c>
      <c r="G6" s="12">
        <v>1</v>
      </c>
      <c r="H6" s="12">
        <v>12</v>
      </c>
      <c r="I6" s="12">
        <v>10</v>
      </c>
      <c r="J6" s="6"/>
    </row>
    <row r="7" spans="1:10" x14ac:dyDescent="0.25">
      <c r="A7" s="6"/>
      <c r="B7" s="6" t="s">
        <v>26</v>
      </c>
      <c r="C7" s="12">
        <f>SUM(C4:C6)</f>
        <v>7674</v>
      </c>
      <c r="D7" s="12">
        <f t="shared" ref="D7:I7" si="0">SUM(D4:D6)</f>
        <v>16173</v>
      </c>
      <c r="E7" s="12">
        <f t="shared" si="0"/>
        <v>7761</v>
      </c>
      <c r="F7" s="12">
        <f t="shared" si="0"/>
        <v>4116</v>
      </c>
      <c r="G7" s="12">
        <f t="shared" si="0"/>
        <v>14512</v>
      </c>
      <c r="H7" s="12">
        <f t="shared" si="0"/>
        <v>50236</v>
      </c>
      <c r="I7" s="12">
        <f t="shared" si="0"/>
        <v>58805</v>
      </c>
      <c r="J7" s="6"/>
    </row>
    <row r="8" spans="1:10" x14ac:dyDescent="0.25">
      <c r="A8" s="6"/>
      <c r="B8" s="6"/>
      <c r="C8" s="12"/>
      <c r="D8" s="12"/>
      <c r="E8" s="12"/>
      <c r="F8" s="12"/>
      <c r="G8" s="12"/>
      <c r="H8" s="12"/>
      <c r="I8" s="12"/>
      <c r="J8" s="6"/>
    </row>
    <row r="9" spans="1:10" x14ac:dyDescent="0.25">
      <c r="A9" s="6"/>
      <c r="B9" s="6"/>
      <c r="C9" s="12"/>
      <c r="D9" s="12"/>
      <c r="E9" s="12"/>
      <c r="F9" s="12"/>
      <c r="G9" s="12"/>
      <c r="H9" s="12"/>
      <c r="I9" s="12"/>
      <c r="J9" s="12"/>
    </row>
    <row r="10" spans="1:10" x14ac:dyDescent="0.25">
      <c r="A10" s="6"/>
      <c r="B10" s="6"/>
      <c r="C10" s="12"/>
      <c r="D10" s="12"/>
      <c r="E10" s="12"/>
      <c r="F10" s="12"/>
      <c r="G10" s="12"/>
      <c r="H10" s="12"/>
      <c r="I10" s="12"/>
      <c r="J10" s="12"/>
    </row>
    <row r="11" spans="1:10" x14ac:dyDescent="0.25">
      <c r="C11" s="13" t="s">
        <v>0</v>
      </c>
      <c r="D11" s="13"/>
      <c r="E11" s="13"/>
      <c r="F11" s="13"/>
      <c r="G11" s="13"/>
      <c r="H11" s="13" t="s">
        <v>25</v>
      </c>
      <c r="I11" s="12" t="s">
        <v>8</v>
      </c>
    </row>
    <row r="12" spans="1:10" x14ac:dyDescent="0.25">
      <c r="C12" s="13" t="s">
        <v>1</v>
      </c>
      <c r="D12" s="13"/>
      <c r="E12" s="12" t="s">
        <v>4</v>
      </c>
      <c r="F12" s="13" t="s">
        <v>5</v>
      </c>
      <c r="G12" s="13"/>
      <c r="H12" s="13"/>
      <c r="I12" s="12"/>
    </row>
    <row r="13" spans="1:10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10" x14ac:dyDescent="0.25">
      <c r="B14" s="6" t="s">
        <v>41</v>
      </c>
      <c r="C14" s="12">
        <f>111/76.74</f>
        <v>1.4464425332290853</v>
      </c>
      <c r="D14" s="12">
        <f>656/161.73</f>
        <v>4.0561429543065604</v>
      </c>
      <c r="E14" s="12">
        <f>460/77.61</f>
        <v>5.9270712537044199</v>
      </c>
      <c r="F14" s="12">
        <f>263/41.16</f>
        <v>6.3896987366375129</v>
      </c>
      <c r="G14" s="12">
        <f>1247/145.12</f>
        <v>8.5928886438809258</v>
      </c>
      <c r="H14" s="12">
        <f>2737/502.36</f>
        <v>5.4482840990524721</v>
      </c>
      <c r="I14" s="12">
        <f>20445/588.05</f>
        <v>34.767451747300399</v>
      </c>
    </row>
    <row r="15" spans="1:10" x14ac:dyDescent="0.25">
      <c r="B15" s="6" t="s">
        <v>42</v>
      </c>
      <c r="C15" s="12">
        <f>7561/76.74</f>
        <v>98.52749543914517</v>
      </c>
      <c r="D15" s="12">
        <f>15510/161.73</f>
        <v>95.900575032461518</v>
      </c>
      <c r="E15" s="12">
        <f>7299/77.61</f>
        <v>94.047158871279478</v>
      </c>
      <c r="F15" s="12">
        <f>3853/41.16</f>
        <v>93.610301263362501</v>
      </c>
      <c r="G15" s="12">
        <f>13264/145.12</f>
        <v>91.40022050716648</v>
      </c>
      <c r="H15" s="12">
        <f>47487/502.36</f>
        <v>94.527828648777771</v>
      </c>
      <c r="I15" s="12">
        <f>38350/588.05</f>
        <v>65.215542896012252</v>
      </c>
    </row>
    <row r="16" spans="1:10" x14ac:dyDescent="0.25">
      <c r="B16" s="6" t="s">
        <v>23</v>
      </c>
      <c r="C16" s="12">
        <f>2/76.74</f>
        <v>2.6062027625749284E-2</v>
      </c>
      <c r="D16" s="12">
        <f>7/161.73</f>
        <v>4.3282013231929761E-2</v>
      </c>
      <c r="E16" s="12">
        <f>2/77.61</f>
        <v>2.5769875016106173E-2</v>
      </c>
      <c r="F16" s="12">
        <v>0</v>
      </c>
      <c r="G16" s="12">
        <f>1/145.12</f>
        <v>6.890848952590959E-3</v>
      </c>
      <c r="H16" s="12">
        <f>12/502.36</f>
        <v>2.3887252169758739E-2</v>
      </c>
      <c r="I16" s="12">
        <f>10/588.08</f>
        <v>1.7004489185144876E-2</v>
      </c>
    </row>
    <row r="17" spans="2:9" x14ac:dyDescent="0.25">
      <c r="B17" s="6"/>
      <c r="C17" s="12"/>
      <c r="D17" s="12"/>
      <c r="E17" s="12"/>
      <c r="F17" s="12"/>
      <c r="G17" s="12"/>
      <c r="H17" s="12"/>
      <c r="I17" s="12"/>
    </row>
    <row r="18" spans="2:9" x14ac:dyDescent="0.25">
      <c r="B18" s="6"/>
      <c r="C18" s="12"/>
      <c r="D18" s="12"/>
      <c r="E18" s="12"/>
      <c r="F18" s="12"/>
      <c r="G18" s="12"/>
      <c r="H18" s="12"/>
      <c r="I18" s="12"/>
    </row>
    <row r="19" spans="2:9" x14ac:dyDescent="0.25">
      <c r="B19" s="6"/>
      <c r="C19" s="12"/>
      <c r="D19" s="12"/>
      <c r="E19" s="12"/>
      <c r="F19" s="12"/>
      <c r="G19" s="12"/>
      <c r="H19" s="12"/>
      <c r="I19" s="12"/>
    </row>
    <row r="20" spans="2:9" x14ac:dyDescent="0.25">
      <c r="B20" s="8"/>
      <c r="C20" s="12"/>
      <c r="D20" s="12"/>
      <c r="E20" s="12"/>
      <c r="F20" s="12"/>
      <c r="G20" s="12"/>
      <c r="H20" s="12"/>
      <c r="I20" s="9"/>
    </row>
    <row r="21" spans="2:9" x14ac:dyDescent="0.25">
      <c r="B21" s="8"/>
      <c r="C21" s="12"/>
      <c r="D21" s="12"/>
      <c r="E21" s="12"/>
      <c r="F21" s="12"/>
      <c r="G21" s="12"/>
      <c r="H21" s="12"/>
      <c r="I21" s="12"/>
    </row>
    <row r="22" spans="2:9" x14ac:dyDescent="0.25">
      <c r="B22" s="8"/>
      <c r="C22" s="12"/>
      <c r="D22" s="12"/>
      <c r="E22" s="12"/>
      <c r="F22" s="12"/>
      <c r="G22" s="12"/>
      <c r="H22" s="12"/>
      <c r="I22" s="12"/>
    </row>
    <row r="23" spans="2:9" x14ac:dyDescent="0.25">
      <c r="B23" s="6"/>
      <c r="C23" s="12"/>
      <c r="D23" s="12"/>
      <c r="E23" s="12"/>
      <c r="F23" s="12"/>
      <c r="G23" s="12"/>
      <c r="H23" s="12"/>
      <c r="I23" s="12"/>
    </row>
    <row r="24" spans="2:9" x14ac:dyDescent="0.25">
      <c r="B24" s="6"/>
      <c r="C24" s="12"/>
      <c r="D24" s="12"/>
      <c r="E24" s="12"/>
      <c r="F24" s="12"/>
      <c r="G24" s="12"/>
      <c r="H24" s="12"/>
      <c r="I24" s="12"/>
    </row>
    <row r="25" spans="2:9" x14ac:dyDescent="0.25">
      <c r="B25" s="8"/>
      <c r="C25" s="12"/>
      <c r="D25" s="12"/>
      <c r="E25" s="12"/>
      <c r="F25" s="12"/>
      <c r="G25" s="12"/>
      <c r="H25" s="12"/>
      <c r="I25" s="12"/>
    </row>
    <row r="26" spans="2:9" x14ac:dyDescent="0.25">
      <c r="B26" s="8"/>
      <c r="C26" s="12"/>
      <c r="D26" s="12"/>
      <c r="E26" s="12"/>
      <c r="F26" s="12"/>
      <c r="G26" s="12"/>
      <c r="H26" s="12"/>
      <c r="I26" s="12"/>
    </row>
    <row r="27" spans="2:9" x14ac:dyDescent="0.25">
      <c r="B27" s="8"/>
      <c r="C27" s="12"/>
      <c r="D27" s="12"/>
      <c r="E27" s="12"/>
      <c r="F27" s="12"/>
      <c r="G27" s="12"/>
      <c r="H27" s="12"/>
      <c r="I27" s="12"/>
    </row>
    <row r="28" spans="2:9" x14ac:dyDescent="0.25">
      <c r="B28" s="8"/>
      <c r="C28" s="12"/>
      <c r="D28" s="12"/>
      <c r="E28" s="12"/>
      <c r="F28" s="12"/>
      <c r="G28" s="12"/>
      <c r="H28" s="12"/>
      <c r="I28" s="12"/>
    </row>
    <row r="29" spans="2:9" x14ac:dyDescent="0.25">
      <c r="B29" s="8"/>
      <c r="C29" s="12"/>
      <c r="D29" s="12"/>
      <c r="E29" s="12"/>
      <c r="F29" s="12"/>
      <c r="G29" s="12"/>
      <c r="H29" s="12"/>
      <c r="I29" s="12"/>
    </row>
  </sheetData>
  <mergeCells count="9">
    <mergeCell ref="A1:B2"/>
    <mergeCell ref="C1:G1"/>
    <mergeCell ref="H1:H2"/>
    <mergeCell ref="C2:D2"/>
    <mergeCell ref="F2:G2"/>
    <mergeCell ref="C11:G11"/>
    <mergeCell ref="H11:H12"/>
    <mergeCell ref="C12:D12"/>
    <mergeCell ref="F12:G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I23" sqref="I23"/>
    </sheetView>
  </sheetViews>
  <sheetFormatPr defaultRowHeight="15" x14ac:dyDescent="0.25"/>
  <cols>
    <col min="2" max="2" width="7.7109375" customWidth="1"/>
    <col min="3" max="8" width="12" bestFit="1" customWidth="1"/>
    <col min="9" max="9" width="17.42578125" bestFit="1" customWidth="1"/>
  </cols>
  <sheetData>
    <row r="1" spans="1:10" x14ac:dyDescent="0.25">
      <c r="A1" s="14" t="s">
        <v>43</v>
      </c>
      <c r="B1" s="14"/>
      <c r="C1" s="13" t="s">
        <v>0</v>
      </c>
      <c r="D1" s="13"/>
      <c r="E1" s="13"/>
      <c r="F1" s="13"/>
      <c r="G1" s="13"/>
      <c r="H1" s="13" t="s">
        <v>25</v>
      </c>
      <c r="I1" s="12" t="s">
        <v>8</v>
      </c>
      <c r="J1" s="6"/>
    </row>
    <row r="2" spans="1:10" x14ac:dyDescent="0.25">
      <c r="A2" s="14"/>
      <c r="B2" s="14"/>
      <c r="C2" s="13" t="s">
        <v>1</v>
      </c>
      <c r="D2" s="13"/>
      <c r="E2" s="12" t="s">
        <v>4</v>
      </c>
      <c r="F2" s="13" t="s">
        <v>5</v>
      </c>
      <c r="G2" s="13"/>
      <c r="H2" s="13"/>
      <c r="I2" s="12"/>
      <c r="J2" s="6"/>
    </row>
    <row r="3" spans="1:10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  <c r="J3" s="6"/>
    </row>
    <row r="4" spans="1:10" x14ac:dyDescent="0.25">
      <c r="A4" s="6"/>
      <c r="B4" s="6" t="s">
        <v>41</v>
      </c>
      <c r="C4" s="12">
        <v>3820</v>
      </c>
      <c r="D4" s="12">
        <v>9292</v>
      </c>
      <c r="E4" s="12">
        <v>4836</v>
      </c>
      <c r="F4" s="12">
        <v>2554</v>
      </c>
      <c r="G4" s="12">
        <v>8978</v>
      </c>
      <c r="H4" s="12">
        <f>SUM(C4:G4)</f>
        <v>29480</v>
      </c>
      <c r="I4" s="12">
        <v>40647</v>
      </c>
      <c r="J4" s="6"/>
    </row>
    <row r="5" spans="1:10" x14ac:dyDescent="0.25">
      <c r="A5" s="6"/>
      <c r="B5" s="6" t="s">
        <v>42</v>
      </c>
      <c r="C5" s="12">
        <v>3849</v>
      </c>
      <c r="D5" s="12">
        <v>6867</v>
      </c>
      <c r="E5" s="12">
        <v>2921</v>
      </c>
      <c r="F5" s="12">
        <v>1560</v>
      </c>
      <c r="G5" s="12">
        <v>5526</v>
      </c>
      <c r="H5" s="12">
        <f>SUM(C5:G5)</f>
        <v>20723</v>
      </c>
      <c r="I5" s="12">
        <v>18136</v>
      </c>
      <c r="J5" s="6"/>
    </row>
    <row r="6" spans="1:10" x14ac:dyDescent="0.25">
      <c r="A6" s="6"/>
      <c r="B6" s="6" t="s">
        <v>23</v>
      </c>
      <c r="C6" s="12">
        <v>5</v>
      </c>
      <c r="D6" s="12">
        <v>14</v>
      </c>
      <c r="E6" s="12">
        <v>4</v>
      </c>
      <c r="F6" s="12">
        <v>2</v>
      </c>
      <c r="G6" s="12">
        <v>8</v>
      </c>
      <c r="H6" s="12">
        <f>SUM(C6:G6)</f>
        <v>33</v>
      </c>
      <c r="I6" s="12">
        <v>22</v>
      </c>
      <c r="J6" s="6"/>
    </row>
    <row r="7" spans="1:10" x14ac:dyDescent="0.25">
      <c r="A7" s="6"/>
      <c r="B7" s="6" t="s">
        <v>26</v>
      </c>
      <c r="C7" s="12">
        <f>SUM(C4:C6)</f>
        <v>7674</v>
      </c>
      <c r="D7" s="12">
        <f t="shared" ref="D7:G7" si="0">SUM(D4:D6)</f>
        <v>16173</v>
      </c>
      <c r="E7" s="12">
        <f t="shared" si="0"/>
        <v>7761</v>
      </c>
      <c r="F7" s="12">
        <f t="shared" si="0"/>
        <v>4116</v>
      </c>
      <c r="G7" s="12">
        <f t="shared" si="0"/>
        <v>14512</v>
      </c>
      <c r="H7" s="12">
        <f t="shared" ref="D7:I7" si="1">SUM(H4:H6)</f>
        <v>50236</v>
      </c>
      <c r="I7" s="12">
        <f t="shared" si="1"/>
        <v>58805</v>
      </c>
      <c r="J7" s="6"/>
    </row>
    <row r="8" spans="1:10" x14ac:dyDescent="0.25">
      <c r="A8" s="6"/>
      <c r="B8" s="6"/>
      <c r="C8" s="12"/>
      <c r="D8" s="12"/>
      <c r="E8" s="12"/>
      <c r="F8" s="12"/>
      <c r="G8" s="12"/>
      <c r="H8" s="12"/>
      <c r="I8" s="12"/>
      <c r="J8" s="6"/>
    </row>
    <row r="9" spans="1:10" x14ac:dyDescent="0.25">
      <c r="A9" s="6"/>
      <c r="B9" s="6"/>
      <c r="C9" s="12"/>
      <c r="D9" s="12"/>
      <c r="E9" s="12"/>
      <c r="F9" s="12"/>
      <c r="G9" s="12"/>
      <c r="H9" s="12"/>
      <c r="I9" s="12"/>
      <c r="J9" s="12"/>
    </row>
    <row r="10" spans="1:10" x14ac:dyDescent="0.25">
      <c r="A10" s="6"/>
      <c r="B10" s="6"/>
      <c r="C10" s="12"/>
      <c r="D10" s="12"/>
      <c r="E10" s="12"/>
      <c r="F10" s="12"/>
      <c r="G10" s="12"/>
      <c r="H10" s="12"/>
      <c r="I10" s="12"/>
      <c r="J10" s="12"/>
    </row>
    <row r="11" spans="1:10" x14ac:dyDescent="0.25">
      <c r="C11" s="13" t="s">
        <v>0</v>
      </c>
      <c r="D11" s="13"/>
      <c r="E11" s="13"/>
      <c r="F11" s="13"/>
      <c r="G11" s="13"/>
      <c r="H11" s="13" t="s">
        <v>25</v>
      </c>
      <c r="I11" s="12" t="s">
        <v>8</v>
      </c>
    </row>
    <row r="12" spans="1:10" x14ac:dyDescent="0.25">
      <c r="C12" s="13" t="s">
        <v>1</v>
      </c>
      <c r="D12" s="13"/>
      <c r="E12" s="12" t="s">
        <v>4</v>
      </c>
      <c r="F12" s="13" t="s">
        <v>5</v>
      </c>
      <c r="G12" s="13"/>
      <c r="H12" s="13"/>
      <c r="I12" s="12"/>
    </row>
    <row r="13" spans="1:10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10" x14ac:dyDescent="0.25">
      <c r="B14" s="6" t="s">
        <v>41</v>
      </c>
      <c r="C14" s="12">
        <f>3820/76.74</f>
        <v>49.778472765181135</v>
      </c>
      <c r="D14" s="12">
        <f>9292/161.73</f>
        <v>57.453780993013048</v>
      </c>
      <c r="E14" s="12">
        <f>4836/77.61</f>
        <v>62.311557788944725</v>
      </c>
      <c r="F14" s="12">
        <f>2554/41.16</f>
        <v>62.050534499514093</v>
      </c>
      <c r="G14" s="12">
        <f>8978/145.12</f>
        <v>61.866041896361629</v>
      </c>
      <c r="H14" s="12">
        <f>29480/502.36</f>
        <v>58.6830161637073</v>
      </c>
      <c r="I14" s="12">
        <f>40647/588.05</f>
        <v>69.121673327098037</v>
      </c>
    </row>
    <row r="15" spans="1:10" x14ac:dyDescent="0.25">
      <c r="B15" s="6" t="s">
        <v>42</v>
      </c>
      <c r="C15" s="12">
        <f>3849/76.74</f>
        <v>50.156372165754497</v>
      </c>
      <c r="D15" s="12">
        <f>6867/161.73</f>
        <v>42.459654980523098</v>
      </c>
      <c r="E15" s="12">
        <f>2921/77.61</f>
        <v>37.636902461023062</v>
      </c>
      <c r="F15" s="12">
        <f>1560/41.16</f>
        <v>37.900874635568513</v>
      </c>
      <c r="G15" s="12">
        <f>5526/145.12</f>
        <v>38.078831312017641</v>
      </c>
      <c r="H15" s="12">
        <f>20723/502.36</f>
        <v>41.251293892825863</v>
      </c>
      <c r="I15" s="12">
        <f>18136/588.05</f>
        <v>30.840914888189783</v>
      </c>
    </row>
    <row r="16" spans="1:10" x14ac:dyDescent="0.25">
      <c r="B16" s="6" t="s">
        <v>23</v>
      </c>
      <c r="C16" s="12">
        <f>5/76.74</f>
        <v>6.5155069064373211E-2</v>
      </c>
      <c r="D16" s="12">
        <f>14/161.73</f>
        <v>8.6564026463859522E-2</v>
      </c>
      <c r="E16" s="12">
        <f>4/77.61</f>
        <v>5.1539750032212346E-2</v>
      </c>
      <c r="F16" s="12">
        <f>2/41.16</f>
        <v>4.8590864917395532E-2</v>
      </c>
      <c r="G16" s="12">
        <f>8/145.12</f>
        <v>5.5126791620727672E-2</v>
      </c>
      <c r="H16" s="12">
        <f>33/502.36</f>
        <v>6.5689943466836528E-2</v>
      </c>
      <c r="I16" s="12">
        <f>22/588.08</f>
        <v>3.7409876207318726E-2</v>
      </c>
    </row>
    <row r="17" spans="2:9" x14ac:dyDescent="0.25">
      <c r="B17" s="6"/>
      <c r="C17" s="12"/>
      <c r="D17" s="12"/>
      <c r="E17" s="12"/>
      <c r="F17" s="12"/>
      <c r="G17" s="12"/>
      <c r="H17" s="12"/>
      <c r="I17" s="12"/>
    </row>
  </sheetData>
  <mergeCells count="9">
    <mergeCell ref="A1:B2"/>
    <mergeCell ref="C1:G1"/>
    <mergeCell ref="H1:H2"/>
    <mergeCell ref="C2:D2"/>
    <mergeCell ref="F2:G2"/>
    <mergeCell ref="C11:G11"/>
    <mergeCell ref="H11:H12"/>
    <mergeCell ref="C12:D12"/>
    <mergeCell ref="F12:G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K19" sqref="K19"/>
    </sheetView>
  </sheetViews>
  <sheetFormatPr defaultRowHeight="15" x14ac:dyDescent="0.25"/>
  <cols>
    <col min="2" max="2" width="10" customWidth="1"/>
    <col min="3" max="8" width="12" bestFit="1" customWidth="1"/>
    <col min="9" max="9" width="17.42578125" bestFit="1" customWidth="1"/>
  </cols>
  <sheetData>
    <row r="1" spans="1:9" x14ac:dyDescent="0.25">
      <c r="A1" s="14" t="s">
        <v>44</v>
      </c>
      <c r="B1" s="14"/>
      <c r="C1" s="13" t="s">
        <v>0</v>
      </c>
      <c r="D1" s="13"/>
      <c r="E1" s="13"/>
      <c r="F1" s="13"/>
      <c r="G1" s="13"/>
      <c r="H1" s="13" t="s">
        <v>25</v>
      </c>
      <c r="I1" s="12" t="s">
        <v>8</v>
      </c>
    </row>
    <row r="2" spans="1:9" x14ac:dyDescent="0.25">
      <c r="A2" s="14"/>
      <c r="B2" s="14"/>
      <c r="C2" s="13" t="s">
        <v>1</v>
      </c>
      <c r="D2" s="13"/>
      <c r="E2" s="12" t="s">
        <v>4</v>
      </c>
      <c r="F2" s="13" t="s">
        <v>5</v>
      </c>
      <c r="G2" s="13"/>
      <c r="H2" s="13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6"/>
      <c r="B4" s="6" t="s">
        <v>41</v>
      </c>
      <c r="C4" s="12">
        <v>1356</v>
      </c>
      <c r="D4" s="12">
        <v>3389</v>
      </c>
      <c r="E4" s="12">
        <v>1880</v>
      </c>
      <c r="F4" s="12">
        <v>1143</v>
      </c>
      <c r="G4" s="12">
        <v>4520</v>
      </c>
      <c r="H4" s="12">
        <f>SUM(C4:G4)</f>
        <v>12288</v>
      </c>
      <c r="I4" s="12">
        <v>37529</v>
      </c>
    </row>
    <row r="5" spans="1:9" x14ac:dyDescent="0.25">
      <c r="A5" s="6"/>
      <c r="B5" s="6" t="s">
        <v>42</v>
      </c>
      <c r="C5" s="12">
        <v>6318</v>
      </c>
      <c r="D5" s="12">
        <v>12784</v>
      </c>
      <c r="E5" s="12">
        <v>5881</v>
      </c>
      <c r="F5" s="12">
        <v>2973</v>
      </c>
      <c r="G5" s="12">
        <v>9992</v>
      </c>
      <c r="H5" s="12">
        <f>SUM(C5:G5)</f>
        <v>37948</v>
      </c>
      <c r="I5" s="12">
        <v>21276</v>
      </c>
    </row>
    <row r="6" spans="1:9" x14ac:dyDescent="0.25">
      <c r="A6" s="6"/>
      <c r="B6" s="6" t="s">
        <v>23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f>SUM(C6:G6)</f>
        <v>0</v>
      </c>
      <c r="I6" s="12">
        <v>0</v>
      </c>
    </row>
    <row r="7" spans="1:9" x14ac:dyDescent="0.25">
      <c r="A7" s="6"/>
      <c r="B7" s="6" t="s">
        <v>26</v>
      </c>
      <c r="C7" s="12">
        <f>SUM(C4:C6)</f>
        <v>7674</v>
      </c>
      <c r="D7" s="12">
        <f t="shared" ref="D7:G7" si="0">SUM(D4:D6)</f>
        <v>16173</v>
      </c>
      <c r="E7" s="12">
        <f t="shared" si="0"/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3" t="s">
        <v>0</v>
      </c>
      <c r="D11" s="13"/>
      <c r="E11" s="13"/>
      <c r="F11" s="13"/>
      <c r="G11" s="13"/>
      <c r="H11" s="13" t="s">
        <v>25</v>
      </c>
      <c r="I11" s="12" t="s">
        <v>8</v>
      </c>
    </row>
    <row r="12" spans="1:9" x14ac:dyDescent="0.25">
      <c r="C12" s="13" t="s">
        <v>1</v>
      </c>
      <c r="D12" s="13"/>
      <c r="E12" s="12" t="s">
        <v>4</v>
      </c>
      <c r="F12" s="13" t="s">
        <v>5</v>
      </c>
      <c r="G12" s="13"/>
      <c r="H12" s="13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B14" s="6" t="s">
        <v>41</v>
      </c>
      <c r="C14" s="12">
        <f>1356/76.74</f>
        <v>17.670054730258016</v>
      </c>
      <c r="D14" s="12">
        <f>3389/161.73</f>
        <v>20.954677549001424</v>
      </c>
      <c r="E14" s="12">
        <f>1880/77.61</f>
        <v>24.223682515139803</v>
      </c>
      <c r="F14" s="12">
        <f>1143/41.16</f>
        <v>27.769679300291546</v>
      </c>
      <c r="G14" s="12">
        <f>4520/145.12</f>
        <v>31.146637265711135</v>
      </c>
      <c r="H14" s="12">
        <f>12288/502.36</f>
        <v>24.460546221832949</v>
      </c>
      <c r="I14" s="12">
        <f>37529/588.05</f>
        <v>63.819403111980279</v>
      </c>
    </row>
    <row r="15" spans="1:9" x14ac:dyDescent="0.25">
      <c r="B15" s="6" t="s">
        <v>42</v>
      </c>
      <c r="C15" s="12">
        <f>6318/76.74</f>
        <v>82.329945269741998</v>
      </c>
      <c r="D15" s="12">
        <f>12784/161.73</f>
        <v>79.045322450998583</v>
      </c>
      <c r="E15" s="12">
        <f>5881/77.61</f>
        <v>75.776317484860201</v>
      </c>
      <c r="F15" s="12">
        <f>2973/41.16</f>
        <v>72.230320699708457</v>
      </c>
      <c r="G15" s="12">
        <f>9992/145.12</f>
        <v>68.853362734288865</v>
      </c>
      <c r="H15" s="12">
        <f>37948/502.36</f>
        <v>75.539453778167044</v>
      </c>
      <c r="I15" s="12">
        <f>21276/588.05</f>
        <v>36.180596888019728</v>
      </c>
    </row>
    <row r="16" spans="1:9" x14ac:dyDescent="0.25">
      <c r="B16" s="6" t="s">
        <v>23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</row>
    <row r="17" spans="2:9" x14ac:dyDescent="0.25">
      <c r="B17" s="6"/>
      <c r="C17" s="12"/>
      <c r="D17" s="12"/>
      <c r="E17" s="12"/>
      <c r="F17" s="12"/>
      <c r="G17" s="12"/>
      <c r="H17" s="12"/>
      <c r="I17" s="12"/>
    </row>
  </sheetData>
  <mergeCells count="9">
    <mergeCell ref="A1:B2"/>
    <mergeCell ref="C1:G1"/>
    <mergeCell ref="H1:H2"/>
    <mergeCell ref="C2:D2"/>
    <mergeCell ref="F2:G2"/>
    <mergeCell ref="C11:G11"/>
    <mergeCell ref="H11:H12"/>
    <mergeCell ref="C12:D12"/>
    <mergeCell ref="F12:G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22" sqref="I22"/>
    </sheetView>
  </sheetViews>
  <sheetFormatPr defaultRowHeight="15" x14ac:dyDescent="0.25"/>
  <cols>
    <col min="2" max="2" width="10.42578125" customWidth="1"/>
    <col min="3" max="8" width="12" bestFit="1" customWidth="1"/>
    <col min="9" max="9" width="17.42578125" bestFit="1" customWidth="1"/>
  </cols>
  <sheetData>
    <row r="1" spans="1:9" x14ac:dyDescent="0.25">
      <c r="A1" s="14" t="s">
        <v>45</v>
      </c>
      <c r="B1" s="14"/>
      <c r="C1" s="13" t="s">
        <v>0</v>
      </c>
      <c r="D1" s="13"/>
      <c r="E1" s="13"/>
      <c r="F1" s="13"/>
      <c r="G1" s="13"/>
      <c r="H1" s="13" t="s">
        <v>25</v>
      </c>
      <c r="I1" s="12" t="s">
        <v>8</v>
      </c>
    </row>
    <row r="2" spans="1:9" x14ac:dyDescent="0.25">
      <c r="A2" s="14"/>
      <c r="B2" s="14"/>
      <c r="C2" s="13" t="s">
        <v>1</v>
      </c>
      <c r="D2" s="13"/>
      <c r="E2" s="12" t="s">
        <v>4</v>
      </c>
      <c r="F2" s="13" t="s">
        <v>5</v>
      </c>
      <c r="G2" s="13"/>
      <c r="H2" s="13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6"/>
      <c r="B4" s="6" t="s">
        <v>41</v>
      </c>
      <c r="C4" s="12">
        <v>4146</v>
      </c>
      <c r="D4" s="12">
        <v>9641</v>
      </c>
      <c r="E4" s="12">
        <v>4674</v>
      </c>
      <c r="F4" s="12">
        <v>2491</v>
      </c>
      <c r="G4" s="12">
        <v>10437</v>
      </c>
      <c r="H4" s="12">
        <f>SUM(C4:G4)</f>
        <v>31389</v>
      </c>
      <c r="I4" s="12">
        <v>52635</v>
      </c>
    </row>
    <row r="5" spans="1:9" x14ac:dyDescent="0.25">
      <c r="A5" s="6"/>
      <c r="B5" s="6" t="s">
        <v>42</v>
      </c>
      <c r="C5" s="12">
        <v>3523</v>
      </c>
      <c r="D5" s="12">
        <v>6518</v>
      </c>
      <c r="E5" s="12">
        <v>3080</v>
      </c>
      <c r="F5" s="12">
        <v>1623</v>
      </c>
      <c r="G5" s="12">
        <v>4069</v>
      </c>
      <c r="H5" s="12">
        <f>SUM(C5:G5)</f>
        <v>18813</v>
      </c>
      <c r="I5" s="12">
        <v>6131</v>
      </c>
    </row>
    <row r="6" spans="1:9" x14ac:dyDescent="0.25">
      <c r="A6" s="6"/>
      <c r="B6" s="6" t="s">
        <v>23</v>
      </c>
      <c r="C6" s="12">
        <v>5</v>
      </c>
      <c r="D6" s="12">
        <v>14</v>
      </c>
      <c r="E6" s="12">
        <v>7</v>
      </c>
      <c r="F6" s="12">
        <v>2</v>
      </c>
      <c r="G6" s="12">
        <v>6</v>
      </c>
      <c r="H6" s="12">
        <f>SUM(C6:G6)</f>
        <v>34</v>
      </c>
      <c r="I6" s="12">
        <v>39</v>
      </c>
    </row>
    <row r="7" spans="1:9" x14ac:dyDescent="0.25">
      <c r="A7" s="6"/>
      <c r="B7" s="6" t="s">
        <v>26</v>
      </c>
      <c r="C7" s="12">
        <f>SUM(C4:C6)</f>
        <v>7674</v>
      </c>
      <c r="D7" s="12">
        <f t="shared" ref="D7:G7" si="0">SUM(D4:D6)</f>
        <v>16173</v>
      </c>
      <c r="E7" s="12">
        <f t="shared" si="0"/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3" t="s">
        <v>0</v>
      </c>
      <c r="D11" s="13"/>
      <c r="E11" s="13"/>
      <c r="F11" s="13"/>
      <c r="G11" s="13"/>
      <c r="H11" s="13" t="s">
        <v>25</v>
      </c>
      <c r="I11" s="12" t="s">
        <v>8</v>
      </c>
    </row>
    <row r="12" spans="1:9" x14ac:dyDescent="0.25">
      <c r="C12" s="13" t="s">
        <v>1</v>
      </c>
      <c r="D12" s="13"/>
      <c r="E12" s="12" t="s">
        <v>4</v>
      </c>
      <c r="F12" s="13" t="s">
        <v>5</v>
      </c>
      <c r="G12" s="13"/>
      <c r="H12" s="13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B14" s="6" t="s">
        <v>41</v>
      </c>
      <c r="C14" s="12">
        <f>4146/76.74</f>
        <v>54.026583268178271</v>
      </c>
      <c r="D14" s="12">
        <f>9641/161.73</f>
        <v>59.611698509862123</v>
      </c>
      <c r="E14" s="12">
        <f>4674/77.61</f>
        <v>60.224197912640122</v>
      </c>
      <c r="F14" s="12">
        <f>2491/41.16</f>
        <v>60.519922254616134</v>
      </c>
      <c r="G14" s="12">
        <f>10437/145.12</f>
        <v>71.919790518191846</v>
      </c>
      <c r="H14" s="12">
        <f>31389/502.36</f>
        <v>62.48307986304642</v>
      </c>
      <c r="I14" s="12">
        <f>52635/588.05</f>
        <v>89.507694923901042</v>
      </c>
    </row>
    <row r="15" spans="1:9" x14ac:dyDescent="0.25">
      <c r="B15" s="6" t="s">
        <v>42</v>
      </c>
      <c r="C15" s="12">
        <f>3523/76.74</f>
        <v>45.908261662757369</v>
      </c>
      <c r="D15" s="12">
        <f>6518/161.73</f>
        <v>40.30173746367403</v>
      </c>
      <c r="E15" s="12">
        <f>3080/77.61</f>
        <v>39.685607524803508</v>
      </c>
      <c r="F15" s="12">
        <f>1623/41.16</f>
        <v>39.431486880466473</v>
      </c>
      <c r="G15" s="12">
        <f>4069/145.12</f>
        <v>28.038864388092613</v>
      </c>
      <c r="H15" s="12">
        <f>18813/502.36</f>
        <v>37.44923958913926</v>
      </c>
      <c r="I15" s="12">
        <f>6131/588.05</f>
        <v>10.425984185018281</v>
      </c>
    </row>
    <row r="16" spans="1:9" x14ac:dyDescent="0.25">
      <c r="B16" s="6" t="s">
        <v>23</v>
      </c>
      <c r="C16" s="12">
        <f>5/76.74</f>
        <v>6.5155069064373211E-2</v>
      </c>
      <c r="D16" s="12">
        <f>14/161.73</f>
        <v>8.6564026463859522E-2</v>
      </c>
      <c r="E16" s="12">
        <f>7/77.61</f>
        <v>9.0194562556371607E-2</v>
      </c>
      <c r="F16" s="12">
        <f>2/41.16</f>
        <v>4.8590864917395532E-2</v>
      </c>
      <c r="G16" s="12">
        <f>6/145.12</f>
        <v>4.1345093715545754E-2</v>
      </c>
      <c r="H16" s="12">
        <f>34/502.36</f>
        <v>6.7680547814316427E-2</v>
      </c>
      <c r="I16" s="12">
        <f>39/588.05</f>
        <v>6.6320891080690419E-2</v>
      </c>
    </row>
    <row r="17" spans="2:9" x14ac:dyDescent="0.25">
      <c r="B17" s="6"/>
      <c r="C17" s="12"/>
      <c r="D17" s="12"/>
      <c r="E17" s="12"/>
      <c r="F17" s="12"/>
      <c r="G17" s="12"/>
      <c r="H17" s="12"/>
      <c r="I17" s="12"/>
    </row>
  </sheetData>
  <mergeCells count="9">
    <mergeCell ref="A1:B2"/>
    <mergeCell ref="C1:G1"/>
    <mergeCell ref="H1:H2"/>
    <mergeCell ref="C2:D2"/>
    <mergeCell ref="F2:G2"/>
    <mergeCell ref="C11:G11"/>
    <mergeCell ref="H11:H12"/>
    <mergeCell ref="C12:D12"/>
    <mergeCell ref="F12:G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A3" sqref="A3"/>
    </sheetView>
  </sheetViews>
  <sheetFormatPr defaultRowHeight="15" x14ac:dyDescent="0.25"/>
  <cols>
    <col min="2" max="2" width="12.42578125" customWidth="1"/>
    <col min="3" max="5" width="12" bestFit="1" customWidth="1"/>
    <col min="6" max="6" width="11" bestFit="1" customWidth="1"/>
    <col min="7" max="8" width="12" bestFit="1" customWidth="1"/>
    <col min="9" max="9" width="17.42578125" bestFit="1" customWidth="1"/>
  </cols>
  <sheetData>
    <row r="1" spans="1:9" x14ac:dyDescent="0.25">
      <c r="A1" s="14" t="s">
        <v>46</v>
      </c>
      <c r="B1" s="14"/>
      <c r="C1" s="13" t="s">
        <v>0</v>
      </c>
      <c r="D1" s="13"/>
      <c r="E1" s="13"/>
      <c r="F1" s="13"/>
      <c r="G1" s="13"/>
      <c r="H1" s="13" t="s">
        <v>25</v>
      </c>
      <c r="I1" s="12" t="s">
        <v>8</v>
      </c>
    </row>
    <row r="2" spans="1:9" x14ac:dyDescent="0.25">
      <c r="A2" s="14"/>
      <c r="B2" s="14"/>
      <c r="C2" s="13" t="s">
        <v>1</v>
      </c>
      <c r="D2" s="13"/>
      <c r="E2" s="12" t="s">
        <v>4</v>
      </c>
      <c r="F2" s="13" t="s">
        <v>5</v>
      </c>
      <c r="G2" s="13"/>
      <c r="H2" s="13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6"/>
      <c r="B4" s="6" t="s">
        <v>41</v>
      </c>
      <c r="C4" s="12">
        <v>5337</v>
      </c>
      <c r="D4" s="12">
        <v>7881</v>
      </c>
      <c r="E4" s="12">
        <v>3641</v>
      </c>
      <c r="F4" s="12">
        <v>2620</v>
      </c>
      <c r="G4" s="12">
        <v>8207</v>
      </c>
      <c r="H4" s="12">
        <f>SUM(C4:G4)</f>
        <v>27686</v>
      </c>
      <c r="I4" s="12">
        <v>32370</v>
      </c>
    </row>
    <row r="5" spans="1:9" x14ac:dyDescent="0.25">
      <c r="A5" s="6"/>
      <c r="B5" s="6" t="s">
        <v>42</v>
      </c>
      <c r="C5" s="12">
        <v>2335</v>
      </c>
      <c r="D5" s="12">
        <v>8282</v>
      </c>
      <c r="E5" s="12">
        <v>4113</v>
      </c>
      <c r="F5" s="12">
        <v>1493</v>
      </c>
      <c r="G5" s="12">
        <v>6302</v>
      </c>
      <c r="H5" s="12">
        <f>SUM(C5:G5)</f>
        <v>22525</v>
      </c>
      <c r="I5" s="12">
        <v>26420</v>
      </c>
    </row>
    <row r="6" spans="1:9" x14ac:dyDescent="0.25">
      <c r="A6" s="6"/>
      <c r="B6" s="6" t="s">
        <v>23</v>
      </c>
      <c r="C6" s="12">
        <v>2</v>
      </c>
      <c r="D6" s="12">
        <v>10</v>
      </c>
      <c r="E6" s="12">
        <v>7</v>
      </c>
      <c r="F6" s="12">
        <v>3</v>
      </c>
      <c r="G6" s="12">
        <v>3</v>
      </c>
      <c r="H6" s="12">
        <f>SUM(C6:G6)</f>
        <v>25</v>
      </c>
      <c r="I6" s="12">
        <v>15</v>
      </c>
    </row>
    <row r="7" spans="1:9" x14ac:dyDescent="0.25">
      <c r="A7" s="6"/>
      <c r="B7" s="6" t="s">
        <v>26</v>
      </c>
      <c r="C7" s="12">
        <f>SUM(C4:C6)</f>
        <v>7674</v>
      </c>
      <c r="D7" s="12">
        <f t="shared" ref="D7:G7" si="0">SUM(D4:D6)</f>
        <v>16173</v>
      </c>
      <c r="E7" s="12">
        <f t="shared" si="0"/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3" t="s">
        <v>0</v>
      </c>
      <c r="D11" s="13"/>
      <c r="E11" s="13"/>
      <c r="F11" s="13"/>
      <c r="G11" s="13"/>
      <c r="H11" s="13" t="s">
        <v>25</v>
      </c>
      <c r="I11" s="12" t="s">
        <v>8</v>
      </c>
    </row>
    <row r="12" spans="1:9" x14ac:dyDescent="0.25">
      <c r="C12" s="13" t="s">
        <v>1</v>
      </c>
      <c r="D12" s="13"/>
      <c r="E12" s="12" t="s">
        <v>4</v>
      </c>
      <c r="F12" s="13" t="s">
        <v>5</v>
      </c>
      <c r="G12" s="13"/>
      <c r="H12" s="13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B14" s="6" t="s">
        <v>41</v>
      </c>
      <c r="C14" s="12">
        <f>5337/76.74</f>
        <v>69.546520719311971</v>
      </c>
      <c r="D14" s="12">
        <f>7881/161.73</f>
        <v>48.72936375440549</v>
      </c>
      <c r="E14" s="12">
        <f>3641/77.61</f>
        <v>46.914057466821284</v>
      </c>
      <c r="F14" s="12">
        <f>2620/41.16</f>
        <v>63.654033041788146</v>
      </c>
      <c r="G14" s="12">
        <f>8207/145.12</f>
        <v>56.553197353914001</v>
      </c>
      <c r="H14" s="12">
        <f>27686/502.36</f>
        <v>55.111871964328365</v>
      </c>
      <c r="I14" s="12">
        <f>32370/588.05</f>
        <v>55.046339596973048</v>
      </c>
    </row>
    <row r="15" spans="1:9" x14ac:dyDescent="0.25">
      <c r="B15" s="6" t="s">
        <v>42</v>
      </c>
      <c r="C15" s="12">
        <f>2335/76.74</f>
        <v>30.427417253062291</v>
      </c>
      <c r="D15" s="12">
        <f>8282/161.73</f>
        <v>51.208804798120326</v>
      </c>
      <c r="E15" s="12">
        <f>4113/77.61</f>
        <v>52.99574797062234</v>
      </c>
      <c r="F15" s="12">
        <f>1493/41.16</f>
        <v>36.273080660835767</v>
      </c>
      <c r="G15" s="12">
        <f>6302/145.12</f>
        <v>43.426130099228224</v>
      </c>
      <c r="H15" s="12">
        <f>22525/502.36</f>
        <v>44.83836292698463</v>
      </c>
      <c r="I15" s="12">
        <f>26420/588.05</f>
        <v>44.928152367995921</v>
      </c>
    </row>
    <row r="16" spans="1:9" x14ac:dyDescent="0.25">
      <c r="B16" s="6" t="s">
        <v>23</v>
      </c>
      <c r="C16" s="12">
        <f>2/76.74</f>
        <v>2.6062027625749284E-2</v>
      </c>
      <c r="D16" s="12">
        <f>10/161.73</f>
        <v>6.1831447474185376E-2</v>
      </c>
      <c r="E16" s="12">
        <f>7/77.61</f>
        <v>9.0194562556371607E-2</v>
      </c>
      <c r="F16" s="12">
        <f>3/41.16</f>
        <v>7.2886297376093298E-2</v>
      </c>
      <c r="G16" s="12">
        <f>3/145.12</f>
        <v>2.0672546857772877E-2</v>
      </c>
      <c r="H16" s="12">
        <f>25/502.36</f>
        <v>4.9765108686997371E-2</v>
      </c>
      <c r="I16" s="12">
        <f>15/588.05</f>
        <v>2.5508035031034777E-2</v>
      </c>
    </row>
    <row r="17" spans="2:9" x14ac:dyDescent="0.25">
      <c r="B17" s="6"/>
      <c r="C17" s="12"/>
      <c r="D17" s="12"/>
      <c r="E17" s="12"/>
      <c r="F17" s="12"/>
      <c r="G17" s="12"/>
      <c r="H17" s="12"/>
      <c r="I17" s="12"/>
    </row>
  </sheetData>
  <mergeCells count="9">
    <mergeCell ref="A1:B2"/>
    <mergeCell ref="C1:G1"/>
    <mergeCell ref="H1:H2"/>
    <mergeCell ref="C2:D2"/>
    <mergeCell ref="F2:G2"/>
    <mergeCell ref="C11:G11"/>
    <mergeCell ref="H11:H12"/>
    <mergeCell ref="C12:D12"/>
    <mergeCell ref="F12:G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16" sqref="A1:I16"/>
    </sheetView>
  </sheetViews>
  <sheetFormatPr defaultRowHeight="15" x14ac:dyDescent="0.25"/>
  <cols>
    <col min="2" max="2" width="16.28515625" customWidth="1"/>
    <col min="3" max="8" width="12" bestFit="1" customWidth="1"/>
    <col min="9" max="9" width="17.42578125" bestFit="1" customWidth="1"/>
  </cols>
  <sheetData>
    <row r="1" spans="1:9" x14ac:dyDescent="0.25">
      <c r="A1" s="14" t="s">
        <v>47</v>
      </c>
      <c r="B1" s="14"/>
      <c r="C1" s="13" t="s">
        <v>0</v>
      </c>
      <c r="D1" s="13"/>
      <c r="E1" s="13"/>
      <c r="F1" s="13"/>
      <c r="G1" s="13"/>
      <c r="H1" s="13" t="s">
        <v>25</v>
      </c>
      <c r="I1" s="12" t="s">
        <v>8</v>
      </c>
    </row>
    <row r="2" spans="1:9" x14ac:dyDescent="0.25">
      <c r="A2" s="14"/>
      <c r="B2" s="14"/>
      <c r="C2" s="13" t="s">
        <v>1</v>
      </c>
      <c r="D2" s="13"/>
      <c r="E2" s="12" t="s">
        <v>4</v>
      </c>
      <c r="F2" s="13" t="s">
        <v>5</v>
      </c>
      <c r="G2" s="13"/>
      <c r="H2" s="13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6"/>
      <c r="B4" s="6" t="s">
        <v>41</v>
      </c>
      <c r="C4" s="12">
        <v>5577</v>
      </c>
      <c r="D4" s="12">
        <v>10172</v>
      </c>
      <c r="E4" s="12">
        <v>5159</v>
      </c>
      <c r="F4" s="12">
        <v>2885</v>
      </c>
      <c r="G4" s="12">
        <v>10936</v>
      </c>
      <c r="H4" s="12">
        <f>SUM(C4:G4)</f>
        <v>34729</v>
      </c>
      <c r="I4" s="12">
        <v>51668</v>
      </c>
    </row>
    <row r="5" spans="1:9" x14ac:dyDescent="0.25">
      <c r="A5" s="6"/>
      <c r="B5" s="6" t="s">
        <v>42</v>
      </c>
      <c r="C5" s="12">
        <v>2094</v>
      </c>
      <c r="D5" s="12">
        <v>5992</v>
      </c>
      <c r="E5" s="12">
        <v>2596</v>
      </c>
      <c r="F5" s="12">
        <v>1229</v>
      </c>
      <c r="G5" s="12">
        <v>3570</v>
      </c>
      <c r="H5" s="12">
        <f>SUM(C5:G5)</f>
        <v>15481</v>
      </c>
      <c r="I5" s="12">
        <v>7117</v>
      </c>
    </row>
    <row r="6" spans="1:9" x14ac:dyDescent="0.25">
      <c r="A6" s="6"/>
      <c r="B6" s="6" t="s">
        <v>23</v>
      </c>
      <c r="C6" s="12">
        <v>3</v>
      </c>
      <c r="D6" s="12">
        <v>9</v>
      </c>
      <c r="E6" s="12">
        <v>6</v>
      </c>
      <c r="F6" s="12">
        <v>2</v>
      </c>
      <c r="G6" s="12">
        <v>6</v>
      </c>
      <c r="H6" s="12">
        <f>SUM(C6:G6)</f>
        <v>26</v>
      </c>
      <c r="I6" s="12">
        <v>20</v>
      </c>
    </row>
    <row r="7" spans="1:9" x14ac:dyDescent="0.25">
      <c r="A7" s="6"/>
      <c r="B7" s="6" t="s">
        <v>26</v>
      </c>
      <c r="C7" s="12">
        <f>SUM(C4:C6)</f>
        <v>7674</v>
      </c>
      <c r="D7" s="12">
        <f>SUM(D4:D6)</f>
        <v>16173</v>
      </c>
      <c r="E7" s="12">
        <f t="shared" ref="D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3" t="s">
        <v>0</v>
      </c>
      <c r="D11" s="13"/>
      <c r="E11" s="13"/>
      <c r="F11" s="13"/>
      <c r="G11" s="13"/>
      <c r="H11" s="13" t="s">
        <v>25</v>
      </c>
      <c r="I11" s="12" t="s">
        <v>8</v>
      </c>
    </row>
    <row r="12" spans="1:9" x14ac:dyDescent="0.25">
      <c r="C12" s="13" t="s">
        <v>1</v>
      </c>
      <c r="D12" s="13"/>
      <c r="E12" s="12" t="s">
        <v>4</v>
      </c>
      <c r="F12" s="13" t="s">
        <v>5</v>
      </c>
      <c r="G12" s="13"/>
      <c r="H12" s="13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B14" s="6" t="s">
        <v>41</v>
      </c>
      <c r="C14" s="12">
        <f>C4/76.74</f>
        <v>72.673964034401877</v>
      </c>
      <c r="D14" s="12">
        <f>D4/161.73</f>
        <v>62.894948370741361</v>
      </c>
      <c r="E14" s="12">
        <f>E4/77.61</f>
        <v>66.47339260404587</v>
      </c>
      <c r="F14" s="12">
        <f>F4/41.16</f>
        <v>70.092322643343053</v>
      </c>
      <c r="G14" s="12">
        <f>G4/145.12</f>
        <v>75.358324145534723</v>
      </c>
      <c r="H14" s="12">
        <f>H4/502.36</f>
        <v>69.131698383629271</v>
      </c>
      <c r="I14" s="12">
        <f>I4/588.05</f>
        <v>87.86327693223366</v>
      </c>
    </row>
    <row r="15" spans="1:9" x14ac:dyDescent="0.25">
      <c r="B15" s="6" t="s">
        <v>42</v>
      </c>
      <c r="C15" s="12">
        <f t="shared" ref="C15:C16" si="2">C5/76.74</f>
        <v>27.286942924159501</v>
      </c>
      <c r="D15" s="12">
        <f t="shared" ref="D15:D16" si="3">D5/161.73</f>
        <v>37.049403326531873</v>
      </c>
      <c r="E15" s="12">
        <f t="shared" ref="E15:E16" si="4">E5/77.61</f>
        <v>33.449297770905808</v>
      </c>
      <c r="F15" s="12">
        <f t="shared" ref="F15:F16" si="5">F5/41.16</f>
        <v>29.859086491739557</v>
      </c>
      <c r="G15" s="12">
        <f t="shared" ref="G15:G16" si="6">G5/145.12</f>
        <v>24.600330760749724</v>
      </c>
      <c r="H15" s="12">
        <f t="shared" ref="H15:H16" si="7">H5/502.36</f>
        <v>30.816545903336252</v>
      </c>
      <c r="I15" s="12">
        <f>I5/588.05</f>
        <v>12.102712354391635</v>
      </c>
    </row>
    <row r="16" spans="1:9" x14ac:dyDescent="0.25">
      <c r="B16" s="6" t="s">
        <v>23</v>
      </c>
      <c r="C16" s="12">
        <f t="shared" si="2"/>
        <v>3.9093041438623931E-2</v>
      </c>
      <c r="D16" s="12">
        <f t="shared" si="3"/>
        <v>5.5648302726766838E-2</v>
      </c>
      <c r="E16" s="12">
        <f t="shared" si="4"/>
        <v>7.7309625048318523E-2</v>
      </c>
      <c r="F16" s="12">
        <f t="shared" si="5"/>
        <v>4.8590864917395532E-2</v>
      </c>
      <c r="G16" s="12">
        <f t="shared" si="6"/>
        <v>4.1345093715545754E-2</v>
      </c>
      <c r="H16" s="12">
        <f t="shared" si="7"/>
        <v>5.1755713034477263E-2</v>
      </c>
      <c r="I16" s="12">
        <f>I6/588.05</f>
        <v>3.4010713374713036E-2</v>
      </c>
    </row>
    <row r="17" spans="2:9" x14ac:dyDescent="0.25">
      <c r="B17" s="6"/>
      <c r="C17" s="12"/>
      <c r="D17" s="12"/>
      <c r="E17" s="12"/>
      <c r="F17" s="12"/>
      <c r="G17" s="12"/>
      <c r="H17" s="12"/>
      <c r="I17" s="12"/>
    </row>
  </sheetData>
  <mergeCells count="9">
    <mergeCell ref="A1:B2"/>
    <mergeCell ref="C1:G1"/>
    <mergeCell ref="H1:H2"/>
    <mergeCell ref="C2:D2"/>
    <mergeCell ref="F2:G2"/>
    <mergeCell ref="C11:G11"/>
    <mergeCell ref="H11:H12"/>
    <mergeCell ref="C12:D12"/>
    <mergeCell ref="F12:G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HV201DWS</vt:lpstr>
      <vt:lpstr>HV202NDWS</vt:lpstr>
      <vt:lpstr>HV205Toilet Facility</vt:lpstr>
      <vt:lpstr>HV206HouseholdElectrification</vt:lpstr>
      <vt:lpstr>HV207Radio</vt:lpstr>
      <vt:lpstr>HV208Television</vt:lpstr>
      <vt:lpstr>HV209Refigerator</vt:lpstr>
      <vt:lpstr>HV210Bicycle</vt:lpstr>
      <vt:lpstr>HV211Motorcycle</vt:lpstr>
      <vt:lpstr>HV212Car</vt:lpstr>
      <vt:lpstr>HV221Telephone</vt:lpstr>
      <vt:lpstr>HV243AMobile</vt:lpstr>
      <vt:lpstr>HV243BWatch</vt:lpstr>
      <vt:lpstr>HV243CAnimalCart</vt:lpstr>
      <vt:lpstr>SH47BMatress</vt:lpstr>
      <vt:lpstr>SH47CPressureCooker</vt:lpstr>
      <vt:lpstr>SH47DChair</vt:lpstr>
      <vt:lpstr>SH47ECot</vt:lpstr>
      <vt:lpstr>SH47FTable</vt:lpstr>
      <vt:lpstr>SH47GFan</vt:lpstr>
      <vt:lpstr>SH47IB&amp;WTelevision</vt:lpstr>
      <vt:lpstr>SH47JColorTelevision</vt:lpstr>
      <vt:lpstr>SH47KSewingMachine</vt:lpstr>
      <vt:lpstr>SH47NComputer</vt:lpstr>
      <vt:lpstr>SH47UWaterPump</vt:lpstr>
      <vt:lpstr>SH47VThresher</vt:lpstr>
      <vt:lpstr>SH47WTractor</vt:lpstr>
      <vt:lpstr>HV226CookingFuel</vt:lpstr>
      <vt:lpstr>HV213MainFloorMaterial</vt:lpstr>
      <vt:lpstr>HV214MainWallMaterial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2017-09-15T22:15:42Z</dcterms:created>
  <dcterms:modified xsi:type="dcterms:W3CDTF">2017-09-29T00:43:58Z</dcterms:modified>
</cp:coreProperties>
</file>