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queryTables/queryTable11.xml" ContentType="application/vnd.openxmlformats-officedocument.spreadsheetml.queryTable+xml"/>
  <Override PartName="/xl/tables/table15.xml" ContentType="application/vnd.openxmlformats-officedocument.spreadsheetml.table+xml"/>
  <Override PartName="/xl/queryTables/queryTable12.xml" ContentType="application/vnd.openxmlformats-officedocument.spreadsheetml.queryTable+xml"/>
  <Override PartName="/xl/tables/table16.xml" ContentType="application/vnd.openxmlformats-officedocument.spreadsheetml.table+xml"/>
  <Override PartName="/xl/queryTables/queryTable13.xml" ContentType="application/vnd.openxmlformats-officedocument.spreadsheetml.queryTable+xml"/>
  <Override PartName="/xl/tables/table17.xml" ContentType="application/vnd.openxmlformats-officedocument.spreadsheetml.table+xml"/>
  <Override PartName="/xl/queryTables/queryTable14.xml" ContentType="application/vnd.openxmlformats-officedocument.spreadsheetml.queryTable+xml"/>
  <Override PartName="/xl/tables/table18.xml" ContentType="application/vnd.openxmlformats-officedocument.spreadsheetml.table+xml"/>
  <Override PartName="/xl/queryTables/queryTable15.xml" ContentType="application/vnd.openxmlformats-officedocument.spreadsheetml.queryTable+xml"/>
  <Override PartName="/xl/tables/table19.xml" ContentType="application/vnd.openxmlformats-officedocument.spreadsheetml.table+xml"/>
  <Override PartName="/xl/queryTables/queryTable16.xml" ContentType="application/vnd.openxmlformats-officedocument.spreadsheetml.queryTable+xml"/>
  <Override PartName="/xl/tables/table20.xml" ContentType="application/vnd.openxmlformats-officedocument.spreadsheetml.table+xml"/>
  <Override PartName="/xl/queryTables/queryTable17.xml" ContentType="application/vnd.openxmlformats-officedocument.spreadsheetml.queryTable+xml"/>
  <Override PartName="/xl/tables/table21.xml" ContentType="application/vnd.openxmlformats-officedocument.spreadsheetml.table+xml"/>
  <Override PartName="/xl/queryTables/queryTable18.xml" ContentType="application/vnd.openxmlformats-officedocument.spreadsheetml.queryTable+xml"/>
  <Override PartName="/xl/tables/table22.xml" ContentType="application/vnd.openxmlformats-officedocument.spreadsheetml.table+xml"/>
  <Override PartName="/xl/queryTables/queryTable19.xml" ContentType="application/vnd.openxmlformats-officedocument.spreadsheetml.queryTable+xml"/>
  <Override PartName="/xl/tables/table23.xml" ContentType="application/vnd.openxmlformats-officedocument.spreadsheetml.table+xml"/>
  <Override PartName="/xl/queryTables/queryTable20.xml" ContentType="application/vnd.openxmlformats-officedocument.spreadsheetml.queryTable+xml"/>
  <Override PartName="/xl/tables/table24.xml" ContentType="application/vnd.openxmlformats-officedocument.spreadsheetml.table+xml"/>
  <Override PartName="/xl/queryTables/queryTable21.xml" ContentType="application/vnd.openxmlformats-officedocument.spreadsheetml.queryTable+xml"/>
  <Override PartName="/xl/tables/table25.xml" ContentType="application/vnd.openxmlformats-officedocument.spreadsheetml.table+xml"/>
  <Override PartName="/xl/queryTables/queryTable22.xml" ContentType="application/vnd.openxmlformats-officedocument.spreadsheetml.queryTable+xml"/>
  <Override PartName="/xl/tables/table26.xml" ContentType="application/vnd.openxmlformats-officedocument.spreadsheetml.table+xml"/>
  <Override PartName="/xl/queryTables/queryTable23.xml" ContentType="application/vnd.openxmlformats-officedocument.spreadsheetml.queryTable+xml"/>
  <Override PartName="/xl/tables/table27.xml" ContentType="application/vnd.openxmlformats-officedocument.spreadsheetml.table+xml"/>
  <Override PartName="/xl/queryTables/queryTable24.xml" ContentType="application/vnd.openxmlformats-officedocument.spreadsheetml.queryTable+xml"/>
  <Override PartName="/xl/tables/table28.xml" ContentType="application/vnd.openxmlformats-officedocument.spreadsheetml.table+xml"/>
  <Override PartName="/xl/queryTables/queryTable25.xml" ContentType="application/vnd.openxmlformats-officedocument.spreadsheetml.queryTable+xml"/>
  <Override PartName="/xl/tables/table29.xml" ContentType="application/vnd.openxmlformats-officedocument.spreadsheetml.table+xml"/>
  <Override PartName="/xl/queryTables/queryTable26.xml" ContentType="application/vnd.openxmlformats-officedocument.spreadsheetml.queryTable+xml"/>
  <Override PartName="/xl/tables/table30.xml" ContentType="application/vnd.openxmlformats-officedocument.spreadsheetml.table+xml"/>
  <Override PartName="/xl/queryTables/queryTable27.xml" ContentType="application/vnd.openxmlformats-officedocument.spreadsheetml.queryTable+xml"/>
  <Override PartName="/xl/tables/table31.xml" ContentType="application/vnd.openxmlformats-officedocument.spreadsheetml.table+xml"/>
  <Override PartName="/xl/queryTables/queryTable28.xml" ContentType="application/vnd.openxmlformats-officedocument.spreadsheetml.queryTable+xml"/>
  <Override PartName="/xl/tables/table32.xml" ContentType="application/vnd.openxmlformats-officedocument.spreadsheetml.table+xml"/>
  <Override PartName="/xl/queryTables/queryTable29.xml" ContentType="application/vnd.openxmlformats-officedocument.spreadsheetml.queryTable+xml"/>
  <Override PartName="/xl/tables/table33.xml" ContentType="application/vnd.openxmlformats-officedocument.spreadsheetml.table+xml"/>
  <Override PartName="/xl/queryTables/queryTable30.xml" ContentType="application/vnd.openxmlformats-officedocument.spreadsheetml.queryTable+xml"/>
  <Override PartName="/xl/tables/table34.xml" ContentType="application/vnd.openxmlformats-officedocument.spreadsheetml.table+xml"/>
  <Override PartName="/xl/queryTables/queryTable31.xml" ContentType="application/vnd.openxmlformats-officedocument.spreadsheetml.queryTable+xml"/>
  <Override PartName="/xl/tables/table35.xml" ContentType="application/vnd.openxmlformats-officedocument.spreadsheetml.table+xml"/>
  <Override PartName="/xl/queryTables/queryTable32.xml" ContentType="application/vnd.openxmlformats-officedocument.spreadsheetml.query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queryTables/queryTable33.xml" ContentType="application/vnd.openxmlformats-officedocument.spreadsheetml.queryTable+xml"/>
  <Override PartName="/xl/tables/table38.xml" ContentType="application/vnd.openxmlformats-officedocument.spreadsheetml.table+xml"/>
  <Override PartName="/xl/queryTables/queryTable34.xml" ContentType="application/vnd.openxmlformats-officedocument.spreadsheetml.queryTable+xml"/>
  <Override PartName="/xl/tables/table39.xml" ContentType="application/vnd.openxmlformats-officedocument.spreadsheetml.table+xml"/>
  <Override PartName="/xl/queryTables/queryTable35.xml" ContentType="application/vnd.openxmlformats-officedocument.spreadsheetml.queryTable+xml"/>
  <Override PartName="/xl/tables/table40.xml" ContentType="application/vnd.openxmlformats-officedocument.spreadsheetml.table+xml"/>
  <Override PartName="/xl/queryTables/queryTable36.xml" ContentType="application/vnd.openxmlformats-officedocument.spreadsheetml.queryTable+xml"/>
  <Override PartName="/xl/tables/table41.xml" ContentType="application/vnd.openxmlformats-officedocument.spreadsheetml.table+xml"/>
  <Override PartName="/xl/queryTables/queryTable3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D6D29C2-19B8-408E-AF2A-744D37B56D8C}" xr6:coauthVersionLast="47" xr6:coauthVersionMax="47" xr10:uidLastSave="{00000000-0000-0000-0000-000000000000}"/>
  <bookViews>
    <workbookView xWindow="-108" yWindow="-108" windowWidth="23256" windowHeight="12456" xr2:uid="{6F816C87-8847-4B0C-A4B5-2BE50F465AF7}"/>
  </bookViews>
  <sheets>
    <sheet name="LIST OF SHEET" sheetId="1" r:id="rId1"/>
    <sheet name="ASGMNT-1" sheetId="2" r:id="rId2"/>
    <sheet name="ASGMNT-2" sheetId="4" r:id="rId3"/>
    <sheet name="ASGMNT-3" sheetId="6" r:id="rId4"/>
    <sheet name="ASGMNT-4" sheetId="8" r:id="rId5"/>
    <sheet name="ASGMNT-6" sheetId="10" r:id="rId6"/>
    <sheet name="ASGMNT-6 HLOOKUP" sheetId="11" r:id="rId7"/>
    <sheet name="ASGMNT-7" sheetId="12" r:id="rId8"/>
    <sheet name="ASGMNT-8" sheetId="13" r:id="rId9"/>
    <sheet name="ASGMNT-10" sheetId="14" r:id="rId10"/>
    <sheet name="ASGMNT-11" sheetId="15" r:id="rId11"/>
    <sheet name="ASGMNT-12" sheetId="16" r:id="rId12"/>
    <sheet name="ASGMNT-13" sheetId="17" r:id="rId13"/>
    <sheet name="ASGMNT-14" sheetId="21" r:id="rId14"/>
    <sheet name="ASGMNT-15" sheetId="25" r:id="rId15"/>
    <sheet name="ASGMNT-16" sheetId="29" r:id="rId16"/>
    <sheet name="ASGMNT-17" sheetId="31" r:id="rId17"/>
    <sheet name="ASGMNT-18" sheetId="32" r:id="rId18"/>
    <sheet name="ASGMNT-19" sheetId="36" r:id="rId19"/>
    <sheet name="ASGMNT-20" sheetId="38" r:id="rId20"/>
    <sheet name="ASGMNT-21" sheetId="40" r:id="rId21"/>
    <sheet name="ASGMNT-22" sheetId="42" r:id="rId22"/>
    <sheet name="ASGMNT-23" sheetId="43" r:id="rId23"/>
    <sheet name="ASGMNT-24" sheetId="45" r:id="rId24"/>
    <sheet name="ASGMNT-25" sheetId="35" r:id="rId25"/>
    <sheet name="ASGMNT-26" sheetId="47" r:id="rId26"/>
    <sheet name="ASGMNT-27" sheetId="49" r:id="rId27"/>
    <sheet name="ASGMNT-28" sheetId="50" r:id="rId28"/>
    <sheet name="ASGMNT-29" sheetId="54" r:id="rId29"/>
    <sheet name="ASGMNT-30" sheetId="57" r:id="rId30"/>
    <sheet name="ASGMNT-31A" sheetId="58" r:id="rId31"/>
    <sheet name="ASGMNT-31B" sheetId="59" r:id="rId32"/>
    <sheet name="ASGMNT-32" sheetId="61" r:id="rId33"/>
    <sheet name="ASGMNT-33" sheetId="63" r:id="rId34"/>
    <sheet name="ASGMNT-34" sheetId="67" r:id="rId35"/>
    <sheet name="ASGMNT-35" sheetId="75" r:id="rId36"/>
    <sheet name="Sheet3" sheetId="60" r:id="rId37"/>
    <sheet name="Sheet2" sheetId="46" r:id="rId38"/>
  </sheets>
  <definedNames>
    <definedName name="_xlnm._FilterDatabase" localSheetId="7" hidden="1">'ASGMNT-7'!$A$6:$D$20</definedName>
    <definedName name="ExternalData_1" localSheetId="14" hidden="1">'ASGMNT-15'!$A$6:$F$9</definedName>
    <definedName name="ExternalData_1" localSheetId="15" hidden="1">'ASGMNT-16'!$A$4:$D$13</definedName>
    <definedName name="ExternalData_1" localSheetId="16" hidden="1">'ASGMNT-17'!$A$5:$J$13</definedName>
    <definedName name="ExternalData_1" localSheetId="17" hidden="1">'ASGMNT-18'!$A$6:$E$42</definedName>
    <definedName name="ExternalData_1" localSheetId="18" hidden="1">'ASGMNT-19'!$A$5:$F$35</definedName>
    <definedName name="ExternalData_1" localSheetId="19" hidden="1">'ASGMNT-20'!$A$6:$D$17</definedName>
    <definedName name="ExternalData_1" localSheetId="23" hidden="1">'ASGMNT-24'!$F$6:$G$26</definedName>
    <definedName name="ExternalData_1" localSheetId="24" hidden="1">'ASGMNT-25'!$F$6:$G$26</definedName>
    <definedName name="ExternalData_1" localSheetId="25" hidden="1">'ASGMNT-26'!$A$5:$F$14</definedName>
    <definedName name="ExternalData_1" localSheetId="26" hidden="1">'ASGMNT-27'!$A$6:$B$18</definedName>
    <definedName name="ExternalData_1" localSheetId="27" hidden="1">'ASGMNT-28'!$A$5:$C$10</definedName>
    <definedName name="ExternalData_1" localSheetId="28" hidden="1">'ASGMNT-29'!$A$5:$D$11</definedName>
    <definedName name="ExternalData_1" localSheetId="29" hidden="1">'ASGMNT-30'!$A$6:$E$27</definedName>
    <definedName name="ExternalData_1" localSheetId="30" hidden="1">'ASGMNT-31A'!$A$6:$E$16</definedName>
    <definedName name="ExternalData_1" localSheetId="32" hidden="1">'ASGMNT-32'!$A$5:$C$14</definedName>
    <definedName name="ExternalData_1" localSheetId="33" hidden="1">'ASGMNT-33'!$D$5:$E$25</definedName>
    <definedName name="ExternalData_1" localSheetId="34" hidden="1">'ASGMNT-34'!$A$6:$H$23</definedName>
    <definedName name="ExternalData_1" localSheetId="35" hidden="1">'ASGMNT-35'!$A$5:$D$10</definedName>
    <definedName name="ExternalData_2" localSheetId="13" hidden="1">'ASGMNT-14'!$A$7:$C$20</definedName>
    <definedName name="ExternalData_2" localSheetId="20" hidden="1">'ASGMNT-21'!$G$6:$I$16</definedName>
    <definedName name="ExternalData_2" localSheetId="21" hidden="1">'ASGMNT-22'!$A$9:$C$19</definedName>
    <definedName name="ExternalData_2" localSheetId="23" hidden="1">'ASGMNT-24'!$A$6:$D$26</definedName>
    <definedName name="ExternalData_2" localSheetId="26" hidden="1">'ASGMNT-27'!$E$6:$G$12</definedName>
    <definedName name="ExternalData_2" localSheetId="27" hidden="1">'ASGMNT-28'!$F$5:$H$13</definedName>
    <definedName name="ExternalData_2" localSheetId="28" hidden="1">'ASGMNT-29'!$A$14:$D$17</definedName>
    <definedName name="ExternalData_2" localSheetId="31" hidden="1">'ASGMNT-31B'!$A$4:$E$14</definedName>
    <definedName name="ExternalData_2" localSheetId="33" hidden="1">'ASGMNT-33'!$G$5:$H$25</definedName>
    <definedName name="ExternalData_2" localSheetId="34" hidden="1">'ASGMNT-34'!$K$6:$M$14</definedName>
    <definedName name="ExternalData_3" localSheetId="13" hidden="1">'ASGMNT-14'!$F$7:$I$20</definedName>
    <definedName name="ExternalData_3" localSheetId="24" hidden="1">'ASGMNT-25'!$A$6:$D$26</definedName>
    <definedName name="ExternalData_3" localSheetId="26" hidden="1">'ASGMNT-27'!#REF!</definedName>
    <definedName name="ExternalData_3" localSheetId="27" hidden="1">'ASGMNT-28'!$A$15:$A$21</definedName>
    <definedName name="ExternalData_3" localSheetId="33" hidden="1">'ASGMNT-33'!$A$5:$B$25</definedName>
    <definedName name="ExternalData_3" localSheetId="34" hidden="1">'ASGMNT-34'!$O$6:$P$10</definedName>
    <definedName name="ExternalData_3" localSheetId="35" hidden="1">'ASGMNT-35'!$A$19:$D$23</definedName>
    <definedName name="ExternalData_4" localSheetId="26" hidden="1">'ASGMNT-27'!#REF!</definedName>
    <definedName name="ExternalData_4" localSheetId="27" hidden="1">'ASGMNT-28'!$E$15:$E$21</definedName>
    <definedName name="ExternalData_5" localSheetId="26" hidden="1">'ASGMNT-27'!$A$24:$C$36</definedName>
    <definedName name="ExternalData_5" localSheetId="27" hidden="1">'ASGMNT-28'!$G$15:$G$21</definedName>
    <definedName name="ExternalData_6" localSheetId="26" hidden="1">'ASGMNT-27'!$E$24:$F$36</definedName>
    <definedName name="ExternalData_7" localSheetId="26" hidden="1">'ASGMNT-27'!$A$38:$A$39</definedName>
  </definedNames>
  <calcPr calcId="191029"/>
  <pivotCaches>
    <pivotCache cacheId="0" r:id="rId39"/>
    <pivotCache cacheId="1" r:id="rId4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75" l="1"/>
  <c r="E7" i="75"/>
  <c r="E8" i="75"/>
  <c r="E9" i="75"/>
  <c r="E10" i="75"/>
  <c r="D16" i="75"/>
  <c r="D15" i="75"/>
  <c r="D14" i="75"/>
  <c r="D13" i="75"/>
  <c r="D12" i="75"/>
  <c r="G20" i="75"/>
  <c r="G21" i="75"/>
  <c r="G19" i="75"/>
  <c r="G25" i="75"/>
  <c r="G24" i="75"/>
  <c r="I7" i="67"/>
  <c r="I8" i="67"/>
  <c r="I9" i="67"/>
  <c r="I10" i="67"/>
  <c r="I11" i="67"/>
  <c r="I12" i="67"/>
  <c r="I13" i="67"/>
  <c r="I14" i="67"/>
  <c r="I15" i="67"/>
  <c r="I16" i="67"/>
  <c r="I17" i="67"/>
  <c r="I18" i="67"/>
  <c r="I19" i="67"/>
  <c r="I20" i="67"/>
  <c r="I21" i="67"/>
  <c r="I22" i="67"/>
  <c r="I23" i="67"/>
  <c r="M32" i="67"/>
  <c r="M27" i="67"/>
  <c r="M22" i="67"/>
  <c r="N19" i="67"/>
  <c r="M19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23" i="67"/>
  <c r="H7" i="67"/>
  <c r="G8" i="67"/>
  <c r="G9" i="67"/>
  <c r="G10" i="67"/>
  <c r="G11" i="67"/>
  <c r="G12" i="67"/>
  <c r="G13" i="67"/>
  <c r="G14" i="67"/>
  <c r="G15" i="67"/>
  <c r="G16" i="67"/>
  <c r="G17" i="67"/>
  <c r="G18" i="67"/>
  <c r="G19" i="67"/>
  <c r="G20" i="67"/>
  <c r="G21" i="67"/>
  <c r="G22" i="67"/>
  <c r="G23" i="67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G7" i="67"/>
  <c r="F7" i="67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43" i="63"/>
  <c r="E44" i="63"/>
  <c r="E45" i="63"/>
  <c r="E46" i="63"/>
  <c r="E47" i="63"/>
  <c r="E48" i="63"/>
  <c r="E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44" i="63"/>
  <c r="D45" i="63"/>
  <c r="D46" i="63"/>
  <c r="D47" i="63"/>
  <c r="D48" i="63"/>
  <c r="D29" i="63"/>
  <c r="C7" i="61"/>
  <c r="C8" i="61"/>
  <c r="C9" i="61"/>
  <c r="C10" i="61"/>
  <c r="C11" i="61"/>
  <c r="C12" i="61"/>
  <c r="C13" i="61"/>
  <c r="C14" i="61"/>
  <c r="C6" i="61"/>
  <c r="E6" i="59"/>
  <c r="E7" i="59"/>
  <c r="E8" i="59"/>
  <c r="E9" i="59"/>
  <c r="E10" i="59"/>
  <c r="E11" i="59"/>
  <c r="E12" i="59"/>
  <c r="E13" i="59"/>
  <c r="E14" i="59"/>
  <c r="D6" i="59"/>
  <c r="D7" i="59"/>
  <c r="D8" i="59"/>
  <c r="D9" i="59"/>
  <c r="D10" i="59"/>
  <c r="D11" i="59"/>
  <c r="D12" i="59"/>
  <c r="D13" i="59"/>
  <c r="D14" i="59"/>
  <c r="C6" i="59"/>
  <c r="C7" i="59"/>
  <c r="C8" i="59"/>
  <c r="C9" i="59"/>
  <c r="C10" i="59"/>
  <c r="C11" i="59"/>
  <c r="C12" i="59"/>
  <c r="C13" i="59"/>
  <c r="C14" i="59"/>
  <c r="E5" i="59"/>
  <c r="D5" i="59"/>
  <c r="C5" i="59"/>
  <c r="B5" i="59"/>
  <c r="B6" i="59"/>
  <c r="B7" i="59"/>
  <c r="B8" i="59"/>
  <c r="B9" i="59"/>
  <c r="B10" i="59"/>
  <c r="B11" i="59"/>
  <c r="B12" i="59"/>
  <c r="B13" i="59"/>
  <c r="B14" i="59"/>
  <c r="L30" i="57"/>
  <c r="L29" i="57"/>
  <c r="G7" i="45"/>
  <c r="M26" i="57"/>
  <c r="L26" i="57"/>
  <c r="J26" i="57"/>
  <c r="K26" i="57"/>
  <c r="J18" i="57"/>
  <c r="J13" i="57"/>
  <c r="J8" i="57"/>
  <c r="D16" i="54"/>
  <c r="D17" i="54"/>
  <c r="D15" i="54"/>
  <c r="F15" i="54"/>
  <c r="D7" i="54"/>
  <c r="D8" i="54"/>
  <c r="D9" i="54"/>
  <c r="D10" i="54"/>
  <c r="D11" i="54"/>
  <c r="D6" i="54"/>
  <c r="E17" i="50"/>
  <c r="E18" i="50"/>
  <c r="E19" i="50"/>
  <c r="E20" i="50"/>
  <c r="E21" i="50"/>
  <c r="E16" i="50"/>
  <c r="H7" i="50"/>
  <c r="H8" i="50"/>
  <c r="H9" i="50"/>
  <c r="H10" i="50"/>
  <c r="H11" i="50"/>
  <c r="H12" i="50"/>
  <c r="H13" i="50"/>
  <c r="H6" i="50"/>
  <c r="C7" i="50"/>
  <c r="C8" i="50"/>
  <c r="C9" i="50"/>
  <c r="C10" i="50"/>
  <c r="C6" i="50"/>
  <c r="F39" i="49"/>
  <c r="F38" i="49"/>
  <c r="A39" i="49"/>
  <c r="F18" i="49"/>
  <c r="F17" i="49"/>
  <c r="B21" i="49"/>
  <c r="B20" i="49"/>
  <c r="F7" i="47"/>
  <c r="F8" i="47"/>
  <c r="F9" i="47"/>
  <c r="F10" i="47"/>
  <c r="F11" i="47"/>
  <c r="F12" i="47"/>
  <c r="F13" i="47"/>
  <c r="F14" i="47"/>
  <c r="F6" i="47"/>
  <c r="M17" i="35" l="1"/>
  <c r="L17" i="35"/>
  <c r="L11" i="35"/>
  <c r="N8" i="35"/>
  <c r="M8" i="35"/>
  <c r="L8" i="35"/>
  <c r="G8" i="35" a="1"/>
  <c r="G8" i="35" s="1"/>
  <c r="G9" i="35" a="1"/>
  <c r="G9" i="35" s="1"/>
  <c r="G10" i="35" a="1"/>
  <c r="G10" i="35" s="1"/>
  <c r="G11" i="35" a="1"/>
  <c r="G11" i="35"/>
  <c r="G12" i="35" a="1"/>
  <c r="G12" i="35" s="1"/>
  <c r="G13" i="35" a="1"/>
  <c r="G13" i="35" s="1"/>
  <c r="G14" i="35" a="1"/>
  <c r="G14" i="35" s="1"/>
  <c r="G15" i="35" a="1"/>
  <c r="G15" i="35" s="1"/>
  <c r="G16" i="35" a="1"/>
  <c r="G16" i="35" s="1"/>
  <c r="G17" i="35" a="1"/>
  <c r="G17" i="35" s="1"/>
  <c r="G18" i="35" a="1"/>
  <c r="G18" i="35" s="1"/>
  <c r="G19" i="35" a="1"/>
  <c r="G19" i="35"/>
  <c r="G20" i="35" a="1"/>
  <c r="G20" i="35" s="1"/>
  <c r="G21" i="35" a="1"/>
  <c r="G21" i="35" s="1"/>
  <c r="G22" i="35" a="1"/>
  <c r="G22" i="35" s="1"/>
  <c r="G23" i="35" a="1"/>
  <c r="G23" i="35" s="1"/>
  <c r="G24" i="35" a="1"/>
  <c r="G24" i="35" s="1"/>
  <c r="G25" i="35" a="1"/>
  <c r="G25" i="35" s="1"/>
  <c r="G26" i="35" a="1"/>
  <c r="G26" i="35" s="1"/>
  <c r="G7" i="35" a="1"/>
  <c r="G7" i="35" s="1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C12" i="43"/>
  <c r="C13" i="43"/>
  <c r="C14" i="43"/>
  <c r="C11" i="43"/>
  <c r="C11" i="42"/>
  <c r="C12" i="42"/>
  <c r="C13" i="42"/>
  <c r="C14" i="42"/>
  <c r="C15" i="42"/>
  <c r="C16" i="42"/>
  <c r="C17" i="42"/>
  <c r="C18" i="42"/>
  <c r="C19" i="42"/>
  <c r="C10" i="42"/>
  <c r="B10" i="42"/>
  <c r="B11" i="42"/>
  <c r="B12" i="42"/>
  <c r="B13" i="42"/>
  <c r="B14" i="42"/>
  <c r="B15" i="42"/>
  <c r="B16" i="42"/>
  <c r="B17" i="42"/>
  <c r="B18" i="42"/>
  <c r="B19" i="42"/>
  <c r="I8" i="40"/>
  <c r="I9" i="40"/>
  <c r="I10" i="40"/>
  <c r="I11" i="40"/>
  <c r="I12" i="40"/>
  <c r="I13" i="40"/>
  <c r="I14" i="40"/>
  <c r="I15" i="40"/>
  <c r="I16" i="40"/>
  <c r="I7" i="40"/>
  <c r="H7" i="40"/>
  <c r="H8" i="40"/>
  <c r="H9" i="40"/>
  <c r="H10" i="40"/>
  <c r="H11" i="40"/>
  <c r="H12" i="40"/>
  <c r="H13" i="40"/>
  <c r="H14" i="40"/>
  <c r="H15" i="40"/>
  <c r="H16" i="40"/>
  <c r="P15" i="38"/>
  <c r="Q9" i="38"/>
  <c r="P9" i="38"/>
  <c r="K20" i="38"/>
  <c r="J20" i="38"/>
  <c r="J12" i="38"/>
  <c r="K9" i="38"/>
  <c r="J9" i="38"/>
  <c r="M25" i="36"/>
  <c r="L25" i="36"/>
  <c r="O21" i="36"/>
  <c r="N21" i="36"/>
  <c r="L21" i="36"/>
  <c r="M21" i="36"/>
  <c r="L15" i="36"/>
  <c r="M12" i="36"/>
  <c r="L12" i="36"/>
  <c r="M7" i="36"/>
  <c r="L7" i="36"/>
  <c r="P6" i="32"/>
  <c r="J14" i="32"/>
  <c r="K19" i="32"/>
  <c r="J19" i="32"/>
  <c r="K14" i="32"/>
  <c r="K8" i="32"/>
  <c r="J8" i="32"/>
  <c r="R12" i="31"/>
  <c r="Q12" i="31"/>
  <c r="P12" i="31"/>
  <c r="O12" i="31"/>
  <c r="O6" i="31"/>
  <c r="J6" i="31"/>
  <c r="J7" i="31"/>
  <c r="J8" i="31"/>
  <c r="J9" i="31"/>
  <c r="J10" i="31"/>
  <c r="J11" i="31"/>
  <c r="J12" i="31"/>
  <c r="J13" i="31"/>
  <c r="M12" i="29"/>
  <c r="L12" i="29"/>
  <c r="K12" i="29"/>
  <c r="M8" i="29"/>
  <c r="L8" i="29"/>
  <c r="K8" i="29"/>
  <c r="K24" i="25"/>
  <c r="L16" i="25"/>
  <c r="K16" i="25"/>
  <c r="K20" i="25"/>
  <c r="B7" i="25"/>
  <c r="C7" i="25"/>
  <c r="D7" i="25"/>
  <c r="E7" i="25"/>
  <c r="F7" i="25"/>
  <c r="B8" i="25"/>
  <c r="C8" i="25"/>
  <c r="D8" i="25"/>
  <c r="E8" i="25"/>
  <c r="F8" i="25"/>
  <c r="B9" i="25"/>
  <c r="C9" i="25"/>
  <c r="D9" i="25"/>
  <c r="E9" i="25"/>
  <c r="F9" i="25"/>
  <c r="M10" i="25"/>
  <c r="L12" i="25"/>
  <c r="K12" i="25"/>
  <c r="K6" i="25"/>
  <c r="H9" i="21" a="1"/>
  <c r="H9" i="21" s="1"/>
  <c r="H10" i="21" a="1"/>
  <c r="H10" i="21" s="1"/>
  <c r="H11" i="21" a="1"/>
  <c r="H11" i="21" s="1"/>
  <c r="H12" i="21" a="1"/>
  <c r="H12" i="21" s="1"/>
  <c r="H13" i="21" a="1"/>
  <c r="H13" i="21" s="1"/>
  <c r="H14" i="21" a="1"/>
  <c r="H14" i="21" s="1"/>
  <c r="H15" i="21" a="1"/>
  <c r="H15" i="21" s="1"/>
  <c r="H16" i="21" a="1"/>
  <c r="H16" i="21" s="1"/>
  <c r="H17" i="21" a="1"/>
  <c r="H17" i="21" s="1"/>
  <c r="H18" i="21" a="1"/>
  <c r="H18" i="21" s="1"/>
  <c r="H19" i="21" a="1"/>
  <c r="H19" i="21" s="1"/>
  <c r="H20" i="21" a="1"/>
  <c r="H20" i="21" s="1"/>
  <c r="I9" i="21" a="1"/>
  <c r="I9" i="21" s="1"/>
  <c r="I10" i="21" a="1"/>
  <c r="I10" i="21" s="1"/>
  <c r="I11" i="21" a="1"/>
  <c r="I11" i="21" s="1"/>
  <c r="I12" i="21" a="1"/>
  <c r="I12" i="21" s="1"/>
  <c r="I13" i="21" a="1"/>
  <c r="I13" i="21" s="1"/>
  <c r="I14" i="21" a="1"/>
  <c r="I14" i="21" s="1"/>
  <c r="I15" i="21" a="1"/>
  <c r="I15" i="21" s="1"/>
  <c r="I16" i="21" a="1"/>
  <c r="I16" i="21" s="1"/>
  <c r="I17" i="21" a="1"/>
  <c r="I17" i="21" s="1"/>
  <c r="I18" i="21" a="1"/>
  <c r="I18" i="21" s="1"/>
  <c r="I19" i="21" a="1"/>
  <c r="I19" i="21" s="1"/>
  <c r="I20" i="21" a="1"/>
  <c r="I20" i="21" s="1"/>
  <c r="I8" i="21" a="1"/>
  <c r="I8" i="21" s="1"/>
  <c r="H8" i="21" a="1"/>
  <c r="H8" i="21" s="1"/>
  <c r="E8" i="17"/>
  <c r="F8" i="17" s="1"/>
  <c r="G8" i="17" s="1"/>
  <c r="E9" i="17"/>
  <c r="F9" i="17" s="1"/>
  <c r="G9" i="17" s="1"/>
  <c r="E10" i="17"/>
  <c r="F10" i="17" s="1"/>
  <c r="G10" i="17" s="1"/>
  <c r="E11" i="17"/>
  <c r="O16" i="17" s="1"/>
  <c r="E12" i="17"/>
  <c r="F12" i="17" s="1"/>
  <c r="G12" i="17" s="1"/>
  <c r="E13" i="17"/>
  <c r="F13" i="17" s="1"/>
  <c r="G13" i="17" s="1"/>
  <c r="E14" i="17"/>
  <c r="F14" i="17" s="1"/>
  <c r="G14" i="17" s="1"/>
  <c r="E15" i="17"/>
  <c r="F15" i="17" s="1"/>
  <c r="G15" i="17" s="1"/>
  <c r="E16" i="17"/>
  <c r="F16" i="17" s="1"/>
  <c r="G16" i="17" s="1"/>
  <c r="E7" i="17"/>
  <c r="F7" i="17" s="1"/>
  <c r="N6" i="17"/>
  <c r="Q7" i="16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P42" i="16" s="1"/>
  <c r="F49" i="16"/>
  <c r="G49" i="16" s="1"/>
  <c r="E40" i="16"/>
  <c r="E41" i="16"/>
  <c r="E42" i="16"/>
  <c r="E43" i="16"/>
  <c r="E44" i="16"/>
  <c r="E45" i="16"/>
  <c r="E46" i="16"/>
  <c r="E47" i="16"/>
  <c r="E48" i="16"/>
  <c r="E49" i="16"/>
  <c r="D40" i="16"/>
  <c r="D41" i="16"/>
  <c r="D42" i="16"/>
  <c r="D43" i="16"/>
  <c r="D44" i="16"/>
  <c r="D45" i="16"/>
  <c r="D46" i="16"/>
  <c r="D47" i="16"/>
  <c r="D48" i="16"/>
  <c r="D49" i="16"/>
  <c r="D39" i="16"/>
  <c r="F39" i="16"/>
  <c r="E39" i="16"/>
  <c r="P39" i="16"/>
  <c r="P24" i="16"/>
  <c r="Q22" i="16"/>
  <c r="P22" i="16"/>
  <c r="R11" i="16"/>
  <c r="S11" i="16"/>
  <c r="Q11" i="16"/>
  <c r="P7" i="16"/>
  <c r="I7" i="16"/>
  <c r="K7" i="16" s="1"/>
  <c r="I8" i="16"/>
  <c r="K8" i="16" s="1"/>
  <c r="Q13" i="16" s="1"/>
  <c r="I9" i="16"/>
  <c r="K9" i="16" s="1"/>
  <c r="R13" i="16" s="1"/>
  <c r="I10" i="16"/>
  <c r="K10" i="16" s="1"/>
  <c r="I11" i="16"/>
  <c r="K11" i="16" s="1"/>
  <c r="S13" i="16" s="1"/>
  <c r="I12" i="16"/>
  <c r="K12" i="16" s="1"/>
  <c r="R7" i="16" s="1"/>
  <c r="I13" i="16"/>
  <c r="K13" i="16" s="1"/>
  <c r="I14" i="16"/>
  <c r="K14" i="16" s="1"/>
  <c r="I15" i="16"/>
  <c r="K15" i="16" s="1"/>
  <c r="I16" i="16"/>
  <c r="K16" i="16" s="1"/>
  <c r="I6" i="16"/>
  <c r="K6" i="16" s="1"/>
  <c r="C60" i="15"/>
  <c r="C61" i="15"/>
  <c r="C62" i="15"/>
  <c r="C59" i="15"/>
  <c r="B52" i="15"/>
  <c r="B53" i="15"/>
  <c r="B54" i="15"/>
  <c r="B55" i="15"/>
  <c r="B51" i="15"/>
  <c r="C45" i="15"/>
  <c r="C46" i="15"/>
  <c r="C44" i="15"/>
  <c r="C47" i="15" s="1"/>
  <c r="C38" i="15"/>
  <c r="C39" i="15"/>
  <c r="C40" i="15"/>
  <c r="C37" i="15"/>
  <c r="B29" i="15"/>
  <c r="B30" i="15"/>
  <c r="B31" i="15"/>
  <c r="B32" i="15"/>
  <c r="B28" i="15"/>
  <c r="B21" i="15"/>
  <c r="B22" i="15"/>
  <c r="B23" i="15"/>
  <c r="B24" i="15"/>
  <c r="B20" i="15"/>
  <c r="B15" i="15"/>
  <c r="B16" i="15"/>
  <c r="B14" i="15"/>
  <c r="C7" i="15"/>
  <c r="C8" i="15"/>
  <c r="C9" i="15"/>
  <c r="C10" i="15"/>
  <c r="C6" i="15"/>
  <c r="F7" i="14"/>
  <c r="F8" i="14"/>
  <c r="F9" i="14"/>
  <c r="F10" i="14"/>
  <c r="F11" i="14"/>
  <c r="F6" i="14"/>
  <c r="E10" i="14"/>
  <c r="E7" i="14"/>
  <c r="E8" i="14"/>
  <c r="E9" i="14"/>
  <c r="E11" i="14"/>
  <c r="E6" i="14"/>
  <c r="L34" i="13"/>
  <c r="L30" i="13"/>
  <c r="H34" i="13"/>
  <c r="H30" i="13"/>
  <c r="L26" i="13"/>
  <c r="H26" i="13"/>
  <c r="D22" i="13"/>
  <c r="D15" i="13"/>
  <c r="B8" i="13"/>
  <c r="E16" i="11"/>
  <c r="G19" i="10"/>
  <c r="E17" i="11"/>
  <c r="E15" i="11"/>
  <c r="J14" i="10"/>
  <c r="H17" i="10"/>
  <c r="G17" i="10"/>
  <c r="M15" i="2"/>
  <c r="I11" i="10"/>
  <c r="H11" i="10"/>
  <c r="G11" i="10"/>
  <c r="G7" i="10"/>
  <c r="M17" i="8"/>
  <c r="L17" i="8"/>
  <c r="M13" i="8"/>
  <c r="L13" i="8"/>
  <c r="G7" i="8"/>
  <c r="G8" i="8"/>
  <c r="G9" i="8"/>
  <c r="G10" i="8"/>
  <c r="G11" i="8"/>
  <c r="G12" i="8"/>
  <c r="G13" i="8"/>
  <c r="G6" i="8"/>
  <c r="F7" i="8"/>
  <c r="F8" i="8"/>
  <c r="F9" i="8"/>
  <c r="F10" i="8"/>
  <c r="F11" i="8"/>
  <c r="F12" i="8"/>
  <c r="F13" i="8"/>
  <c r="F6" i="8"/>
  <c r="E6" i="8"/>
  <c r="E7" i="8"/>
  <c r="E8" i="8"/>
  <c r="E9" i="8"/>
  <c r="E10" i="8"/>
  <c r="E11" i="8"/>
  <c r="E12" i="8"/>
  <c r="E13" i="8"/>
  <c r="L9" i="8"/>
  <c r="N6" i="8"/>
  <c r="M6" i="8"/>
  <c r="L6" i="8"/>
  <c r="K8" i="6"/>
  <c r="K6" i="6"/>
  <c r="F7" i="6"/>
  <c r="L18" i="6" s="1"/>
  <c r="F8" i="6"/>
  <c r="L17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6" i="6"/>
  <c r="G6" i="6" s="1"/>
  <c r="L11" i="6" s="1"/>
  <c r="E7" i="6"/>
  <c r="K13" i="6" s="1"/>
  <c r="E8" i="6"/>
  <c r="K17" i="6" s="1"/>
  <c r="E9" i="6"/>
  <c r="K16" i="6" s="1"/>
  <c r="E10" i="6"/>
  <c r="E11" i="6"/>
  <c r="E12" i="6"/>
  <c r="E13" i="6"/>
  <c r="E14" i="6"/>
  <c r="E6" i="6"/>
  <c r="K11" i="6" s="1"/>
  <c r="J8" i="4"/>
  <c r="J6" i="4"/>
  <c r="E7" i="4"/>
  <c r="F7" i="4" s="1"/>
  <c r="E8" i="4"/>
  <c r="F8" i="4" s="1"/>
  <c r="E9" i="4"/>
  <c r="F9" i="4" s="1"/>
  <c r="E10" i="4"/>
  <c r="F10" i="4" s="1"/>
  <c r="E11" i="4"/>
  <c r="F11" i="4" s="1"/>
  <c r="E12" i="4"/>
  <c r="J10" i="4" s="1"/>
  <c r="E13" i="4"/>
  <c r="F13" i="4" s="1"/>
  <c r="E14" i="4"/>
  <c r="F14" i="4" s="1"/>
  <c r="E15" i="4"/>
  <c r="F15" i="4" s="1"/>
  <c r="E6" i="4"/>
  <c r="F6" i="4" s="1"/>
  <c r="M13" i="2"/>
  <c r="H12" i="8" l="1"/>
  <c r="I12" i="8" s="1"/>
  <c r="M14" i="8" s="1"/>
  <c r="H8" i="8"/>
  <c r="I8" i="8" s="1"/>
  <c r="L14" i="8" s="1"/>
  <c r="F11" i="17"/>
  <c r="G11" i="17" s="1"/>
  <c r="P14" i="17"/>
  <c r="G7" i="17"/>
  <c r="N10" i="17"/>
  <c r="N16" i="17"/>
  <c r="G39" i="16"/>
  <c r="P45" i="16"/>
  <c r="H13" i="8"/>
  <c r="I13" i="8" s="1"/>
  <c r="H9" i="8"/>
  <c r="I9" i="8" s="1"/>
  <c r="H11" i="8"/>
  <c r="I11" i="8" s="1"/>
  <c r="H10" i="8"/>
  <c r="I10" i="8" s="1"/>
  <c r="H6" i="8"/>
  <c r="I6" i="8" s="1"/>
  <c r="H7" i="8"/>
  <c r="I7" i="8" s="1"/>
  <c r="K12" i="6"/>
  <c r="F12" i="4"/>
  <c r="G48" i="16"/>
  <c r="P16" i="16"/>
  <c r="P52" i="16"/>
  <c r="G8" i="6"/>
  <c r="L12" i="6" s="1"/>
  <c r="K18" i="6"/>
  <c r="L16" i="6"/>
  <c r="G7" i="6"/>
  <c r="L13" i="6" s="1"/>
  <c r="O25" i="17" l="1"/>
  <c r="N25" i="17"/>
  <c r="I8" i="2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7" i="2"/>
  <c r="J7" i="2" s="1"/>
  <c r="H8" i="2"/>
  <c r="H9" i="2"/>
  <c r="H10" i="2"/>
  <c r="H11" i="2"/>
  <c r="H12" i="2"/>
  <c r="H13" i="2"/>
  <c r="H14" i="2"/>
  <c r="H15" i="2"/>
  <c r="H16" i="2"/>
  <c r="H7" i="2"/>
  <c r="M11" i="2" l="1"/>
  <c r="N11" i="2"/>
  <c r="J8" i="2"/>
  <c r="M8" i="2" s="1"/>
  <c r="N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09D74-2DEB-4BA5-B940-228F4BFF5B66}" keepAlive="1" name="Query - Table021 (Page 6)" description="Connection to the 'Table021 (Page 6)' query in the workbook." type="5" refreshedVersion="8" background="1" saveData="1">
    <dbPr connection="Provider=Microsoft.Mashup.OleDb.1;Data Source=$Workbook$;Location=&quot;Table021 (Page 6)&quot;;Extended Properties=&quot;&quot;" command="SELECT * FROM [Table021 (Page 6)]"/>
  </connection>
  <connection id="2" xr16:uid="{BB4C00F8-3F7C-4ECF-86AA-1CAF9CA8A398}" keepAlive="1" name="Query - Table022 (Page 6)" description="Connection to the 'Table022 (Page 6)' query in the workbook." type="5" refreshedVersion="0" background="1">
    <dbPr connection="Provider=Microsoft.Mashup.OleDb.1;Data Source=$Workbook$;Location=&quot;Table022 (Page 6)&quot;;Extended Properties=&quot;&quot;" command="SELECT * FROM [Table022 (Page 6)]"/>
  </connection>
  <connection id="3" xr16:uid="{EFD667A0-D155-47F4-8857-86CFF06660E2}" keepAlive="1" name="Query - Table024 (Page 6)" description="Connection to the 'Table024 (Page 6)' query in the workbook." type="5" refreshedVersion="8" background="1" saveData="1">
    <dbPr connection="Provider=Microsoft.Mashup.OleDb.1;Data Source=$Workbook$;Location=&quot;Table024 (Page 6)&quot;;Extended Properties=&quot;&quot;" command="SELECT * FROM [Table024 (Page 6)]"/>
  </connection>
  <connection id="4" xr16:uid="{665FC405-FB74-4BD7-AC91-C6D81274CA5D}" keepAlive="1" name="Query - Table025 (Page 7)" description="Connection to the 'Table025 (Page 7)' query in the workbook." type="5" refreshedVersion="8" background="1" saveData="1">
    <dbPr connection="Provider=Microsoft.Mashup.OleDb.1;Data Source=$Workbook$;Location=&quot;Table025 (Page 7)&quot;;Extended Properties=&quot;&quot;" command="SELECT * FROM [Table025 (Page 7)]"/>
  </connection>
  <connection id="5" xr16:uid="{93CD28B2-C359-4204-9283-E05AB3B820C9}" keepAlive="1" name="Query - Table028 (Page 7)" description="Connection to the 'Table028 (Page 7)' query in the workbook." type="5" refreshedVersion="8" background="1" saveData="1">
    <dbPr connection="Provider=Microsoft.Mashup.OleDb.1;Data Source=$Workbook$;Location=&quot;Table028 (Page 7)&quot;;Extended Properties=&quot;&quot;" command="SELECT * FROM [Table028 (Page 7)]"/>
  </connection>
  <connection id="6" xr16:uid="{B0CD7070-83C9-4AA3-834C-FB2DA042DC35}" keepAlive="1" name="Query - Table030 (Page 8)" description="Connection to the 'Table030 (Page 8)' query in the workbook." type="5" refreshedVersion="8" background="1" saveData="1">
    <dbPr connection="Provider=Microsoft.Mashup.OleDb.1;Data Source=$Workbook$;Location=&quot;Table030 (Page 8)&quot;;Extended Properties=&quot;&quot;" command="SELECT * FROM [Table030 (Page 8)]"/>
  </connection>
  <connection id="7" xr16:uid="{6182189A-01D6-4335-8347-8D4B9858AEA3}" keepAlive="1" name="Query - Table031 (Page 9)" description="Connection to the 'Table031 (Page 9)' query in the workbook." type="5" refreshedVersion="0" background="1">
    <dbPr connection="Provider=Microsoft.Mashup.OleDb.1;Data Source=$Workbook$;Location=&quot;Table031 (Page 9)&quot;;Extended Properties=&quot;&quot;" command="SELECT * FROM [Table031 (Page 9)]"/>
  </connection>
  <connection id="8" xr16:uid="{062C9736-07F5-4BF2-AD40-92F8E13496A6}" keepAlive="1" name="Query - Table033 (Page 9)" description="Connection to the 'Table033 (Page 9)' query in the workbook." type="5" refreshedVersion="8" background="1" saveData="1">
    <dbPr connection="Provider=Microsoft.Mashup.OleDb.1;Data Source=$Workbook$;Location=&quot;Table033 (Page 9)&quot;;Extended Properties=&quot;&quot;" command="SELECT * FROM [Table033 (Page 9)]"/>
  </connection>
  <connection id="9" xr16:uid="{F86A9A8E-7DCA-4A16-9B08-D5BF3C644325}" keepAlive="1" name="Query - Table034 (Page 10)" description="Connection to the 'Table034 (Page 10)' query in the workbook." type="5" refreshedVersion="8" background="1" saveData="1">
    <dbPr connection="Provider=Microsoft.Mashup.OleDb.1;Data Source=$Workbook$;Location=&quot;Table034 (Page 10)&quot;;Extended Properties=&quot;&quot;" command="SELECT * FROM [Table034 (Page 10)]"/>
  </connection>
  <connection id="10" xr16:uid="{01109FA7-731A-4DF2-8D7F-C04EB17D1057}" keepAlive="1" name="Query - Table037 (Page 10)" description="Connection to the 'Table037 (Page 10)' query in the workbook." type="5" refreshedVersion="8" background="1" saveData="1">
    <dbPr connection="Provider=Microsoft.Mashup.OleDb.1;Data Source=$Workbook$;Location=&quot;Table037 (Page 10)&quot;;Extended Properties=&quot;&quot;" command="SELECT * FROM [Table037 (Page 10)]"/>
  </connection>
  <connection id="11" xr16:uid="{301DA56F-A92E-4274-9624-6EC3C7904627}" keepAlive="1" name="Query - Table039 (Page 12)" description="Connection to the 'Table039 (Page 12)' query in the workbook." type="5" refreshedVersion="0" background="1">
    <dbPr connection="Provider=Microsoft.Mashup.OleDb.1;Data Source=$Workbook$;Location=&quot;Table039 (Page 12)&quot;;Extended Properties=&quot;&quot;" command="SELECT * FROM [Table039 (Page 12)]"/>
  </connection>
  <connection id="12" xr16:uid="{CC8D2874-A4BA-469F-B5C0-E28A85088414}" keepAlive="1" name="Query - Table040 (Page 12)" description="Connection to the 'Table040 (Page 12)' query in the workbook." type="5" refreshedVersion="0" background="1">
    <dbPr connection="Provider=Microsoft.Mashup.OleDb.1;Data Source=$Workbook$;Location=&quot;Table040 (Page 12)&quot;;Extended Properties=&quot;&quot;" command="SELECT * FROM [Table040 (Page 12)]"/>
  </connection>
  <connection id="13" xr16:uid="{189514CD-57CF-4745-A893-0FD5ECE0071B}" keepAlive="1" name="Query - Table040 (Page 12) (2)" description="Connection to the 'Table040 (Page 12) (2)' query in the workbook." type="5" refreshedVersion="8" background="1" saveData="1">
    <dbPr connection="Provider=Microsoft.Mashup.OleDb.1;Data Source=$Workbook$;Location=&quot;Table040 (Page 12) (2)&quot;;Extended Properties=&quot;&quot;" command="SELECT * FROM [Table040 (Page 12) (2)]"/>
  </connection>
  <connection id="14" xr16:uid="{57660343-7B16-47F0-BF3C-5C7F30D56530}" keepAlive="1" name="Query - Table041 (Page 12)" description="Connection to the 'Table041 (Page 12)' query in the workbook." type="5" refreshedVersion="8" background="1" saveData="1">
    <dbPr connection="Provider=Microsoft.Mashup.OleDb.1;Data Source=$Workbook$;Location=&quot;Table041 (Page 12)&quot;;Extended Properties=&quot;&quot;" command="SELECT * FROM [Table041 (Page 12)]"/>
  </connection>
  <connection id="15" xr16:uid="{53EC07F9-6D7E-4924-88FC-D9A2E14D6EFB}" keepAlive="1" name="Query - Table041 (Page 12) (2)" description="Connection to the 'Table041 (Page 12) (2)' query in the workbook." type="5" refreshedVersion="8" background="1" saveData="1">
    <dbPr connection="Provider=Microsoft.Mashup.OleDb.1;Data Source=$Workbook$;Location=&quot;Table041 (Page 12) (2)&quot;;Extended Properties=&quot;&quot;" command="SELECT * FROM [Table041 (Page 12) (2)]"/>
  </connection>
  <connection id="16" xr16:uid="{64FCD755-2CB6-4585-B9E9-E9659210A8D5}" keepAlive="1" name="Query - Table041 (Page 12) (3)" description="Connection to the 'Table041 (Page 12) (3)' query in the workbook." type="5" refreshedVersion="8" background="1" saveData="1">
    <dbPr connection="Provider=Microsoft.Mashup.OleDb.1;Data Source=$Workbook$;Location=&quot;Table041 (Page 12) (3)&quot;;Extended Properties=&quot;&quot;" command="SELECT * FROM [Table041 (Page 12) (3)]"/>
  </connection>
  <connection id="17" xr16:uid="{E3F297A3-1BAA-452F-BA71-7C47C53DD395}" keepAlive="1" name="Query - Table042 (Page 13)" description="Connection to the 'Table042 (Page 13)' query in the workbook." type="5" refreshedVersion="0" background="1">
    <dbPr connection="Provider=Microsoft.Mashup.OleDb.1;Data Source=$Workbook$;Location=&quot;Table042 (Page 13)&quot;;Extended Properties=&quot;&quot;" command="SELECT * FROM [Table042 (Page 13)]"/>
  </connection>
  <connection id="18" xr16:uid="{27453CB9-8771-4CED-B1E5-A6032B0FED94}" keepAlive="1" name="Query - Table043 (Page 13)" description="Connection to the 'Table043 (Page 13)' query in the workbook." type="5" refreshedVersion="8" background="1" saveData="1">
    <dbPr connection="Provider=Microsoft.Mashup.OleDb.1;Data Source=$Workbook$;Location=&quot;Table043 (Page 13)&quot;;Extended Properties=&quot;&quot;" command="SELECT * FROM [Table043 (Page 13)]"/>
  </connection>
  <connection id="19" xr16:uid="{BD5F95C3-9E92-4C4F-8211-18C955B8E3AF}" keepAlive="1" name="Query - Table043 (Page 13) (2)" description="Connection to the 'Table043 (Page 13) (2)' query in the workbook." type="5" refreshedVersion="8" background="1" saveData="1">
    <dbPr connection="Provider=Microsoft.Mashup.OleDb.1;Data Source=$Workbook$;Location=&quot;Table043 (Page 13) (2)&quot;;Extended Properties=&quot;&quot;" command="SELECT * FROM [Table043 (Page 13) (2)]"/>
  </connection>
  <connection id="20" xr16:uid="{2D6087A3-D6D0-4290-992B-F5E26608F542}" keepAlive="1" name="Query - Table044 (Page 13-14)" description="Connection to the 'Table044 (Page 13-14)' query in the workbook." type="5" refreshedVersion="8" background="1" saveData="1">
    <dbPr connection="Provider=Microsoft.Mashup.OleDb.1;Data Source=$Workbook$;Location=&quot;Table044 (Page 13-14)&quot;;Extended Properties=&quot;&quot;" command="SELECT * FROM [Table044 (Page 13-14)]"/>
  </connection>
  <connection id="21" xr16:uid="{0A6B6E41-A3BC-443E-9DE9-31E16EFA6D02}" keepAlive="1" name="Query - Table044 (Page 13-14) (2)" description="Connection to the 'Table044 (Page 13-14) (2)' query in the workbook." type="5" refreshedVersion="8" background="1" saveData="1">
    <dbPr connection="Provider=Microsoft.Mashup.OleDb.1;Data Source=$Workbook$;Location=&quot;Table044 (Page 13-14) (2)&quot;;Extended Properties=&quot;&quot;" command="SELECT * FROM [Table044 (Page 13-14) (2)]"/>
  </connection>
  <connection id="22" xr16:uid="{6F8E026B-7054-48A3-B83E-3B256DF42734}" keepAlive="1" name="Query - Table047 (Page 14)" description="Connection to the 'Table047 (Page 14)' query in the workbook." type="5" refreshedVersion="8" background="1" saveData="1">
    <dbPr connection="Provider=Microsoft.Mashup.OleDb.1;Data Source=$Workbook$;Location=&quot;Table047 (Page 14)&quot;;Extended Properties=&quot;&quot;" command="SELECT * FROM [Table047 (Page 14)]"/>
  </connection>
  <connection id="23" xr16:uid="{C6543660-1891-4589-B990-666388BB42CB}" keepAlive="1" name="Query - Table048 (Page 15)" description="Connection to the 'Table048 (Page 15)' query in the workbook." type="5" refreshedVersion="8" background="1" saveData="1">
    <dbPr connection="Provider=Microsoft.Mashup.OleDb.1;Data Source=$Workbook$;Location=&quot;Table048 (Page 15)&quot;;Extended Properties=&quot;&quot;" command="SELECT * FROM [Table048 (Page 15)]"/>
  </connection>
  <connection id="24" xr16:uid="{C5896BAB-D578-4DD0-B01B-65DE5E767E62}" keepAlive="1" name="Query - Table049 (Page 15)" description="Connection to the 'Table049 (Page 15)' query in the workbook." type="5" refreshedVersion="8" background="1" saveData="1">
    <dbPr connection="Provider=Microsoft.Mashup.OleDb.1;Data Source=$Workbook$;Location=&quot;Table049 (Page 15)&quot;;Extended Properties=&quot;&quot;" command="SELECT * FROM [Table049 (Page 15)]"/>
  </connection>
  <connection id="25" xr16:uid="{6A3452FB-4C9F-40E8-9A52-8465FFE7719E}" keepAlive="1" name="Query - Table050 (Page 15)" description="Connection to the 'Table050 (Page 15)' query in the workbook." type="5" refreshedVersion="8" background="1" saveData="1">
    <dbPr connection="Provider=Microsoft.Mashup.OleDb.1;Data Source=$Workbook$;Location=&quot;Table050 (Page 15)&quot;;Extended Properties=&quot;&quot;" command="SELECT * FROM [Table050 (Page 15)]"/>
  </connection>
  <connection id="26" xr16:uid="{287FBB35-742E-4213-88FD-A13BBBFF7064}" keepAlive="1" name="Query - Table051 (Page 15)" description="Connection to the 'Table051 (Page 15)' query in the workbook." type="5" refreshedVersion="8" background="1" saveData="1">
    <dbPr connection="Provider=Microsoft.Mashup.OleDb.1;Data Source=$Workbook$;Location=&quot;Table051 (Page 15)&quot;;Extended Properties=&quot;&quot;" command="SELECT * FROM [Table051 (Page 15)]"/>
  </connection>
  <connection id="27" xr16:uid="{7E221722-37BB-4D63-BCE4-6BF99BA9D278}" keepAlive="1" name="Query - Table052 (Page 15)" description="Connection to the 'Table052 (Page 15)' query in the workbook." type="5" refreshedVersion="8" background="1" saveData="1">
    <dbPr connection="Provider=Microsoft.Mashup.OleDb.1;Data Source=$Workbook$;Location=&quot;Table052 (Page 15)&quot;;Extended Properties=&quot;&quot;" command="SELECT * FROM [Table052 (Page 15)]"/>
  </connection>
  <connection id="28" xr16:uid="{29F3F10B-F037-4A58-9B5C-E0F67DAB65A0}" keepAlive="1" name="Query - Table053 (Page 15)" description="Connection to the 'Table053 (Page 15)' query in the workbook." type="5" refreshedVersion="8" background="1" saveData="1">
    <dbPr connection="Provider=Microsoft.Mashup.OleDb.1;Data Source=$Workbook$;Location=&quot;Table053 (Page 15)&quot;;Extended Properties=&quot;&quot;" command="SELECT * FROM [Table053 (Page 15)]"/>
  </connection>
  <connection id="29" xr16:uid="{88100132-0BC4-41A6-B999-242DB858BB08}" keepAlive="1" name="Query - Table054 (Page 15)" description="Connection to the 'Table054 (Page 15)' query in the workbook." type="5" refreshedVersion="8" background="1" saveData="1">
    <dbPr connection="Provider=Microsoft.Mashup.OleDb.1;Data Source=$Workbook$;Location=&quot;Table054 (Page 15)&quot;;Extended Properties=&quot;&quot;" command="SELECT * FROM [Table054 (Page 15)]"/>
  </connection>
  <connection id="30" xr16:uid="{E4F0ACD6-BA64-42F3-A0CE-E7003A4CC041}" keepAlive="1" name="Query - Table055 (Page 15)" description="Connection to the 'Table055 (Page 15)' query in the workbook." type="5" refreshedVersion="8" background="1" saveData="1">
    <dbPr connection="Provider=Microsoft.Mashup.OleDb.1;Data Source=$Workbook$;Location=&quot;Table055 (Page 15)&quot;;Extended Properties=&quot;&quot;" command="SELECT * FROM [Table055 (Page 15)]"/>
  </connection>
  <connection id="31" xr16:uid="{C48F1896-E968-4701-B657-871B2068C2F5}" keepAlive="1" name="Query - Table056 (Page 15)" description="Connection to the 'Table056 (Page 15)' query in the workbook." type="5" refreshedVersion="8" background="1" saveData="1">
    <dbPr connection="Provider=Microsoft.Mashup.OleDb.1;Data Source=$Workbook$;Location=&quot;Table056 (Page 15)&quot;;Extended Properties=&quot;&quot;" command="SELECT * FROM [Table056 (Page 15)]"/>
  </connection>
  <connection id="32" xr16:uid="{62CF1341-8AE3-45FF-A945-3ABE58D768DA}" keepAlive="1" name="Query - Table057 (Page 16)" description="Connection to the 'Table057 (Page 16)' query in the workbook." type="5" refreshedVersion="8" background="1" saveData="1">
    <dbPr connection="Provider=Microsoft.Mashup.OleDb.1;Data Source=$Workbook$;Location=&quot;Table057 (Page 16)&quot;;Extended Properties=&quot;&quot;" command="SELECT * FROM [Table057 (Page 16)]"/>
  </connection>
  <connection id="33" xr16:uid="{C27F43BA-CF84-4534-BC9E-C8AE43F374F0}" keepAlive="1" name="Query - Table058 (Page 16)" description="Connection to the 'Table058 (Page 16)' query in the workbook." type="5" refreshedVersion="8" background="1" saveData="1">
    <dbPr connection="Provider=Microsoft.Mashup.OleDb.1;Data Source=$Workbook$;Location=&quot;Table058 (Page 16)&quot;;Extended Properties=&quot;&quot;" command="SELECT * FROM [Table058 (Page 16)]"/>
  </connection>
  <connection id="34" xr16:uid="{E18B1867-65B6-4E79-9B85-C9778D7A5070}" keepAlive="1" name="Query - Table059 (Page 16)" description="Connection to the 'Table059 (Page 16)' query in the workbook." type="5" refreshedVersion="8" background="1" saveData="1">
    <dbPr connection="Provider=Microsoft.Mashup.OleDb.1;Data Source=$Workbook$;Location=&quot;Table059 (Page 16)&quot;;Extended Properties=&quot;&quot;" command="SELECT * FROM [Table059 (Page 16)]"/>
  </connection>
  <connection id="35" xr16:uid="{ADDE41FB-B6FE-4709-9B37-A2F237F127D5}" keepAlive="1" name="Query - Table059 (Page 16) (2)" description="Connection to the 'Table059 (Page 16) (2)' query in the workbook." type="5" refreshedVersion="8" background="1" saveData="1">
    <dbPr connection="Provider=Microsoft.Mashup.OleDb.1;Data Source=$Workbook$;Location=&quot;Table059 (Page 16) (2)&quot;;Extended Properties=&quot;&quot;" command="SELECT * FROM [Table059 (Page 16) (2)]"/>
  </connection>
  <connection id="36" xr16:uid="{855DF03E-8454-49E7-B037-1BD4D3EB44E8}" keepAlive="1" name="Query - Table060 (Page 16)" description="Connection to the 'Table060 (Page 16)' query in the workbook." type="5" refreshedVersion="8" background="1" saveData="1">
    <dbPr connection="Provider=Microsoft.Mashup.OleDb.1;Data Source=$Workbook$;Location=&quot;Table060 (Page 16)&quot;;Extended Properties=&quot;&quot;" command="SELECT * FROM [Table060 (Page 16)]"/>
  </connection>
  <connection id="37" xr16:uid="{2EB97B53-9069-4BD2-A2A9-B5895F54629A}" keepAlive="1" name="Query - Table062 (Page 16)" description="Connection to the 'Table062 (Page 16)' query in the workbook." type="5" refreshedVersion="8" background="1" saveData="1">
    <dbPr connection="Provider=Microsoft.Mashup.OleDb.1;Data Source=$Workbook$;Location=&quot;Table062 (Page 16)&quot;;Extended Properties=&quot;&quot;" command="SELECT * FROM [Table062 (Page 16)]"/>
  </connection>
  <connection id="38" xr16:uid="{4F66B610-C9BA-4B59-A84B-70232028BB9A}" keepAlive="1" name="Query - Table063 (Page 16)" description="Connection to the 'Table063 (Page 16)' query in the workbook." type="5" refreshedVersion="8" background="1" saveData="1">
    <dbPr connection="Provider=Microsoft.Mashup.OleDb.1;Data Source=$Workbook$;Location=&quot;Table063 (Page 16)&quot;;Extended Properties=&quot;&quot;" command="SELECT * FROM [Table063 (Page 16)]"/>
  </connection>
  <connection id="39" xr16:uid="{B2C0897C-5649-4A6B-97CC-22A4987A7E76}" keepAlive="1" name="Query - Table064 (Page 17)" description="Connection to the 'Table064 (Page 17)' query in the workbook." type="5" refreshedVersion="8" background="1" saveData="1">
    <dbPr connection="Provider=Microsoft.Mashup.OleDb.1;Data Source=$Workbook$;Location=&quot;Table064 (Page 17)&quot;;Extended Properties=&quot;&quot;" command="SELECT * FROM [Table064 (Page 17)]"/>
  </connection>
  <connection id="40" xr16:uid="{D99D1C33-0773-4808-BD05-F950FAE00486}" keepAlive="1" name="Query - Table065 (Page 17)" description="Connection to the 'Table065 (Page 17)' query in the workbook." type="5" refreshedVersion="8" background="1" saveData="1">
    <dbPr connection="Provider=Microsoft.Mashup.OleDb.1;Data Source=$Workbook$;Location=&quot;Table065 (Page 17)&quot;;Extended Properties=&quot;&quot;" command="SELECT * FROM [Table065 (Page 17)]"/>
  </connection>
  <connection id="41" xr16:uid="{408298F1-ACB8-4720-A225-6AEE90160B17}" keepAlive="1" name="Query - Table067 (Page 18)" description="Connection to the 'Table067 (Page 18)' query in the workbook." type="5" refreshedVersion="8" background="1" saveData="1">
    <dbPr connection="Provider=Microsoft.Mashup.OleDb.1;Data Source=$Workbook$;Location=&quot;Table067 (Page 18)&quot;;Extended Properties=&quot;&quot;" command="SELECT * FROM [Table067 (Page 18)]"/>
  </connection>
  <connection id="42" xr16:uid="{55879674-1FBE-4EA3-947B-106B199705F7}" keepAlive="1" name="Query - Table068 (Page 18)" description="Connection to the 'Table068 (Page 18)' query in the workbook." type="5" refreshedVersion="8" background="1" saveData="1">
    <dbPr connection="Provider=Microsoft.Mashup.OleDb.1;Data Source=$Workbook$;Location=&quot;Table068 (Page 18)&quot;;Extended Properties=&quot;&quot;" command="SELECT * FROM [Table068 (Page 18)]"/>
  </connection>
  <connection id="43" xr16:uid="{FBB12A4A-E813-420F-B751-7DADF28EA04C}" keepAlive="1" name="Query - Table080 (Page 20)" description="Connection to the 'Table080 (Page 20)' query in the workbook." type="5" refreshedVersion="8" background="1" saveData="1">
    <dbPr connection="Provider=Microsoft.Mashup.OleDb.1;Data Source=$Workbook$;Location=&quot;Table080 (Page 20)&quot;;Extended Properties=&quot;&quot;" command="SELECT * FROM [Table080 (Page 20)]"/>
  </connection>
  <connection id="44" xr16:uid="{BFF64DF1-D194-470B-8D7A-BD6F47F99949}" keepAlive="1" name="Query - Table081 (Page 20)" description="Connection to the 'Table081 (Page 20)' query in the workbook." type="5" refreshedVersion="0" background="1">
    <dbPr connection="Provider=Microsoft.Mashup.OleDb.1;Data Source=$Workbook$;Location=&quot;Table081 (Page 20)&quot;;Extended Properties=&quot;&quot;" command="SELECT * FROM [Table081 (Page 20)]"/>
  </connection>
  <connection id="45" xr16:uid="{0B2F62A2-AA71-4A3E-AC4B-D00DABEAEA62}" keepAlive="1" name="Query - Table082 (Page 20)" description="Connection to the 'Table082 (Page 20)' query in the workbook." type="5" refreshedVersion="8" background="1" saveData="1">
    <dbPr connection="Provider=Microsoft.Mashup.OleDb.1;Data Source=$Workbook$;Location=&quot;Table082 (Page 20)&quot;;Extended Properties=&quot;&quot;" command="SELECT * FROM [Table082 (Page 20)]"/>
  </connection>
  <connection id="46" xr16:uid="{CA88A3CD-41B2-4219-8CBB-ACABCAB6F0B7}" keepAlive="1" name="Query - Table083 (Page 20)" description="Connection to the 'Table083 (Page 20)' query in the workbook." type="5" refreshedVersion="8" background="1" saveData="1">
    <dbPr connection="Provider=Microsoft.Mashup.OleDb.1;Data Source=$Workbook$;Location=&quot;Table083 (Page 20)&quot;;Extended Properties=&quot;&quot;" command="SELECT * FROM [Table083 (Page 20)]"/>
  </connection>
  <connection id="47" xr16:uid="{413E9BA1-897F-4494-A740-7BB999E86AF2}" keepAlive="1" name="Query - Table084 (Page 20)" description="Connection to the 'Table084 (Page 20)' query in the workbook." type="5" refreshedVersion="8" background="1" saveData="1">
    <dbPr connection="Provider=Microsoft.Mashup.OleDb.1;Data Source=$Workbook$;Location=&quot;Table084 (Page 20)&quot;;Extended Properties=&quot;&quot;" command="SELECT * FROM [Table084 (Page 20)]"/>
  </connection>
  <connection id="48" xr16:uid="{220CF7F5-33B8-426B-8367-D34648977D9D}" keepAlive="1" name="Query - Table085 (Page 21)" description="Connection to the 'Table085 (Page 21)' query in the workbook." type="5" refreshedVersion="8" background="1" saveData="1">
    <dbPr connection="Provider=Microsoft.Mashup.OleDb.1;Data Source=$Workbook$;Location=&quot;Table085 (Page 21)&quot;;Extended Properties=&quot;&quot;" command="SELECT * FROM [Table085 (Page 21)]"/>
  </connection>
  <connection id="49" xr16:uid="{6B0AD1AE-A5CE-4D1B-8B38-95EA66127B4F}" keepAlive="1" name="Query - Table094 (Page 23)" description="Connection to the 'Table094 (Page 23)' query in the workbook." type="5" refreshedVersion="8" background="1" saveData="1">
    <dbPr connection="Provider=Microsoft.Mashup.OleDb.1;Data Source=$Workbook$;Location=&quot;Table094 (Page 23)&quot;;Extended Properties=&quot;&quot;" command="SELECT * FROM [Table094 (Page 23)]"/>
  </connection>
  <connection id="50" xr16:uid="{C647FA54-1F59-47CE-BD55-D0F956AA2648}" keepAlive="1" name="Query - Table095 (Page 23)" description="Connection to the 'Table095 (Page 23)' query in the workbook." type="5" refreshedVersion="8" background="1" saveData="1">
    <dbPr connection="Provider=Microsoft.Mashup.OleDb.1;Data Source=$Workbook$;Location=&quot;Table095 (Page 23)&quot;;Extended Properties=&quot;&quot;" command="SELECT * FROM [Table095 (Page 23)]"/>
  </connection>
  <connection id="51" xr16:uid="{4076114F-2E32-4EF0-8EFA-4A4F77E98C0C}" keepAlive="1" name="Query - Table096 (Page 23)" description="Connection to the 'Table096 (Page 23)' query in the workbook." type="5" refreshedVersion="8" background="1" saveData="1">
    <dbPr connection="Provider=Microsoft.Mashup.OleDb.1;Data Source=$Workbook$;Location=&quot;Table096 (Page 23)&quot;;Extended Properties=&quot;&quot;" command="SELECT * FROM [Table096 (Page 23)]"/>
  </connection>
  <connection id="52" xr16:uid="{81BA10DC-6C28-4C57-AB4F-6531B65F0ACC}" keepAlive="1" name="Query - Table100 (Page 24)" description="Connection to the 'Table100 (Page 24)' query in the workbook." type="5" refreshedVersion="8" background="1" saveData="1">
    <dbPr connection="Provider=Microsoft.Mashup.OleDb.1;Data Source=$Workbook$;Location=&quot;Table100 (Page 24)&quot;;Extended Properties=&quot;&quot;" command="SELECT * FROM [Table100 (Page 24)]"/>
  </connection>
  <connection id="53" xr16:uid="{AF9CFEB5-1EC5-43AC-BE63-1687C2B533D8}" keepAlive="1" name="Query - Table101 (Page 25)" description="Connection to the 'Table101 (Page 25)' query in the workbook." type="5" refreshedVersion="8" background="1" saveData="1">
    <dbPr connection="Provider=Microsoft.Mashup.OleDb.1;Data Source=$Workbook$;Location=&quot;Table101 (Page 25)&quot;;Extended Properties=&quot;&quot;" command="SELECT * FROM [Table101 (Page 25)]"/>
  </connection>
  <connection id="54" xr16:uid="{05F9091B-88E5-43A7-A15C-7D7B9254936E}" keepAlive="1" name="Query - Table102 (Page 25)" description="Connection to the 'Table102 (Page 25)' query in the workbook." type="5" refreshedVersion="8" background="1" saveData="1">
    <dbPr connection="Provider=Microsoft.Mashup.OleDb.1;Data Source=$Workbook$;Location=&quot;Table102 (Page 25)&quot;;Extended Properties=&quot;&quot;" command="SELECT * FROM [Table102 (Page 25)]"/>
  </connection>
  <connection id="55" xr16:uid="{2ECB312C-1873-4B64-AA8F-A01FAB2B94C6}" keepAlive="1" name="Query - Table103 (Page 25)" description="Connection to the 'Table103 (Page 25)' query in the workbook." type="5" refreshedVersion="8" background="1" saveData="1">
    <dbPr connection="Provider=Microsoft.Mashup.OleDb.1;Data Source=$Workbook$;Location=&quot;Table103 (Page 25)&quot;;Extended Properties=&quot;&quot;" command="SELECT * FROM [Table103 (Page 25)]"/>
  </connection>
  <connection id="56" xr16:uid="{8A2AEF8B-BD32-49D1-88FC-B52B69BD016E}" keepAlive="1" name="Query - Table104 (Page 25)" description="Connection to the 'Table104 (Page 25)' query in the workbook." type="5" refreshedVersion="8" background="1" saveData="1">
    <dbPr connection="Provider=Microsoft.Mashup.OleDb.1;Data Source=$Workbook$;Location=&quot;Table104 (Page 25)&quot;;Extended Properties=&quot;&quot;" command="SELECT * FROM [Table104 (Page 25)]"/>
  </connection>
  <connection id="57" xr16:uid="{1B1B2AC4-8265-42E1-87D4-40053EC5F559}" keepAlive="1" name="Query - Table105 (Page 25)" description="Connection to the 'Table105 (Page 25)' query in the workbook." type="5" refreshedVersion="8" background="1" saveData="1">
    <dbPr connection="Provider=Microsoft.Mashup.OleDb.1;Data Source=$Workbook$;Location=&quot;Table105 (Page 25)&quot;;Extended Properties=&quot;&quot;" command="SELECT * FROM [Table105 (Page 25)]"/>
  </connection>
  <connection id="58" xr16:uid="{C2D0CF1C-BA43-42FB-A601-1160E0BFB5CC}" keepAlive="1" name="Query - Table106 (Page 26)" description="Connection to the 'Table106 (Page 26)' query in the workbook." type="5" refreshedVersion="8" background="1" saveData="1">
    <dbPr connection="Provider=Microsoft.Mashup.OleDb.1;Data Source=$Workbook$;Location=&quot;Table106 (Page 26)&quot;;Extended Properties=&quot;&quot;" command="SELECT * FROM [Table106 (Page 26)]"/>
  </connection>
  <connection id="59" xr16:uid="{90F8228C-B8B7-4D33-BDD5-1664D6CCADE7}" keepAlive="1" name="Query - Table107 (Page 26)" description="Connection to the 'Table107 (Page 26)' query in the workbook." type="5" refreshedVersion="8" background="1" saveData="1">
    <dbPr connection="Provider=Microsoft.Mashup.OleDb.1;Data Source=$Workbook$;Location=&quot;Table107 (Page 26)&quot;;Extended Properties=&quot;&quot;" command="SELECT * FROM [Table107 (Page 26)]"/>
  </connection>
  <connection id="60" xr16:uid="{03D99E38-C984-48FC-82D6-7A9D8A3BEBC3}" keepAlive="1" name="Query - Table108 (Page 26)" description="Connection to the 'Table108 (Page 26)' query in the workbook." type="5" refreshedVersion="8" background="1" saveData="1">
    <dbPr connection="Provider=Microsoft.Mashup.OleDb.1;Data Source=$Workbook$;Location=&quot;Table108 (Page 26)&quot;;Extended Properties=&quot;&quot;" command="SELECT * FROM [Table108 (Page 26)]"/>
  </connection>
  <connection id="61" xr16:uid="{FD8D41CE-9E45-4366-BB44-922682093DD5}" keepAlive="1" name="Query - Table109 (Page 26)" description="Connection to the 'Table109 (Page 26)' query in the workbook." type="5" refreshedVersion="8" background="1" saveData="1">
    <dbPr connection="Provider=Microsoft.Mashup.OleDb.1;Data Source=$Workbook$;Location=&quot;Table109 (Page 26)&quot;;Extended Properties=&quot;&quot;" command="SELECT * FROM [Table109 (Page 2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<sst xmlns="http://schemas.openxmlformats.org/spreadsheetml/2006/main" count="2173" uniqueCount="985">
  <si>
    <t>Use of Formulas Sum, Average, If, Count, Counta, Countif &amp; Sumif </t>
  </si>
  <si>
    <t>Roll No Student Name Hindi English Math Physics Chemistry Total Average Grade </t>
  </si>
  <si>
    <t>Q.1 Find the Total Number &amp; Average in all Subjects in Each Student .</t>
  </si>
  <si>
    <t>Q.2 Find Grade Using If Function - If Average Greater &gt;15 then "A" Grade otherwise "B" Grade </t>
  </si>
  <si>
    <t>Q.3 How Many Student "A" and "B" Grade (Use of Countif)</t>
  </si>
  <si>
    <t>Q.4 Student Ashok and Manoj Total Number and Average (Use of Sumif)</t>
  </si>
  <si>
    <t>Q.5 Count how many Students (Use of Counta)</t>
  </si>
  <si>
    <t>Q.6 How Many Student Hindi &amp; English Subject Number Grater Then &gt; 20 and &lt;15( Use of Countif)</t>
  </si>
  <si>
    <t>Roll no</t>
  </si>
  <si>
    <t>Student Name</t>
  </si>
  <si>
    <t>Hindi</t>
  </si>
  <si>
    <t>English</t>
  </si>
  <si>
    <t>Math</t>
  </si>
  <si>
    <t>Physics</t>
  </si>
  <si>
    <t>Chemistry</t>
  </si>
  <si>
    <t>Total</t>
  </si>
  <si>
    <t>Average</t>
  </si>
  <si>
    <t>Grade</t>
  </si>
  <si>
    <t>RAM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</si>
  <si>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</si>
  <si>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</si>
  <si>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</si>
  <si>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</si>
  <si>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</si>
  <si>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</si>
  <si>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</si>
  <si>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</si>
  <si>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</si>
  <si>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A Grade</t>
  </si>
  <si>
    <t>B Grade</t>
  </si>
  <si>
    <t>Total Number</t>
  </si>
  <si>
    <t>Use of Formulas - Product, If, Counta, Countif, Sumif</t>
  </si>
  <si>
    <t>Q.1 Using of Product Fomula for Calculate Amount = Qty*Rate </t>
  </si>
  <si>
    <t>Q.2 How Many Items in a List </t>
  </si>
  <si>
    <t>Q.3 How Many Items qty Greate Then &gt; 20 and Less Then &lt;20</t>
  </si>
  <si>
    <t>Q.4  Calculate Item Computer Qty, Rate and Amount using Sumif Formula </t>
  </si>
  <si>
    <t>Q.5 If Items Amount is Greater &gt; 500000, Then Items "Expensive" otherwise "Lets Buy it".</t>
  </si>
  <si>
    <t>SR NO</t>
  </si>
  <si>
    <t>ITEMS</t>
  </si>
  <si>
    <t>QTY</t>
  </si>
  <si>
    <t>RATE</t>
  </si>
  <si>
    <t>AMOUNT</t>
  </si>
  <si>
    <t>GRADE</t>
  </si>
  <si>
    <t>AC</t>
  </si>
  <si>
    <t>FRIDGE</t>
  </si>
  <si>
    <t>COOLER</t>
  </si>
  <si>
    <t>WASHING MACHINE</t>
  </si>
  <si>
    <t>TV</t>
  </si>
  <si>
    <t>FAN</t>
  </si>
  <si>
    <t>COMPUTER</t>
  </si>
  <si>
    <t>KEYBOARD</t>
  </si>
  <si>
    <t>MOUSE</t>
  </si>
  <si>
    <t>PRINTER</t>
  </si>
  <si>
    <t>Use of Formulas - Sum, NestedIf, Counta, Countif, Sumif, Vlookup</t>
  </si>
  <si>
    <r>
      <t>Q.1 HOW MANY SUBJECT ?   (</t>
    </r>
    <r>
      <rPr>
        <sz val="11"/>
        <color rgb="FF000000"/>
        <rFont val="Calibri"/>
        <family val="2"/>
        <scheme val="minor"/>
      </rPr>
      <t>Use of Counta )</t>
    </r>
  </si>
  <si>
    <r>
      <t>Q.2 HOW MANY SUBJECT 1 PAPER GREATER THAN 20 ?  (</t>
    </r>
    <r>
      <rPr>
        <sz val="11"/>
        <color rgb="FF000000"/>
        <rFont val="Calibri"/>
        <family val="2"/>
        <scheme val="minor"/>
      </rPr>
      <t>Use of Countif )</t>
    </r>
  </si>
  <si>
    <r>
      <t xml:space="preserve">Q.3 SUBJECT HINDI, MATH &amp; ENGLISH TOTAL NO. &amp; GRADE ( </t>
    </r>
    <r>
      <rPr>
        <sz val="11"/>
        <color rgb="FF000000"/>
        <rFont val="Calibri"/>
        <family val="2"/>
        <scheme val="minor"/>
      </rPr>
      <t>Use of  Vlookup) </t>
    </r>
  </si>
  <si>
    <t>Q.4 IF AVE. GREATHER THAN 20 THEN "A", IF AVE. GREATEHR THAN 15 AVE. "B" OTHERWISE "C" </t>
  </si>
  <si>
    <r>
      <t xml:space="preserve">Q.5 SUBJECT PHYSICS, MATHS &amp; ENGLISH TOTAL /AVERAGE( </t>
    </r>
    <r>
      <rPr>
        <sz val="11"/>
        <color rgb="FF000000"/>
        <rFont val="Calibri"/>
        <family val="2"/>
        <scheme val="minor"/>
      </rPr>
      <t>Use of  Vlookup)</t>
    </r>
  </si>
  <si>
    <t>SUBJECT</t>
  </si>
  <si>
    <t>1ST</t>
  </si>
  <si>
    <t>2ND</t>
  </si>
  <si>
    <t>3RD</t>
  </si>
  <si>
    <t>TOTAL</t>
  </si>
  <si>
    <t>AVERAGE</t>
  </si>
  <si>
    <t>HINDI</t>
  </si>
  <si>
    <t>ENGLISH</t>
  </si>
  <si>
    <t>MATH</t>
  </si>
  <si>
    <t>PHYSICS</t>
  </si>
  <si>
    <t>CHEMISTRY</t>
  </si>
  <si>
    <t>HISTORY</t>
  </si>
  <si>
    <t>GEO</t>
  </si>
  <si>
    <t>BIO</t>
  </si>
  <si>
    <t>BOTANY</t>
  </si>
  <si>
    <t>Q.1 HOW MANY SUBJECT ?   (Use of Counta )</t>
  </si>
  <si>
    <t>Q.2 HOW MANY SUBJECT 1 PAPER GREATER THAN 20 ?  (Use of Countif )</t>
  </si>
  <si>
    <t>Q.3 SUBJECT HINDI, MATH &amp; ENGLISH TOTAL NO. &amp; GRADE ( Use of  Vlookup) </t>
  </si>
  <si>
    <t>Q.5 SUBJECT PHYSICS, MATHS &amp; ENGLISH TOTAL /AVERAGE( Use of  Vlookup)</t>
  </si>
  <si>
    <t>Assignment -3 =========&gt; SOLUTION</t>
  </si>
  <si>
    <t>Assignment -1 =======&gt; SOLUTION</t>
  </si>
  <si>
    <t>Assignment -2 =======&gt; SOLUTION</t>
  </si>
  <si>
    <t>Q.1 HOW MANY EMPLOYEE IN COMPUTER, FINANCE, ELECTRICAL DEPARTMENT </t>
  </si>
  <si>
    <t>Use of Countif </t>
  </si>
  <si>
    <t>Q.2 HOW MANY BASIC SALARY IN COMPUTER DFPARTMENT ONLY? </t>
  </si>
  <si>
    <t>Use of Sumif </t>
  </si>
  <si>
    <t>Q.3 MANOJ, ASHISH POST &amp; GRADE </t>
  </si>
  <si>
    <t>Use of Vlookup </t>
  </si>
  <si>
    <t>Q.4 IF TOTAL SALALRY IS GREATER THEN 20000 THEN "A", IF TOTAL SALARY GREATER THEN 10000 THEN "B", </t>
  </si>
  <si>
    <t>OTHERWISE "C</t>
  </si>
  <si>
    <t>Q.5 HOW MANY EMPLOYEE IS MANAGER &amp; GUARD? </t>
  </si>
  <si>
    <t>Use of Countif</t>
  </si>
  <si>
    <t>Assignment -4 (SALARY SHEET) =========&gt; SOLUTION</t>
  </si>
  <si>
    <t>NAME</t>
  </si>
  <si>
    <t>DEPARTMENT</t>
  </si>
  <si>
    <t>POST</t>
  </si>
  <si>
    <t>BASIC</t>
  </si>
  <si>
    <t>DA 2.5%</t>
  </si>
  <si>
    <t>HRA 3.5%</t>
  </si>
  <si>
    <t>PF 1.5%</t>
  </si>
  <si>
    <t>SHYAM</t>
  </si>
  <si>
    <t>RAHUL</t>
  </si>
  <si>
    <t>RAKESH</t>
  </si>
  <si>
    <t>ASHISH</t>
  </si>
  <si>
    <t>MANISH</t>
  </si>
  <si>
    <t>ELECTRICAL</t>
  </si>
  <si>
    <t>FINANCE</t>
  </si>
  <si>
    <t>MANAGER</t>
  </si>
  <si>
    <t>SUPERVISOR</t>
  </si>
  <si>
    <t>PION</t>
  </si>
  <si>
    <t>GUARD</t>
  </si>
  <si>
    <t>CASHER</t>
  </si>
  <si>
    <t>ACCOUNTANT</t>
  </si>
  <si>
    <t>Q.1 HOW MANY EMPLOYEE IN COMPUTER, FINANCE, ELECTRICAL DEPARTMENT (Use of Countif) </t>
  </si>
  <si>
    <t>Q.2 HOW MANY BASIC SALARY IN COMPUTER DFPARTMENT ONLY?( Use of Sumif )</t>
  </si>
  <si>
    <t>Q.3 MANOJ, ASHISH POST &amp; GRADE (Use of Vlookup )</t>
  </si>
  <si>
    <t>Q.5 HOW MANY EMPLOYEE IS MANAGER &amp; GUARD? (Use of Countif) </t>
  </si>
  <si>
    <t>Use of Formulas - Counta, Countif, Sumif, Hlookup,</t>
  </si>
  <si>
    <t>Conditional Formatting</t>
  </si>
  <si>
    <t>Q.1 HOW MANY ITEMS ?</t>
  </si>
  <si>
    <t>Use of Counta</t>
  </si>
  <si>
    <t>Use of Conditional</t>
  </si>
  <si>
    <t>F</t>
  </si>
  <si>
    <t>Use of Hlookup</t>
  </si>
  <si>
    <t>Q.6 Total Cost of Window and Brakes Items?</t>
  </si>
  <si>
    <t>Use of Sumif</t>
  </si>
  <si>
    <t>Assignment -6 =======&gt; SOLUTION</t>
  </si>
  <si>
    <t>Items</t>
  </si>
  <si>
    <t>Date</t>
  </si>
  <si>
    <t>Cost</t>
  </si>
  <si>
    <t>BRAKES</t>
  </si>
  <si>
    <t>TYRES</t>
  </si>
  <si>
    <t>SERVICE</t>
  </si>
  <si>
    <t>WINDOW</t>
  </si>
  <si>
    <t>CLUTCH</t>
  </si>
  <si>
    <t>Q.1 HOW MANY ITEMS ? (Use of Counta)</t>
  </si>
  <si>
    <t>Q.2 HOW MANY BRAKE, WINDOW &amp; TYRES HAVE BEEN BOUGHTS?</t>
  </si>
  <si>
    <t>Q.2 HOW MANY BRAKES, WINDOW &amp; TYRES HAVE BEEN BOUGHTS? (Use of Countif)</t>
  </si>
  <si>
    <t>Q.3 HOW MANY ITEMS COST IS&gt;1000 &amp; BELOW &amp; &gt; = 1000?</t>
  </si>
  <si>
    <t>Q.3 HOW MANY ITEMS COST IS&gt;1000 &amp; BELOW &amp; &gt; = 1000? (Use of Countif)</t>
  </si>
  <si>
    <t>&gt;1000</t>
  </si>
  <si>
    <t>&lt;=1000</t>
  </si>
  <si>
    <t>2ND METHOD</t>
  </si>
  <si>
    <t>Q.4 HIGHLIGHT TYRES ITESM &amp; 500 BETWEEN 2000 COST.</t>
  </si>
  <si>
    <t>Q.5 ITEMS COLOUMN IS 15, 18 &amp;20 ITEMS NAME?</t>
  </si>
  <si>
    <t>NO</t>
  </si>
  <si>
    <t>Q.5 ITEMS COLOUMN IS 15, 18 &amp;20 ITEMS NAME?  (Use of Hlookup)</t>
  </si>
  <si>
    <t>Q.6 Total Cost of Window and Brakes Items? (Use of Sumif)</t>
  </si>
  <si>
    <t>Create Pivot Table Using Data</t>
  </si>
  <si>
    <t>Last Name</t>
  </si>
  <si>
    <t>Sales</t>
  </si>
  <si>
    <t>Country</t>
  </si>
  <si>
    <t>Quarter</t>
  </si>
  <si>
    <t>Smith</t>
  </si>
  <si>
    <t>Johnson</t>
  </si>
  <si>
    <t>Williams</t>
  </si>
  <si>
    <t>Jones</t>
  </si>
  <si>
    <t>Brown</t>
  </si>
  <si>
    <t>UK</t>
  </si>
  <si>
    <t>USA</t>
  </si>
  <si>
    <t>Qtr 3</t>
  </si>
  <si>
    <t>Qtr 2</t>
  </si>
  <si>
    <t>Qtr 4</t>
  </si>
  <si>
    <t>Qtr 1</t>
  </si>
  <si>
    <t>Q.4 HIGHLIGHT TYRES ITESM &amp; 500 BETWEEN 2000 COST. (Use of Conditional)</t>
  </si>
  <si>
    <t>Row Labels</t>
  </si>
  <si>
    <t>Grand Total</t>
  </si>
  <si>
    <t>Sum of Sales</t>
  </si>
  <si>
    <t>(All)</t>
  </si>
  <si>
    <t>USE OF HLOOKUP</t>
  </si>
  <si>
    <t>Months</t>
  </si>
  <si>
    <t>Sale</t>
  </si>
  <si>
    <t>January</t>
  </si>
  <si>
    <t>February</t>
  </si>
  <si>
    <t>March</t>
  </si>
  <si>
    <t>April</t>
  </si>
  <si>
    <t>May</t>
  </si>
  <si>
    <t>June</t>
  </si>
  <si>
    <t>Name</t>
  </si>
  <si>
    <t>Science</t>
  </si>
  <si>
    <t>Maths</t>
  </si>
  <si>
    <t>Roger</t>
  </si>
  <si>
    <t>Mat</t>
  </si>
  <si>
    <t>Jim</t>
  </si>
  <si>
    <t>Cole</t>
  </si>
  <si>
    <t>Ricky</t>
  </si>
  <si>
    <t>Mary</t>
  </si>
  <si>
    <t>Marks in English</t>
  </si>
  <si>
    <t>Marks in Maths</t>
  </si>
  <si>
    <t>Owner</t>
  </si>
  <si>
    <t>Product Class</t>
  </si>
  <si>
    <t>Quantity Sold</t>
  </si>
  <si>
    <t>Ben</t>
  </si>
  <si>
    <t>Jeff</t>
  </si>
  <si>
    <t>Jenny</t>
  </si>
  <si>
    <t>A1</t>
  </si>
  <si>
    <t>A4</t>
  </si>
  <si>
    <t>C3</t>
  </si>
  <si>
    <t>C14</t>
  </si>
  <si>
    <t>A12</t>
  </si>
  <si>
    <t>B3</t>
  </si>
  <si>
    <t>B7</t>
  </si>
  <si>
    <t>B11</t>
  </si>
  <si>
    <t>By Ben</t>
  </si>
  <si>
    <t xml:space="preserve">Total Quantity sold </t>
  </si>
  <si>
    <t>By Ben &amp; Jenny</t>
  </si>
  <si>
    <t>Total Quantity sold By Jenny</t>
  </si>
  <si>
    <t>Total Quantity sold By Ben &amp;Jenny</t>
  </si>
  <si>
    <t>Total Quantity sold ByJeff &amp;Jenny</t>
  </si>
  <si>
    <t>USE OF VLOOKUP</t>
  </si>
  <si>
    <t>WITH CONDITION TRUE/FALSE</t>
  </si>
  <si>
    <t>Emp Code</t>
  </si>
  <si>
    <t>Frist Name</t>
  </si>
  <si>
    <t>Dept</t>
  </si>
  <si>
    <t>Salary</t>
  </si>
  <si>
    <t>Incentive</t>
  </si>
  <si>
    <t>Raja</t>
  </si>
  <si>
    <t>Suman</t>
  </si>
  <si>
    <t>Beena</t>
  </si>
  <si>
    <t>Seema</t>
  </si>
  <si>
    <t>Julie</t>
  </si>
  <si>
    <t>Neena</t>
  </si>
  <si>
    <t>Mktg</t>
  </si>
  <si>
    <t>R&amp;D</t>
  </si>
  <si>
    <t>Salary Slab</t>
  </si>
  <si>
    <t>A</t>
  </si>
  <si>
    <t>B</t>
  </si>
  <si>
    <t>C</t>
  </si>
  <si>
    <t>D</t>
  </si>
  <si>
    <t>E</t>
  </si>
  <si>
    <t>Text</t>
  </si>
  <si>
    <t>Number of Characters Required</t>
  </si>
  <si>
    <t>Left String</t>
  </si>
  <si>
    <t>Alan Jones</t>
  </si>
  <si>
    <t>Cardiff</t>
  </si>
  <si>
    <t>ABC 123</t>
  </si>
  <si>
    <t>USE OF LEFT</t>
  </si>
  <si>
    <t>USE OF LEFT AND FIND</t>
  </si>
  <si>
    <t>FULL NAME</t>
  </si>
  <si>
    <t>FIRST NAME</t>
  </si>
  <si>
    <t>Bob Smith</t>
  </si>
  <si>
    <t>Carol Williams</t>
  </si>
  <si>
    <t>USE OF LEN</t>
  </si>
  <si>
    <t>Length</t>
  </si>
  <si>
    <t>USE OF Lower</t>
  </si>
  <si>
    <t>Upper Case Text</t>
  </si>
  <si>
    <t>Lower Case</t>
  </si>
  <si>
    <t>ALAN JONES</t>
  </si>
  <si>
    <t>BOB SMITH</t>
  </si>
  <si>
    <t>CAROL WILLIAMS</t>
  </si>
  <si>
    <t>CARDIFF</t>
  </si>
  <si>
    <t>USE OF POWER</t>
  </si>
  <si>
    <t>Number</t>
  </si>
  <si>
    <t>Power</t>
  </si>
  <si>
    <t>Result</t>
  </si>
  <si>
    <t>USE OF PRODUCT</t>
  </si>
  <si>
    <t>Numbers</t>
  </si>
  <si>
    <t>Product</t>
  </si>
  <si>
    <t>USE OF PROPER</t>
  </si>
  <si>
    <t>Original Text</t>
  </si>
  <si>
    <t>Proper</t>
  </si>
  <si>
    <t>alan Jones</t>
  </si>
  <si>
    <t>bob smith</t>
  </si>
  <si>
    <t>caRol wILLIAMS</t>
  </si>
  <si>
    <t>cardiff</t>
  </si>
  <si>
    <t>USE OF REPT</t>
  </si>
  <si>
    <t>Text To Repeat</t>
  </si>
  <si>
    <t>Number Of Repeats</t>
  </si>
  <si>
    <t>Repeated Text</t>
  </si>
  <si>
    <t>AB</t>
  </si>
  <si>
    <t>-</t>
  </si>
  <si>
    <t>|</t>
  </si>
  <si>
    <t>SALESMAN</t>
  </si>
  <si>
    <t>JAN</t>
  </si>
  <si>
    <t>FEB</t>
  </si>
  <si>
    <t>MAR</t>
  </si>
  <si>
    <t>APR</t>
  </si>
  <si>
    <t>MAY</t>
  </si>
  <si>
    <t>JUNE</t>
  </si>
  <si>
    <t>SALES</t>
  </si>
  <si>
    <t>TARGET</t>
  </si>
  <si>
    <t>RESULT</t>
  </si>
  <si>
    <t>RAMESH</t>
  </si>
  <si>
    <t>AJEET</t>
  </si>
  <si>
    <t>ALOK</t>
  </si>
  <si>
    <t>AMRIT</t>
  </si>
  <si>
    <t>SURENDRA</t>
  </si>
  <si>
    <t>SHASHI</t>
  </si>
  <si>
    <t>Q.1 How many salesman? Salesman Ajeet Targest &amp; Result? 
USE OF COUNTA AND VLOOKUP</t>
  </si>
  <si>
    <t xml:space="preserve"> SALESMAN</t>
  </si>
  <si>
    <t>Q.3 Rahul Pooja &amp; Ashok Targest &amp; result? 
USE OF VLOOKUP</t>
  </si>
  <si>
    <t>Q.4 How Many Salesman Achived Target. 
USE OF COUNTIF</t>
  </si>
  <si>
    <t xml:space="preserve">Q.5 Which Sales Man Jan Sales 2000, &amp; Feb Sales is 2500? 
USE OF LOOKUP </t>
  </si>
  <si>
    <t>Q.6 How Many sales Man sales Jan Months Sales &gt;2000 &amp; March Sales 
&lt;=1500 ? 
USE OF COUNTIF</t>
  </si>
  <si>
    <t>USE OF DATEDIF</t>
  </si>
  <si>
    <t>DATE OF BIRTH</t>
  </si>
  <si>
    <t>DAY</t>
  </si>
  <si>
    <t>MONTH</t>
  </si>
  <si>
    <t>YEAR</t>
  </si>
  <si>
    <t>Q.1 HOW MANY STUDENT?</t>
  </si>
  <si>
    <t>Q.2 STUDENT SURENDRA IS HOW MANY YEAR OLD?</t>
  </si>
  <si>
    <t xml:space="preserve">Q.3 HOW MANY STUDENT AGE GREATER THEN 20 YEARS? </t>
  </si>
  <si>
    <t xml:space="preserve">Q.4 IF STUDENT AGE IS GREATHER THEN 20 THEN STUDENT ADULT / CHILD? </t>
  </si>
  <si>
    <t xml:space="preserve">Q.5 HOW MANY STUDENT AGE IS &gt;= 25 YEARS? </t>
  </si>
  <si>
    <t>AGE</t>
  </si>
  <si>
    <t>USE OF LEFT, FIND, LEN, LOWER, POWER,PRODUCT,PROPER,REPT</t>
  </si>
  <si>
    <t>USE OF COUNTA, VLOOKUP,LOOKUP, CONDITIONAL FORMATTING, COUNTIF, USE OF DATEDIF</t>
  </si>
  <si>
    <t>Assignment -7 =======&gt; SOLUTION</t>
  </si>
  <si>
    <t>Assignment -8 ======&gt; SOLUTION</t>
  </si>
  <si>
    <t>Assignment -10 ========&gt; SOLUTION</t>
  </si>
  <si>
    <t>Assignment-11 =======&gt; SOLUTION</t>
  </si>
  <si>
    <t>Assignment-12 ======&gt; SOLUTION</t>
  </si>
  <si>
    <t>Assignment -6 =======&gt; SOLUTION ( HLOOKUP)</t>
  </si>
  <si>
    <t>Q.7 Jan to Target Highlights 2000 between 5000, Font Red &amp; 
Background Yellow? 
USE OF CONDITIONAL FORMATTING</t>
  </si>
  <si>
    <t>ASGMNT-2</t>
  </si>
  <si>
    <t>ASGMNT-3</t>
  </si>
  <si>
    <t>ASGMNT-4</t>
  </si>
  <si>
    <t>ASGMNT-6</t>
  </si>
  <si>
    <t>ASGMNT-7</t>
  </si>
  <si>
    <t>ASGMNT-8</t>
  </si>
  <si>
    <t>ASGMNT-10</t>
  </si>
  <si>
    <t>ASGMNT-11</t>
  </si>
  <si>
    <t>ASGMNT-12</t>
  </si>
  <si>
    <t>ASGMNT-6 HLOOKUP</t>
  </si>
  <si>
    <t>&amp;</t>
  </si>
  <si>
    <t xml:space="preserve"> ASGMNT-1</t>
  </si>
  <si>
    <t>PERCENTAGE</t>
  </si>
  <si>
    <t>Alan</t>
  </si>
  <si>
    <t>Bob</t>
  </si>
  <si>
    <t>Carol</t>
  </si>
  <si>
    <t>David</t>
  </si>
  <si>
    <t>Eric</t>
  </si>
  <si>
    <t>Absent</t>
  </si>
  <si>
    <t>Fred</t>
  </si>
  <si>
    <t>Gail</t>
  </si>
  <si>
    <t>Harry</t>
  </si>
  <si>
    <t>Ian</t>
  </si>
  <si>
    <t>Janice</t>
  </si>
  <si>
    <t xml:space="preserve">Subject </t>
  </si>
  <si>
    <t>Q.1 How Many Student? Use Formula Counta</t>
  </si>
  <si>
    <t>Q.2 How Many Student Percentage Greather Then &gt; 50 Use Formula Countif</t>
  </si>
  <si>
    <t>poor</t>
  </si>
  <si>
    <t>Q.3 Student Bob and Eric Total Number? Use Formula Sumif</t>
  </si>
  <si>
    <t>Q.4 If Percentage Greater Then &gt;70 Then "Excellent", If Percentage Greater Then &gt;50,"Good", Otherwise "Bed"</t>
  </si>
  <si>
    <t>Q.5 How Many Student Good and Bed in a list Use Formula Countif</t>
  </si>
  <si>
    <t>Good</t>
  </si>
  <si>
    <t>Bad</t>
  </si>
  <si>
    <t>Use of Formulas - Sum, Average, Counta, Countif, Sumif, &amp; If</t>
  </si>
  <si>
    <t>Empoyee ID</t>
  </si>
  <si>
    <t>Pay</t>
  </si>
  <si>
    <t>First
N.</t>
  </si>
  <si>
    <t>Last
N.</t>
  </si>
  <si>
    <t>Micheal</t>
  </si>
  <si>
    <t>Vick</t>
  </si>
  <si>
    <t>Pitt</t>
  </si>
  <si>
    <t>Brad</t>
  </si>
  <si>
    <t>First Name</t>
  </si>
  <si>
    <t>Doe</t>
  </si>
  <si>
    <t>John</t>
  </si>
  <si>
    <t>Cline</t>
  </si>
  <si>
    <t>Andy</t>
  </si>
  <si>
    <t>Pan</t>
  </si>
  <si>
    <t>Peter</t>
  </si>
  <si>
    <t>Favre</t>
  </si>
  <si>
    <t>Bret</t>
  </si>
  <si>
    <t>Elway</t>
  </si>
  <si>
    <t>Manning</t>
  </si>
  <si>
    <t>Eli</t>
  </si>
  <si>
    <t>Woods</t>
  </si>
  <si>
    <t>Tiger</t>
  </si>
  <si>
    <t>Jordan</t>
  </si>
  <si>
    <t>Stark</t>
  </si>
  <si>
    <t>Tony</t>
  </si>
  <si>
    <t>Prince</t>
  </si>
  <si>
    <t>Employee ID</t>
  </si>
  <si>
    <t>$ 84,289</t>
  </si>
  <si>
    <t>Use of Formulas - LOOKUP</t>
  </si>
  <si>
    <t>LOOKUP FUNCTION SYNTAX LOOKUP(LOOKUP_value,lookup_vector,[result_vector])</t>
  </si>
  <si>
    <t>Full Name</t>
  </si>
  <si>
    <t>SSN</t>
  </si>
  <si>
    <t>Department</t>
  </si>
  <si>
    <t>Start Date</t>
  </si>
  <si>
    <t>Earnings</t>
  </si>
  <si>
    <t>EMP001</t>
  </si>
  <si>
    <t>EMP002</t>
  </si>
  <si>
    <t>EMP003</t>
  </si>
  <si>
    <t>Faith K. Macias</t>
  </si>
  <si>
    <t>845-04-3962</t>
  </si>
  <si>
    <t>Marketing</t>
  </si>
  <si>
    <t>Lucian Q. Franklin</t>
  </si>
  <si>
    <t>345-28-4935</t>
  </si>
  <si>
    <t>IT/IS</t>
  </si>
  <si>
    <t>Blaze V. Bridges</t>
  </si>
  <si>
    <t>503-53-8350</t>
  </si>
  <si>
    <t>EMP004</t>
  </si>
  <si>
    <t>Denton Q. Dale</t>
  </si>
  <si>
    <t>858-39-7967</t>
  </si>
  <si>
    <t>EMP005</t>
  </si>
  <si>
    <t>Blossom K. Fox</t>
  </si>
  <si>
    <t>245-18-5890</t>
  </si>
  <si>
    <t>Engineering</t>
  </si>
  <si>
    <t>EMP006</t>
  </si>
  <si>
    <t>Kerry V. David</t>
  </si>
  <si>
    <t>873-45-8675</t>
  </si>
  <si>
    <t>Finance</t>
  </si>
  <si>
    <t>EMP007</t>
  </si>
  <si>
    <t>Melanie X. Baker</t>
  </si>
  <si>
    <t>190-08-3679</t>
  </si>
  <si>
    <t>EMP008</t>
  </si>
  <si>
    <t>Adele M. Fulton</t>
  </si>
  <si>
    <t>352-36-9553</t>
  </si>
  <si>
    <t>EMP009</t>
  </si>
  <si>
    <t>Justina O. Jensen</t>
  </si>
  <si>
    <t>645-74-0451</t>
  </si>
  <si>
    <t>EMP010</t>
  </si>
  <si>
    <t>Yoshi J. England</t>
  </si>
  <si>
    <t>558-53-1475</t>
  </si>
  <si>
    <t>EMP011</t>
  </si>
  <si>
    <t>Brooke Y. Mccarty</t>
  </si>
  <si>
    <t>129-42-6148</t>
  </si>
  <si>
    <t>EMP012</t>
  </si>
  <si>
    <t>Kay G. Colon</t>
  </si>
  <si>
    <t>796-50-4767</t>
  </si>
  <si>
    <t>EMP013</t>
  </si>
  <si>
    <t>Callie I. Forbes</t>
  </si>
  <si>
    <t>266-48-1339</t>
  </si>
  <si>
    <t>Human Resources</t>
  </si>
  <si>
    <t>EMP014</t>
  </si>
  <si>
    <t>Zachery O. Mann</t>
  </si>
  <si>
    <t>663-00-3285</t>
  </si>
  <si>
    <t xml:space="preserve"> Use of Formulas - Counta, Countif, Sumif, &amp; Vlookup</t>
  </si>
  <si>
    <t>Q.1 How Many Employee in a List ? Use of Formula Counta</t>
  </si>
  <si>
    <t>Q.2 How Many Employee work in Finance and Marketing Department? Use of Formula Countif</t>
  </si>
  <si>
    <t>Q.3 Employee Blossom K. Fox Department and Earnings? Use of Vlookup</t>
  </si>
  <si>
    <t>Earning</t>
  </si>
  <si>
    <t>Q.4 Employee Blossom K. SSN No.? Use of Vlookup</t>
  </si>
  <si>
    <t>Q.5 How Many Amount Earnings Marketing Department? Use of Sumif</t>
  </si>
  <si>
    <t>Marketing Department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</si>
  <si>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</si>
  <si>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</si>
  <si>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</si>
  <si>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</si>
  <si>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</si>
  <si>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</si>
  <si>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</si>
  <si>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</si>
  <si>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</si>
  <si>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</si>
  <si>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</si>
  <si>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</si>
  <si>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</si>
  <si>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
Use of Match Formula</t>
  </si>
  <si>
    <t>Question: What is the price of a Caffe Mocha, size Grande,Tall, Venti?
Use of Vlookup with Match Formula</t>
  </si>
  <si>
    <t>Use of Formulas - Match and Vlookup With Match</t>
  </si>
  <si>
    <t>Product Name</t>
  </si>
  <si>
    <t>Jan</t>
  </si>
  <si>
    <t>Feb</t>
  </si>
  <si>
    <t>Mar</t>
  </si>
  <si>
    <t>Apr</t>
  </si>
  <si>
    <t>Jun</t>
  </si>
  <si>
    <t>Jul</t>
  </si>
  <si>
    <t>Aug</t>
  </si>
  <si>
    <t>Total
Sales</t>
  </si>
  <si>
    <t>Apples</t>
  </si>
  <si>
    <t>Grapefruit</t>
  </si>
  <si>
    <t>Lemons</t>
  </si>
  <si>
    <t>Lime</t>
  </si>
  <si>
    <t>Oranges</t>
  </si>
  <si>
    <t>Peaches</t>
  </si>
  <si>
    <t>Pears</t>
  </si>
  <si>
    <t>Pineapples</t>
  </si>
  <si>
    <t>Q.1 How Many Fruits?</t>
  </si>
  <si>
    <t>Q.2 Fruits Lemons and Pineapples sales in Mar and Jul ?</t>
  </si>
  <si>
    <t>JUL</t>
  </si>
  <si>
    <t>LEMONS</t>
  </si>
  <si>
    <t>PINEAPPLES</t>
  </si>
  <si>
    <t>Use of Formulas - Counta and Vlookup</t>
  </si>
  <si>
    <t>Season</t>
  </si>
  <si>
    <t>Year</t>
  </si>
  <si>
    <t>Type</t>
  </si>
  <si>
    <t>State</t>
  </si>
  <si>
    <t>Sales $</t>
  </si>
  <si>
    <t>Fall</t>
  </si>
  <si>
    <t>Amber Ale</t>
  </si>
  <si>
    <t>California</t>
  </si>
  <si>
    <t>Hefeweizen</t>
  </si>
  <si>
    <t>Pale Ale</t>
  </si>
  <si>
    <t>Pilsner</t>
  </si>
  <si>
    <t>Porter</t>
  </si>
  <si>
    <t>Stout</t>
  </si>
  <si>
    <t>Oregon</t>
  </si>
  <si>
    <t>Washington</t>
  </si>
  <si>
    <t>Spring</t>
  </si>
  <si>
    <t xml:space="preserve">Q.1 How Many Spring and Fall Season?
Using Formula COUNTIF
</t>
  </si>
  <si>
    <t>SPRING</t>
  </si>
  <si>
    <t>FALL</t>
  </si>
  <si>
    <t>CALIFORNIA</t>
  </si>
  <si>
    <t>WASHINGTON</t>
  </si>
  <si>
    <t>Q.2 How Many Fall Season in California and Washington?Using Formula COUNTIFS</t>
  </si>
  <si>
    <t xml:space="preserve">Q.3 Total Sales if Spring Season in Washngton and California? using Formula Sumifs Using Formula </t>
  </si>
  <si>
    <t xml:space="preserve">SPRING </t>
  </si>
  <si>
    <t>Column Labels</t>
  </si>
  <si>
    <t>Sum of Sales $</t>
  </si>
  <si>
    <t>Q.4 How Many Spring Season in Washington only?</t>
  </si>
  <si>
    <t>Q.5 Create Pivot Table Using Data?</t>
  </si>
  <si>
    <t>Assignment -14</t>
  </si>
  <si>
    <t>Use of Formulas - Countif, Countifs and Sumifs</t>
  </si>
  <si>
    <t>Category</t>
  </si>
  <si>
    <t>Amount</t>
  </si>
  <si>
    <t>Carrots</t>
  </si>
  <si>
    <t>Vegetables</t>
  </si>
  <si>
    <t>United States</t>
  </si>
  <si>
    <t>Broccoli</t>
  </si>
  <si>
    <t>United Kingdom</t>
  </si>
  <si>
    <t>Banana</t>
  </si>
  <si>
    <t>Fruit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</si>
  <si>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</si>
  <si>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</si>
  <si>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</si>
  <si>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</si>
  <si>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</si>
  <si>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</si>
  <si>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</si>
  <si>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</si>
  <si>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Mango</t>
  </si>
  <si>
    <t>Q.1 How Many Fruits and Vegetables Items in a List? Use of Formula Countif</t>
  </si>
  <si>
    <t>VEGETABLES</t>
  </si>
  <si>
    <t>FRUIT</t>
  </si>
  <si>
    <t>Q.2 Total Apple and Banana Amount? Use of Formula Sumif</t>
  </si>
  <si>
    <t>APPLE</t>
  </si>
  <si>
    <t>BANANA</t>
  </si>
  <si>
    <t>Q.3 How Many Product in a list? Use of Counta</t>
  </si>
  <si>
    <t>Q.4 How Many Apple and Banana Use in Canada &amp; United Kingdom? Use of Countifs</t>
  </si>
  <si>
    <t>CANADA</t>
  </si>
  <si>
    <t>UNITED KIGDOM</t>
  </si>
  <si>
    <t>Q.5 Apple and Banana Sales in United
States ? Use of Sumifs</t>
  </si>
  <si>
    <t>UNITED STATES</t>
  </si>
  <si>
    <t>Assignment -15</t>
  </si>
  <si>
    <t>Create Pivot Table Using Data Separate Fruit and Vegetables</t>
  </si>
  <si>
    <t>Gender</t>
  </si>
  <si>
    <t>Score</t>
  </si>
  <si>
    <t>Richard</t>
  </si>
  <si>
    <t>Male</t>
  </si>
  <si>
    <t>Jennifer</t>
  </si>
  <si>
    <t>Female</t>
  </si>
  <si>
    <t>James</t>
  </si>
  <si>
    <t>Lisa</t>
  </si>
  <si>
    <t>Sharon</t>
  </si>
  <si>
    <t>Elizabeth</t>
  </si>
  <si>
    <t>Mark</t>
  </si>
  <si>
    <t>Susan</t>
  </si>
  <si>
    <t>Q.1 How Many Male and Female Candidate in a List?
Use of Formula
Countif</t>
  </si>
  <si>
    <t>MALE</t>
  </si>
  <si>
    <t>FEMALE</t>
  </si>
  <si>
    <t>Q.2 How Many Male Employee in United States?
Use of Formula
Countifs</t>
  </si>
  <si>
    <t>Q.3 Lisa and John Which Country Belong? Use of Vlookup</t>
  </si>
  <si>
    <t>country</t>
  </si>
  <si>
    <t>lisa</t>
  </si>
  <si>
    <t>john</t>
  </si>
  <si>
    <t>Q.4 United States Male and Female Candidate Scores?
Use if Formula
Sumifs</t>
  </si>
  <si>
    <t>Q.5 How Many Male Candidate Belong Country United State Total Score?</t>
  </si>
  <si>
    <t>Male Total Score</t>
  </si>
  <si>
    <t>Assignment -16</t>
  </si>
  <si>
    <t>Use of Formulas - Countif, Countifs and Sumifs and Vlookup</t>
  </si>
  <si>
    <t>ID</t>
  </si>
  <si>
    <t>Brand</t>
  </si>
  <si>
    <t>Dell</t>
  </si>
  <si>
    <t>Computer</t>
  </si>
  <si>
    <t>HP</t>
  </si>
  <si>
    <t>Printer</t>
  </si>
  <si>
    <t>Logitech</t>
  </si>
  <si>
    <t>Keyboard</t>
  </si>
  <si>
    <t>Mouse</t>
  </si>
  <si>
    <t>Use of Vlookup Function ?</t>
  </si>
  <si>
    <t>Assignment -17</t>
  </si>
  <si>
    <t>Assignment -18</t>
  </si>
  <si>
    <t>Use of Formulas - Hlookup</t>
  </si>
  <si>
    <t>Region</t>
  </si>
  <si>
    <t>North</t>
  </si>
  <si>
    <t>South</t>
  </si>
  <si>
    <t>East</t>
  </si>
  <si>
    <t>West</t>
  </si>
  <si>
    <t>INDEX(A4:D8,MATCH(A10,A4:A8,0),MATCH(B10,A4:D4,0))</t>
  </si>
  <si>
    <t>Assignment -19</t>
  </si>
  <si>
    <t>Use of Formulas - Index with Match</t>
  </si>
  <si>
    <t>Emp Name</t>
  </si>
  <si>
    <t>Emp ID</t>
  </si>
  <si>
    <t>Raju</t>
  </si>
  <si>
    <t>Prd001</t>
  </si>
  <si>
    <t>Ramesh</t>
  </si>
  <si>
    <t>Operations</t>
  </si>
  <si>
    <t>Prd002</t>
  </si>
  <si>
    <t>Ramila</t>
  </si>
  <si>
    <t>Prd003</t>
  </si>
  <si>
    <t>Rajeshwari</t>
  </si>
  <si>
    <t>HR</t>
  </si>
  <si>
    <t>Prd004</t>
  </si>
  <si>
    <t>Karan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</si>
  <si>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</si>
  <si>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</si>
  <si>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</si>
  <si>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</si>
  <si>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</si>
  <si>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</si>
  <si>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</si>
  <si>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</si>
  <si>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</si>
  <si>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</si>
  <si>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</si>
  <si>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</si>
  <si>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</si>
  <si>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</si>
  <si>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</si>
  <si>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</si>
  <si>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</si>
  <si>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</si>
  <si>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</si>
  <si>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</si>
  <si>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</si>
  <si>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</si>
  <si>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</si>
  <si>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</si>
  <si>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</si>
  <si>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</si>
  <si>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Prd018</t>
  </si>
  <si>
    <t>Anderson</t>
  </si>
  <si>
    <t>Prd019</t>
  </si>
  <si>
    <t>Prd020</t>
  </si>
  <si>
    <t>Assignment -21</t>
  </si>
  <si>
    <t>Use of Formulas - Index + Match</t>
  </si>
  <si>
    <t>Assignment -22</t>
  </si>
  <si>
    <t>Use of Formulas - Lookup</t>
  </si>
  <si>
    <t>Q.1 How Many Employee in Work HR, IT, Marketing Department ? Use of Countif</t>
  </si>
  <si>
    <t>Q.2 Employee Santosh Salary? Use of Sumif</t>
  </si>
  <si>
    <t>Q.3 IT &amp; Marketing Department Total Salary? Use of Sumif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</si>
  <si>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</si>
  <si>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</si>
  <si>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</si>
  <si>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</si>
  <si>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</si>
  <si>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</si>
  <si>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</si>
  <si>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</si>
  <si>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</si>
  <si>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</si>
  <si>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</si>
  <si>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</si>
  <si>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Column4</t>
  </si>
  <si>
    <t>Column5</t>
  </si>
  <si>
    <t>TRIVEDI</t>
  </si>
  <si>
    <t>Assignment -23</t>
  </si>
  <si>
    <t>Use of Formulas - AND</t>
  </si>
  <si>
    <t>Units sold</t>
  </si>
  <si>
    <t>Average of West zone</t>
  </si>
  <si>
    <t>Avg of Units Sold above 250</t>
  </si>
  <si>
    <t>Avg of Units Sold below 100</t>
  </si>
  <si>
    <t>Student</t>
  </si>
  <si>
    <t>Semester</t>
  </si>
  <si>
    <t>second</t>
  </si>
  <si>
    <t>gary</t>
  </si>
  <si>
    <t>Third</t>
  </si>
  <si>
    <t>Richa</t>
  </si>
  <si>
    <t>Hari</t>
  </si>
  <si>
    <t>Tom</t>
  </si>
  <si>
    <t>Will</t>
  </si>
  <si>
    <t>Second</t>
  </si>
  <si>
    <t>Average of B</t>
  </si>
  <si>
    <t>Average of D</t>
  </si>
  <si>
    <t>Zone</t>
  </si>
  <si>
    <t>City</t>
  </si>
  <si>
    <t>Chennai</t>
  </si>
  <si>
    <t>Patna</t>
  </si>
  <si>
    <t>Delhi</t>
  </si>
  <si>
    <t>Kanpur</t>
  </si>
  <si>
    <t>Gandhinagar</t>
  </si>
  <si>
    <t>Hubli</t>
  </si>
  <si>
    <t>Manglore</t>
  </si>
  <si>
    <t>Chandigarh</t>
  </si>
  <si>
    <t>Pune</t>
  </si>
  <si>
    <t>south</t>
  </si>
  <si>
    <t>Hyderabad</t>
  </si>
  <si>
    <t>Meerut</t>
  </si>
  <si>
    <t>Nagpur</t>
  </si>
  <si>
    <t>Assignment -24</t>
  </si>
  <si>
    <t>Use of Formulas - Averageif</t>
  </si>
  <si>
    <t>List 1</t>
  </si>
  <si>
    <t>List 2</t>
  </si>
  <si>
    <t>Raj</t>
  </si>
  <si>
    <t>Ankita</t>
  </si>
  <si>
    <t>Rohit</t>
  </si>
  <si>
    <t>Kajal</t>
  </si>
  <si>
    <t>Abhay</t>
  </si>
  <si>
    <t>Rohan</t>
  </si>
  <si>
    <t>Akshay</t>
  </si>
  <si>
    <t>Puneet</t>
  </si>
  <si>
    <t>Color List-1</t>
  </si>
  <si>
    <t>Red</t>
  </si>
  <si>
    <t>Yellow</t>
  </si>
  <si>
    <t>Green</t>
  </si>
  <si>
    <t>Blue</t>
  </si>
  <si>
    <t>White</t>
  </si>
  <si>
    <t>Color List-2</t>
  </si>
  <si>
    <t>Grey</t>
  </si>
  <si>
    <t>Black</t>
  </si>
  <si>
    <t>IF(A9=B9,"Matching","Not Matching")</t>
  </si>
  <si>
    <t>VLOOKUP(F12,E5:E12,1,0)</t>
  </si>
  <si>
    <t>VLOOKUP(A17,E17:E22,1,FALSE)</t>
  </si>
  <si>
    <t>Assignment -26</t>
  </si>
  <si>
    <t>Use of If and Vlookup -Compare List 1 to List 2</t>
  </si>
  <si>
    <t>Emp
ID</t>
  </si>
  <si>
    <t>D21</t>
  </si>
  <si>
    <t>Vishal</t>
  </si>
  <si>
    <t>Mohan</t>
  </si>
  <si>
    <t>D22</t>
  </si>
  <si>
    <t>Mathew</t>
  </si>
  <si>
    <t>D23</t>
  </si>
  <si>
    <t>Jamemah</t>
  </si>
  <si>
    <t>Powel</t>
  </si>
  <si>
    <t>D24</t>
  </si>
  <si>
    <t>Arundhati</t>
  </si>
  <si>
    <t>Swaminathan</t>
  </si>
  <si>
    <t>D25</t>
  </si>
  <si>
    <t>Potter</t>
  </si>
  <si>
    <t>D26</t>
  </si>
  <si>
    <t>Assignment -27</t>
  </si>
  <si>
    <t>Use of Concatenate</t>
  </si>
  <si>
    <t>Emp
Id</t>
  </si>
  <si>
    <t>Designation</t>
  </si>
  <si>
    <t>KRA</t>
  </si>
  <si>
    <t>01-11-2018</t>
  </si>
  <si>
    <t>ARUN</t>
  </si>
  <si>
    <t>MIS-OPERATION</t>
  </si>
  <si>
    <t>OPERATION</t>
  </si>
  <si>
    <t>PHP</t>
  </si>
  <si>
    <t>03-11-2018</t>
  </si>
  <si>
    <t>BISWAS</t>
  </si>
  <si>
    <t>SOFTWARE ENG</t>
  </si>
  <si>
    <t>JAVA</t>
  </si>
  <si>
    <t>DINESH</t>
  </si>
  <si>
    <t>SME</t>
  </si>
  <si>
    <t>MAILS</t>
  </si>
  <si>
    <t>ESHWAR</t>
  </si>
  <si>
    <t>PROGRAMMER</t>
  </si>
  <si>
    <t>C++</t>
  </si>
  <si>
    <t>06-11-2018</t>
  </si>
  <si>
    <t>FAHAD</t>
  </si>
  <si>
    <t>DOT NET</t>
  </si>
  <si>
    <t>GANGA</t>
  </si>
  <si>
    <t>SOFTWARE ASSOCIATE</t>
  </si>
  <si>
    <t>TESTING</t>
  </si>
  <si>
    <t>08-11-2018</t>
  </si>
  <si>
    <t>HEMA</t>
  </si>
  <si>
    <t>NETWORK ENG</t>
  </si>
  <si>
    <t>SERVER</t>
  </si>
  <si>
    <t>FARZANA</t>
  </si>
  <si>
    <t>SALES EXECUTIVE</t>
  </si>
  <si>
    <t>AYESH</t>
  </si>
  <si>
    <t>AMAZON</t>
  </si>
  <si>
    <t>09-11-2018</t>
  </si>
  <si>
    <t>PRAVEEN</t>
  </si>
  <si>
    <t>10-11-2018</t>
  </si>
  <si>
    <t>VISHAL</t>
  </si>
  <si>
    <t>GROFFERS</t>
  </si>
  <si>
    <t>VISHNU</t>
  </si>
  <si>
    <t>PAYTM</t>
  </si>
  <si>
    <t>KRISHNA</t>
  </si>
  <si>
    <t>ABHISHEK</t>
  </si>
  <si>
    <t>MYNTRA</t>
  </si>
  <si>
    <t>11-11-2018</t>
  </si>
  <si>
    <t>FARZANA BANU</t>
  </si>
  <si>
    <t>VAMSEE KRISHNA</t>
  </si>
  <si>
    <t>BRAND MANAGER</t>
  </si>
  <si>
    <t>MARKETING</t>
  </si>
  <si>
    <t>Q.1 How Many Employee? Use of Counta</t>
  </si>
  <si>
    <t>Q.2 How Many Employee in Sales
Executive? Use of Countif</t>
  </si>
  <si>
    <t>Q.3 How Many Employee Sales Executive in Amazone and Myntra? Use of Countifs</t>
  </si>
  <si>
    <t>Q.4 Employee Dinesh and Vishal Post and KRA? use of Vlookup</t>
  </si>
  <si>
    <t>Post</t>
  </si>
  <si>
    <t>EmpId</t>
  </si>
  <si>
    <t>EmpID</t>
  </si>
  <si>
    <t xml:space="preserve">Q.5 Employee Abhishek and Hema Emp
id? Use of Index with Match </t>
  </si>
  <si>
    <t>Assignment -28</t>
  </si>
  <si>
    <t>Use of Counta, Countif, Countifs, Vlookup and Index with Match</t>
  </si>
  <si>
    <t>Location</t>
  </si>
  <si>
    <t>Donald</t>
  </si>
  <si>
    <t>Patrick</t>
  </si>
  <si>
    <t>Banglore</t>
  </si>
  <si>
    <t>Samuel</t>
  </si>
  <si>
    <t>Samson</t>
  </si>
  <si>
    <t>Henry</t>
  </si>
  <si>
    <t>Madrid</t>
  </si>
  <si>
    <t>Ronica</t>
  </si>
  <si>
    <t>Brave</t>
  </si>
  <si>
    <t>Christine</t>
  </si>
  <si>
    <t>Salvi</t>
  </si>
  <si>
    <t>Andrew</t>
  </si>
  <si>
    <t>Baisley</t>
  </si>
  <si>
    <t>Erica</t>
  </si>
  <si>
    <t>Irons</t>
  </si>
  <si>
    <t>Sheet 2- Use of Vlookup</t>
  </si>
  <si>
    <t>Assignment -29</t>
  </si>
  <si>
    <t>Use of Vlookup One Sheet to Another Sheet</t>
  </si>
  <si>
    <t>Total Numbers
Earned</t>
  </si>
  <si>
    <t>Grade earned</t>
  </si>
  <si>
    <t>John Wilkins</t>
  </si>
  <si>
    <t>A+</t>
  </si>
  <si>
    <t>Steve Harrington</t>
  </si>
  <si>
    <t>Edward Clark</t>
  </si>
  <si>
    <t>Jimmy Chemberlin</t>
  </si>
  <si>
    <t>B+</t>
  </si>
  <si>
    <t>Alex Wilkins</t>
  </si>
  <si>
    <t>Patty Scott</t>
  </si>
  <si>
    <t>Andrew Williams</t>
  </si>
  <si>
    <t>Emilia johnson</t>
  </si>
  <si>
    <t>Anthony Rogers</t>
  </si>
  <si>
    <t>90-100</t>
  </si>
  <si>
    <t>85 - &lt; 90</t>
  </si>
  <si>
    <t>80 - &lt; 85</t>
  </si>
  <si>
    <t>75 - &lt; 80</t>
  </si>
  <si>
    <t>70 - &lt; 75</t>
  </si>
  <si>
    <t>C+</t>
  </si>
  <si>
    <t>65 - &lt; 70</t>
  </si>
  <si>
    <t>60 - &lt; 65</t>
  </si>
  <si>
    <t>D+</t>
  </si>
  <si>
    <t>50 - &lt; 60</t>
  </si>
  <si>
    <t>&lt; 50</t>
  </si>
  <si>
    <t>Assignment -32</t>
  </si>
  <si>
    <t>USE OF NESTEDIF</t>
  </si>
  <si>
    <t>Assignment -33</t>
  </si>
  <si>
    <t>Merge Table 1,2 &amp; 3 Using Vlookup</t>
  </si>
  <si>
    <t>TABLE-1</t>
  </si>
  <si>
    <t>TABLE-2</t>
  </si>
  <si>
    <t>TABLE-3</t>
  </si>
  <si>
    <t>Emp</t>
  </si>
  <si>
    <t>INCENTIVE</t>
  </si>
  <si>
    <t>Bonus</t>
  </si>
  <si>
    <t>TA</t>
  </si>
  <si>
    <t>north</t>
  </si>
  <si>
    <t>east</t>
  </si>
  <si>
    <t>Pankaj</t>
  </si>
  <si>
    <t>Andre</t>
  </si>
  <si>
    <t>Sujay</t>
  </si>
  <si>
    <t>west</t>
  </si>
  <si>
    <t>Shilpa</t>
  </si>
  <si>
    <t>Admin</t>
  </si>
  <si>
    <t>Meera</t>
  </si>
  <si>
    <t>Sheetal</t>
  </si>
  <si>
    <t>Director</t>
  </si>
  <si>
    <t>K. Sita</t>
  </si>
  <si>
    <t>Personal</t>
  </si>
  <si>
    <t>Priya</t>
  </si>
  <si>
    <t>Aalok</t>
  </si>
  <si>
    <t>Aakash</t>
  </si>
  <si>
    <t>Parvati</t>
  </si>
  <si>
    <t>CCD</t>
  </si>
  <si>
    <t>Q.1 How many Emloyee in Sales and Mktg Department.</t>
  </si>
  <si>
    <t>Mkgt</t>
  </si>
  <si>
    <t>Q.2 How Many salary in Sales Department.</t>
  </si>
  <si>
    <t>Q.3 How many Employee Department Sales, North Region Salary.</t>
  </si>
  <si>
    <t>Q.4 How many Employee Department Sales and Region north.</t>
  </si>
  <si>
    <t>Q.5 If Salary Greater Then 15000, "A", if salary Greater Then 10000, "B" otherwise "C".</t>
  </si>
  <si>
    <t>Letter To Find</t>
  </si>
  <si>
    <t>Position Of Letter</t>
  </si>
  <si>
    <t>Hello</t>
  </si>
  <si>
    <t>e</t>
  </si>
  <si>
    <t>=FIND(D4,C4)</t>
  </si>
  <si>
    <t>H</t>
  </si>
  <si>
    <t>=FIND(D5,C5)</t>
  </si>
  <si>
    <t>o</t>
  </si>
  <si>
    <t>=FIND(D6,C6)</t>
  </si>
  <si>
    <t>Alan Williams</t>
  </si>
  <si>
    <t>a</t>
  </si>
  <si>
    <t>=FIND(D7,C7)</t>
  </si>
  <si>
    <t>11</t>
  </si>
  <si>
    <t>=FIND(D8,C8,6)</t>
  </si>
  <si>
    <t>Values</t>
  </si>
  <si>
    <t>Highest Value</t>
  </si>
  <si>
    <t>=LARGE(C4:C8,1)</t>
  </si>
  <si>
    <t>2nd Highest Value</t>
  </si>
  <si>
    <t>=LARGE(C4:C8,2)</t>
  </si>
  <si>
    <t>3rd Highest Value</t>
  </si>
  <si>
    <t>=LARGE(C4:C8,3)</t>
  </si>
  <si>
    <t>4th Highest Value</t>
  </si>
  <si>
    <t>=LARGE(C4:C8,4)</t>
  </si>
  <si>
    <t>5th Highest Value</t>
  </si>
  <si>
    <t>=LARGE(C4:C8,5)</t>
  </si>
  <si>
    <t>=LARGE(D24:F27,1)</t>
  </si>
  <si>
    <t>=LARGE(D24:F27,2)</t>
  </si>
  <si>
    <t>=LARGE(D24:F27,3)</t>
  </si>
  <si>
    <t>Highest</t>
  </si>
  <si>
    <t>=MAX(D24:F27)</t>
  </si>
  <si>
    <t>Lowest</t>
  </si>
  <si>
    <t>=MIN(D24:F27)</t>
  </si>
  <si>
    <t>USE OF FIND &amp; LARGE FORMULA</t>
  </si>
  <si>
    <t>Assignment-13 ======&gt; SOLUTION</t>
  </si>
  <si>
    <t>Assignment -20</t>
  </si>
  <si>
    <t>Assignment -25</t>
  </si>
  <si>
    <t>Assignment -30</t>
  </si>
  <si>
    <t>Assignment -31A</t>
  </si>
  <si>
    <t>Assignment -31B</t>
  </si>
  <si>
    <t>Assignment -35</t>
  </si>
  <si>
    <t>Assignment -34</t>
  </si>
  <si>
    <t>Q.1 How Many Spring and Fall Season?</t>
  </si>
  <si>
    <t>Using Formula</t>
  </si>
  <si>
    <t>Countif</t>
  </si>
  <si>
    <t>Q.2 How Many Fall Season in California and Washington?</t>
  </si>
  <si>
    <t>Countifs</t>
  </si>
  <si>
    <t>Q.3 Total Sales if Spring Season in Washngton and California? using Formula Sumifs</t>
  </si>
  <si>
    <t>Q.5 Apple and Banana Sales in United</t>
  </si>
  <si>
    <t>States ? Use of Sumifs</t>
  </si>
  <si>
    <t>Q.1 How Many Male and Female Candidate in a List?</t>
  </si>
  <si>
    <t>Use of Formula</t>
  </si>
  <si>
    <t>Q.2 How Many Male Employee in United States?</t>
  </si>
  <si>
    <t>Q.4 United States Male and Female Candidate Scores?</t>
  </si>
  <si>
    <t>Use if Formula</t>
  </si>
  <si>
    <t>Sumifs</t>
  </si>
  <si>
    <t>IN THIS EXAMPLE, IF STUDENT PASSES ALL THE SUBJECT, THEN HE HAS PASSED THE EXAM</t>
  </si>
  <si>
    <t>Q.2 How Many Employee in Sales</t>
  </si>
  <si>
    <t>Executive? Use of Countif</t>
  </si>
  <si>
    <t>Q.5 Employee Abhishek and Hema Emp</t>
  </si>
  <si>
    <t>id? Use of Index with Match</t>
  </si>
  <si>
    <t>Condition List</t>
  </si>
  <si>
    <t>Q.3 HOW MANY STUDENT AGE GREATER THEN 20 YEARS?</t>
  </si>
  <si>
    <t>Q.4 IF STUDENT AGE IS GREATHER THEN 20 THEN STUDENT ADULT / CHILD?</t>
  </si>
  <si>
    <t>Q.5 HOW MANY STUDENT AGE IS &gt;= 25 YEARS?</t>
  </si>
  <si>
    <t>Q.1 How many salesman? Salesman Ajeet Targest &amp; Result? USE OF COUNTA AND VLOOKUP</t>
  </si>
  <si>
    <t>Q.3 Rahul Pooja &amp; Ashok Targest &amp; result? USE OF VLOOKUP</t>
  </si>
  <si>
    <t>Q.4 How Many Salesman Achived Target. USE OF COUNTIF</t>
  </si>
  <si>
    <t>Q.5 Which Sales Man Jan Sales 2000, &amp; Feb Sales is 2500? USE OF LOOKUP</t>
  </si>
  <si>
    <t>Q.6 How Many sales Man sales Jan Months Sales &gt;2000 &amp; March Sales</t>
  </si>
  <si>
    <t>&lt;=1500 ? USE OF COUNTIF</t>
  </si>
  <si>
    <t>Q.7 Jan to Target Highlights 2000 between 5000, Font Red &amp;</t>
  </si>
  <si>
    <t>Background Yeloow? USE OF CONDITIONAL FORMATTING</t>
  </si>
  <si>
    <t>ASGMNT-13</t>
  </si>
  <si>
    <t>ASGMNT-14</t>
  </si>
  <si>
    <t>ASGMNT-15</t>
  </si>
  <si>
    <t>ASGMNT-16</t>
  </si>
  <si>
    <t>ASGMNT-17</t>
  </si>
  <si>
    <t>ASGMNT-18</t>
  </si>
  <si>
    <t>ASGMNT-19</t>
  </si>
  <si>
    <t>ASGMNT-20</t>
  </si>
  <si>
    <t>ASGMNT-21</t>
  </si>
  <si>
    <t>ASGMNT-23</t>
  </si>
  <si>
    <t>ASGMNT-24</t>
  </si>
  <si>
    <t>ASGMNT-25</t>
  </si>
  <si>
    <t>ASGMNT-26</t>
  </si>
  <si>
    <t>ASGMNT-27</t>
  </si>
  <si>
    <t>ASGMNT-28</t>
  </si>
  <si>
    <t>ASGMNT-29</t>
  </si>
  <si>
    <t>ASGMNT-30</t>
  </si>
  <si>
    <t>ASGMNT-31A</t>
  </si>
  <si>
    <t>ASGMNT-31B</t>
  </si>
  <si>
    <t>ASGMNT-32</t>
  </si>
  <si>
    <t>ASGMNT-33</t>
  </si>
  <si>
    <t>ASGMNT-34</t>
  </si>
  <si>
    <t>ASGMNT-35</t>
  </si>
  <si>
    <t>LIST OF SHEET</t>
  </si>
  <si>
    <t xml:space="preserve">LIST OF SHEET FOR ASSIGNMENT </t>
  </si>
  <si>
    <t>Assignment on Excel</t>
  </si>
  <si>
    <t>Assignment -7====&gt;SOLUTION</t>
  </si>
  <si>
    <t>Assignment -8====&gt;SOLUTION</t>
  </si>
  <si>
    <t>Assignment -10====&gt;SOLUTION</t>
  </si>
  <si>
    <t>Assignment-11====&gt;SOLUTION</t>
  </si>
  <si>
    <t>Assignment-12====&gt;SOLUTION</t>
  </si>
  <si>
    <t>Assignment -14====&gt;SOLUTION</t>
  </si>
  <si>
    <t>Assignment -15====&gt;SOLUTION</t>
  </si>
  <si>
    <t>Assignment -16====&gt;SOLUTION</t>
  </si>
  <si>
    <t>Assignment -17====&gt;SOLUTION</t>
  </si>
  <si>
    <t>Assignment -18====&gt;SOLUTION</t>
  </si>
  <si>
    <t>Assignment -19====&gt;SOLUTION</t>
  </si>
  <si>
    <t>Assignment -20====&gt;SOLUTION</t>
  </si>
  <si>
    <t>Assignment -21====&gt;SOLUTION</t>
  </si>
  <si>
    <t>Assignment -23====&gt;SOLUTION</t>
  </si>
  <si>
    <t>Assignment -24====&gt;SOLUTION</t>
  </si>
  <si>
    <t>Assignment -25====&gt;SOLUTION</t>
  </si>
  <si>
    <t>Assignment -26====&gt;SOLUTION</t>
  </si>
  <si>
    <t>Assignment -27====&gt;SOLUTION</t>
  </si>
  <si>
    <t>Assignment -28====&gt;SOLUTION</t>
  </si>
  <si>
    <t>Assignment -29====&gt;SOLUTION</t>
  </si>
  <si>
    <t>Assignment -30====&gt;SOLUTION</t>
  </si>
  <si>
    <t>Assignment -31A====&gt;SOLUTION</t>
  </si>
  <si>
    <t>Assignment -31B====&gt;SOLUTION</t>
  </si>
  <si>
    <t>Assignment -32====&gt;SOLUTION</t>
  </si>
  <si>
    <t>Assignment -33====&gt;SOLUTION</t>
  </si>
  <si>
    <t>Assignment -34====&gt;SOLUTION</t>
  </si>
  <si>
    <t>Assignment -35====&gt;SOLUTION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</si>
</sst>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5" formatCode="[$$-C09]#,##0.00"/>
    <numFmt numFmtId="166" formatCode="_ * #,##0_ ;_ * \-#,##0_ ;_ * &quot;-&quot;??_ ;_ @_ "/>
    <numFmt numFmtId="167" formatCode="_-[$$-409]* #,##0_ ;_-[$$-409]* \-#,##0\ ;_-[$$-409]* &quot;-&quot;??_ ;_-@_ "/>
    <numFmt numFmtId="168" formatCode="_-[$£-809]* #,##0_-;\-[$£-809]* #,##0_-;_-[$£-809]* &quot;-&quot;??_-;_-@_-"/>
  </numFmts>
  <fonts count="26" x14ac:knownFonts="1">
    <font>
      <sz val="11"/>
      <color theme="1"/>
      <name val="Calibri"/>
      <family val="2"/>
      <scheme val="minor"/>
    </font>
    <font>
      <sz val="27.95"/>
      <color rgb="FFC0504D"/>
      <name val="Calibri"/>
      <family val="2"/>
      <scheme val="minor"/>
    </font>
    <font>
      <sz val="11"/>
      <color rgb="FF000000"/>
      <name val="Calibri"/>
      <family val="2"/>
      <scheme val="minor"/>
    </font>
    <font>
      <sz val="13.9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3.95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2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0" fillId="4" borderId="1" xfId="0" applyFill="1" applyBorder="1"/>
    <xf numFmtId="0" fontId="7" fillId="0" borderId="0" xfId="0" applyFont="1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9" fillId="0" borderId="0" xfId="0" applyFo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1" xfId="1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3" fontId="0" fillId="0" borderId="1" xfId="0" applyNumberFormat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9" fontId="0" fillId="0" borderId="1" xfId="0" applyNumberFormat="1" applyBorder="1"/>
    <xf numFmtId="9" fontId="0" fillId="0" borderId="1" xfId="2" applyFont="1" applyBorder="1"/>
    <xf numFmtId="0" fontId="12" fillId="0" borderId="0" xfId="0" applyFont="1" applyAlignment="1">
      <alignment vertical="center"/>
    </xf>
    <xf numFmtId="0" fontId="0" fillId="5" borderId="0" xfId="0" applyFill="1"/>
    <xf numFmtId="0" fontId="13" fillId="0" borderId="0" xfId="0" applyFont="1"/>
    <xf numFmtId="0" fontId="0" fillId="8" borderId="1" xfId="0" applyFill="1" applyBorder="1"/>
    <xf numFmtId="0" fontId="0" fillId="9" borderId="0" xfId="0" applyFill="1"/>
    <xf numFmtId="14" fontId="0" fillId="0" borderId="1" xfId="0" applyNumberForma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14" fillId="5" borderId="0" xfId="0" applyFont="1" applyFill="1"/>
    <xf numFmtId="0" fontId="0" fillId="5" borderId="1" xfId="0" applyFill="1" applyBorder="1" applyAlignment="1">
      <alignment wrapText="1"/>
    </xf>
    <xf numFmtId="2" fontId="0" fillId="0" borderId="1" xfId="2" applyNumberFormat="1" applyFont="1" applyBorder="1"/>
    <xf numFmtId="1" fontId="0" fillId="0" borderId="1" xfId="2" applyNumberFormat="1" applyFont="1" applyBorder="1"/>
    <xf numFmtId="0" fontId="14" fillId="0" borderId="0" xfId="0" applyFont="1"/>
    <xf numFmtId="164" fontId="0" fillId="0" borderId="0" xfId="0" applyNumberFormat="1"/>
    <xf numFmtId="166" fontId="0" fillId="0" borderId="0" xfId="4" applyNumberFormat="1" applyFont="1" applyAlignment="1">
      <alignment horizontal="center" vertical="center"/>
    </xf>
    <xf numFmtId="0" fontId="18" fillId="0" borderId="0" xfId="0" applyFont="1"/>
    <xf numFmtId="14" fontId="0" fillId="0" borderId="0" xfId="0" applyNumberFormat="1"/>
    <xf numFmtId="164" fontId="0" fillId="0" borderId="1" xfId="0" applyNumberFormat="1" applyBorder="1"/>
    <xf numFmtId="3" fontId="0" fillId="0" borderId="0" xfId="0" applyNumberFormat="1"/>
    <xf numFmtId="166" fontId="0" fillId="0" borderId="1" xfId="4" applyNumberFormat="1" applyFont="1" applyBorder="1"/>
    <xf numFmtId="167" fontId="0" fillId="0" borderId="1" xfId="4" applyNumberFormat="1" applyFont="1" applyBorder="1"/>
    <xf numFmtId="167" fontId="0" fillId="0" borderId="0" xfId="0" applyNumberFormat="1"/>
    <xf numFmtId="166" fontId="0" fillId="0" borderId="1" xfId="4" applyNumberFormat="1" applyFont="1" applyBorder="1" applyAlignment="1"/>
    <xf numFmtId="0" fontId="19" fillId="12" borderId="7" xfId="0" applyFont="1" applyFill="1" applyBorder="1"/>
    <xf numFmtId="0" fontId="19" fillId="12" borderId="8" xfId="0" applyFont="1" applyFill="1" applyBorder="1"/>
    <xf numFmtId="1" fontId="0" fillId="0" borderId="0" xfId="0" applyNumberFormat="1"/>
    <xf numFmtId="0" fontId="0" fillId="13" borderId="7" xfId="0" applyFill="1" applyBorder="1"/>
    <xf numFmtId="0" fontId="0" fillId="13" borderId="8" xfId="0" applyFill="1" applyBorder="1"/>
    <xf numFmtId="0" fontId="0" fillId="0" borderId="7" xfId="0" applyBorder="1"/>
    <xf numFmtId="0" fontId="0" fillId="0" borderId="8" xfId="0" applyBorder="1"/>
    <xf numFmtId="0" fontId="12" fillId="0" borderId="0" xfId="0" applyFont="1"/>
    <xf numFmtId="0" fontId="0" fillId="15" borderId="1" xfId="0" applyFill="1" applyBorder="1"/>
    <xf numFmtId="0" fontId="19" fillId="12" borderId="1" xfId="0" applyFont="1" applyFill="1" applyBorder="1"/>
    <xf numFmtId="0" fontId="0" fillId="13" borderId="1" xfId="0" applyFill="1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20" fillId="14" borderId="1" xfId="0" applyFont="1" applyFill="1" applyBorder="1"/>
    <xf numFmtId="0" fontId="19" fillId="12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6" borderId="1" xfId="0" applyFill="1" applyBorder="1"/>
    <xf numFmtId="0" fontId="0" fillId="17" borderId="1" xfId="0" applyFill="1" applyBorder="1"/>
    <xf numFmtId="0" fontId="0" fillId="0" borderId="0" xfId="0" applyAlignment="1">
      <alignment horizontal="center" vertical="center"/>
    </xf>
    <xf numFmtId="0" fontId="21" fillId="5" borderId="0" xfId="0" applyFont="1" applyFill="1"/>
    <xf numFmtId="0" fontId="22" fillId="5" borderId="0" xfId="0" applyFont="1" applyFill="1"/>
    <xf numFmtId="0" fontId="0" fillId="13" borderId="14" xfId="0" applyFill="1" applyBorder="1"/>
    <xf numFmtId="0" fontId="0" fillId="0" borderId="14" xfId="0" applyBorder="1"/>
    <xf numFmtId="0" fontId="0" fillId="13" borderId="15" xfId="0" applyFill="1" applyBorder="1"/>
    <xf numFmtId="0" fontId="0" fillId="13" borderId="16" xfId="0" applyFill="1" applyBorder="1"/>
    <xf numFmtId="0" fontId="0" fillId="0" borderId="16" xfId="0" applyBorder="1"/>
    <xf numFmtId="2" fontId="0" fillId="13" borderId="7" xfId="0" applyNumberFormat="1" applyFill="1" applyBorder="1"/>
    <xf numFmtId="168" fontId="0" fillId="0" borderId="0" xfId="0" applyNumberFormat="1"/>
    <xf numFmtId="168" fontId="0" fillId="13" borderId="8" xfId="0" applyNumberFormat="1" applyFill="1" applyBorder="1"/>
    <xf numFmtId="168" fontId="0" fillId="0" borderId="8" xfId="0" applyNumberFormat="1" applyBorder="1"/>
    <xf numFmtId="0" fontId="23" fillId="0" borderId="0" xfId="0" applyFont="1"/>
    <xf numFmtId="0" fontId="24" fillId="0" borderId="0" xfId="0" applyFont="1"/>
    <xf numFmtId="0" fontId="10" fillId="0" borderId="0" xfId="0" applyFont="1"/>
    <xf numFmtId="0" fontId="25" fillId="0" borderId="0" xfId="0" applyFont="1"/>
    <xf numFmtId="0" fontId="1" fillId="0" borderId="23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14" fillId="3" borderId="0" xfId="0" applyFont="1" applyFill="1"/>
    <xf numFmtId="0" fontId="21" fillId="3" borderId="0" xfId="0" applyFont="1" applyFill="1"/>
    <xf numFmtId="0" fontId="17" fillId="11" borderId="17" xfId="3" applyFill="1" applyBorder="1" applyAlignment="1">
      <alignment horizontal="center" vertical="center"/>
    </xf>
    <xf numFmtId="0" fontId="17" fillId="11" borderId="18" xfId="3" applyFill="1" applyBorder="1" applyAlignment="1">
      <alignment horizontal="center" vertical="center"/>
    </xf>
    <xf numFmtId="0" fontId="17" fillId="11" borderId="19" xfId="3" applyFill="1" applyBorder="1" applyAlignment="1">
      <alignment horizontal="center" vertical="center"/>
    </xf>
    <xf numFmtId="0" fontId="17" fillId="11" borderId="17" xfId="3" quotePrefix="1" applyFill="1" applyBorder="1" applyAlignment="1">
      <alignment horizontal="center" vertical="center"/>
    </xf>
    <xf numFmtId="0" fontId="17" fillId="11" borderId="20" xfId="3" applyFill="1" applyBorder="1" applyAlignment="1">
      <alignment horizontal="center" vertical="center"/>
    </xf>
    <xf numFmtId="0" fontId="17" fillId="11" borderId="21" xfId="3" applyFill="1" applyBorder="1" applyAlignment="1">
      <alignment horizontal="center" vertical="center"/>
    </xf>
    <xf numFmtId="0" fontId="17" fillId="11" borderId="20" xfId="3" applyFill="1" applyBorder="1" applyAlignment="1">
      <alignment horizontal="center" vertical="center" wrapText="1"/>
    </xf>
    <xf numFmtId="0" fontId="17" fillId="11" borderId="22" xfId="3" applyFill="1" applyBorder="1" applyAlignment="1">
      <alignment horizontal="center" vertical="center" wrapText="1"/>
    </xf>
    <xf numFmtId="0" fontId="17" fillId="11" borderId="21" xfId="3" applyFill="1" applyBorder="1" applyAlignment="1">
      <alignment horizontal="center" vertical="center" wrapText="1"/>
    </xf>
    <xf numFmtId="0" fontId="17" fillId="11" borderId="22" xfId="3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7" fillId="11" borderId="1" xfId="3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7" fontId="0" fillId="0" borderId="1" xfId="4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0" borderId="6" xfId="4" applyNumberFormat="1" applyFont="1" applyBorder="1" applyAlignment="1">
      <alignment horizontal="center"/>
    </xf>
    <xf numFmtId="166" fontId="0" fillId="0" borderId="3" xfId="4" applyNumberFormat="1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Alignment="1">
      <alignment horizontal="center" vertical="center"/>
    </xf>
  </cellXfs>
  <cellStyles count="5">
    <cellStyle name="Comma" xfId="4" builtinId="3"/>
    <cellStyle name="Currency" xfId="1" builtinId="4"/>
    <cellStyle name="Hyperlink" xfId="3" builtinId="8"/>
    <cellStyle name="Normal" xfId="0" builtinId="0"/>
    <cellStyle name="Percent" xfId="2" builtinId="5"/>
  </cellStyles>
  <dxfs count="144"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[$£-809]* #,##0_-;\-[$£-809]* #,##0_-;_-[$£-809]* &quot;-&quot;??_-;_-@_-"/>
    </dxf>
    <dxf>
      <numFmt numFmtId="168" formatCode="_-[$£-809]* #,##0_-;\-[$£-809]* #,##0_-;_-[$£-809]* &quot;-&quot;??_-;_-@_-"/>
    </dxf>
    <dxf>
      <numFmt numFmtId="168" formatCode="_-[$£-809]* #,##0_-;\-[$£-809]* #,##0_-;_-[$£-809]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7" formatCode="_-[$$-409]* #,##0_ ;_-[$$-409]* \-#,##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164" formatCode="_-[$$-409]* #,##0.00_ ;_-[$$-409]* \-#,##0.00\ ;_-[$$-409]* &quot;-&quot;??_ ;_-@_ 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7F53EE0-8DB6-447F-8CD8-78295B88DC35}"/>
  </tableStyles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2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14.469742476853" createdVersion="8" refreshedVersion="8" minRefreshableVersion="3" recordCount="14" xr:uid="{374202A6-BEFA-459A-8B27-4412E599A52D}">
  <cacheSource type="worksheet">
    <worksheetSource ref="A6:D20" sheet="ASGMNT-7"/>
  </cacheSource>
  <cacheFields count="4">
    <cacheField name="Last Name" numFmtId="0">
      <sharedItems count="5">
        <s v="Smith"/>
        <s v="Johnson"/>
        <s v="Williams"/>
        <s v="Jones"/>
        <s v="Brown"/>
      </sharedItems>
    </cacheField>
    <cacheField name="Sales" numFmtId="164">
      <sharedItems containsSemiMixedTypes="0" containsString="0" containsNumber="1" containsInteger="1" minValue="1390" maxValue="19302"/>
    </cacheField>
    <cacheField name="Country" numFmtId="0">
      <sharedItems count="2">
        <s v="UK"/>
        <s v="USA"/>
      </sharedItems>
    </cacheField>
    <cacheField name="Quarter" numFmtId="0">
      <sharedItems count="4">
        <s v="Qtr 3"/>
        <s v="Qtr 4"/>
        <s v="Qtr 2"/>
        <s v="Qtr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14.669159606485" createdVersion="8" refreshedVersion="8" minRefreshableVersion="3" recordCount="36" xr:uid="{127635DE-DA7D-4EC3-B77F-DF3E5E228DD7}">
  <cacheSource type="worksheet">
    <worksheetSource name="Table030__Page_8"/>
  </cacheSource>
  <cacheFields count="5">
    <cacheField name="Season" numFmtId="0">
      <sharedItems count="2">
        <s v="Fall"/>
        <s v="Spring"/>
      </sharedItems>
    </cacheField>
    <cacheField name="Year" numFmtId="0">
      <sharedItems containsSemiMixedTypes="0" containsString="0" containsNumber="1" containsInteger="1" minValue="1998" maxValue="1998" count="1">
        <n v="1998"/>
      </sharedItems>
    </cacheField>
    <cacheField name="Type" numFmtId="0">
      <sharedItems count="6">
        <s v="Amber Ale"/>
        <s v="Hefeweizen"/>
        <s v="Pale Ale"/>
        <s v="Pilsner"/>
        <s v="Porter"/>
        <s v="Stout"/>
      </sharedItems>
    </cacheField>
    <cacheField name="State" numFmtId="0">
      <sharedItems count="3">
        <s v="California"/>
        <s v="Oregon"/>
        <s v="Washington"/>
      </sharedItems>
    </cacheField>
    <cacheField name="Sales $" numFmtId="164">
      <sharedItems containsSemiMixedTypes="0" containsString="0" containsNumber="1" containsInteger="1" minValue="150000" maxValue="608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16735"/>
    <x v="0"/>
    <x v="0"/>
  </r>
  <r>
    <x v="1"/>
    <n v="14808"/>
    <x v="1"/>
    <x v="1"/>
  </r>
  <r>
    <x v="2"/>
    <n v="10644"/>
    <x v="0"/>
    <x v="2"/>
  </r>
  <r>
    <x v="3"/>
    <n v="1390"/>
    <x v="1"/>
    <x v="0"/>
  </r>
  <r>
    <x v="4"/>
    <n v="4865"/>
    <x v="1"/>
    <x v="1"/>
  </r>
  <r>
    <x v="2"/>
    <n v="12438"/>
    <x v="0"/>
    <x v="3"/>
  </r>
  <r>
    <x v="1"/>
    <n v="9339"/>
    <x v="0"/>
    <x v="2"/>
  </r>
  <r>
    <x v="0"/>
    <n v="18919"/>
    <x v="1"/>
    <x v="0"/>
  </r>
  <r>
    <x v="3"/>
    <n v="9213"/>
    <x v="1"/>
    <x v="1"/>
  </r>
  <r>
    <x v="3"/>
    <n v="7433"/>
    <x v="0"/>
    <x v="3"/>
  </r>
  <r>
    <x v="4"/>
    <n v="3255"/>
    <x v="1"/>
    <x v="2"/>
  </r>
  <r>
    <x v="2"/>
    <n v="14857"/>
    <x v="1"/>
    <x v="0"/>
  </r>
  <r>
    <x v="2"/>
    <n v="19302"/>
    <x v="0"/>
    <x v="1"/>
  </r>
  <r>
    <x v="0"/>
    <n v="9698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x v="0"/>
    <n v="554536"/>
  </r>
  <r>
    <x v="0"/>
    <x v="0"/>
    <x v="1"/>
    <x v="0"/>
    <n v="540643"/>
  </r>
  <r>
    <x v="0"/>
    <x v="0"/>
    <x v="2"/>
    <x v="0"/>
    <n v="577548"/>
  </r>
  <r>
    <x v="0"/>
    <x v="0"/>
    <x v="3"/>
    <x v="0"/>
    <n v="455905"/>
  </r>
  <r>
    <x v="0"/>
    <x v="0"/>
    <x v="4"/>
    <x v="0"/>
    <n v="490871"/>
  </r>
  <r>
    <x v="0"/>
    <x v="0"/>
    <x v="5"/>
    <x v="0"/>
    <n v="446383"/>
  </r>
  <r>
    <x v="0"/>
    <x v="0"/>
    <x v="0"/>
    <x v="1"/>
    <n v="457726"/>
  </r>
  <r>
    <x v="0"/>
    <x v="0"/>
    <x v="1"/>
    <x v="1"/>
    <n v="347696"/>
  </r>
  <r>
    <x v="0"/>
    <x v="0"/>
    <x v="2"/>
    <x v="1"/>
    <n v="384541"/>
  </r>
  <r>
    <x v="0"/>
    <x v="0"/>
    <x v="3"/>
    <x v="1"/>
    <n v="386420"/>
  </r>
  <r>
    <x v="0"/>
    <x v="0"/>
    <x v="4"/>
    <x v="1"/>
    <n v="370970"/>
  </r>
  <r>
    <x v="0"/>
    <x v="0"/>
    <x v="5"/>
    <x v="1"/>
    <n v="430754"/>
  </r>
  <r>
    <x v="0"/>
    <x v="0"/>
    <x v="0"/>
    <x v="2"/>
    <n v="500847"/>
  </r>
  <r>
    <x v="0"/>
    <x v="0"/>
    <x v="1"/>
    <x v="2"/>
    <n v="507070"/>
  </r>
  <r>
    <x v="0"/>
    <x v="0"/>
    <x v="2"/>
    <x v="2"/>
    <n v="482346"/>
  </r>
  <r>
    <x v="0"/>
    <x v="0"/>
    <x v="3"/>
    <x v="2"/>
    <n v="608713"/>
  </r>
  <r>
    <x v="0"/>
    <x v="0"/>
    <x v="4"/>
    <x v="2"/>
    <n v="150000"/>
  </r>
  <r>
    <x v="0"/>
    <x v="0"/>
    <x v="5"/>
    <x v="2"/>
    <n v="500649"/>
  </r>
  <r>
    <x v="1"/>
    <x v="0"/>
    <x v="0"/>
    <x v="0"/>
    <n v="545780"/>
  </r>
  <r>
    <x v="1"/>
    <x v="0"/>
    <x v="1"/>
    <x v="0"/>
    <n v="440644"/>
  </r>
  <r>
    <x v="1"/>
    <x v="0"/>
    <x v="2"/>
    <x v="0"/>
    <n v="580359"/>
  </r>
  <r>
    <x v="1"/>
    <x v="0"/>
    <x v="3"/>
    <x v="0"/>
    <n v="536225"/>
  </r>
  <r>
    <x v="1"/>
    <x v="0"/>
    <x v="4"/>
    <x v="0"/>
    <n v="414908"/>
  </r>
  <r>
    <x v="1"/>
    <x v="0"/>
    <x v="5"/>
    <x v="0"/>
    <n v="377997"/>
  </r>
  <r>
    <x v="1"/>
    <x v="0"/>
    <x v="0"/>
    <x v="1"/>
    <n v="331289"/>
  </r>
  <r>
    <x v="1"/>
    <x v="0"/>
    <x v="1"/>
    <x v="1"/>
    <n v="384572"/>
  </r>
  <r>
    <x v="1"/>
    <x v="0"/>
    <x v="2"/>
    <x v="1"/>
    <n v="365813"/>
  </r>
  <r>
    <x v="1"/>
    <x v="0"/>
    <x v="3"/>
    <x v="1"/>
    <n v="396338"/>
  </r>
  <r>
    <x v="1"/>
    <x v="0"/>
    <x v="4"/>
    <x v="1"/>
    <n v="453761"/>
  </r>
  <r>
    <x v="1"/>
    <x v="0"/>
    <x v="5"/>
    <x v="1"/>
    <n v="356538"/>
  </r>
  <r>
    <x v="1"/>
    <x v="0"/>
    <x v="0"/>
    <x v="2"/>
    <n v="606332"/>
  </r>
  <r>
    <x v="1"/>
    <x v="0"/>
    <x v="1"/>
    <x v="2"/>
    <n v="535218"/>
  </r>
  <r>
    <x v="1"/>
    <x v="0"/>
    <x v="2"/>
    <x v="2"/>
    <n v="493364"/>
  </r>
  <r>
    <x v="1"/>
    <x v="0"/>
    <x v="3"/>
    <x v="2"/>
    <n v="559100"/>
  </r>
  <r>
    <x v="1"/>
    <x v="0"/>
    <x v="4"/>
    <x v="2"/>
    <n v="220350"/>
  </r>
  <r>
    <x v="1"/>
    <x v="0"/>
    <x v="5"/>
    <x v="2"/>
    <n v="476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C00F8-9CB8-48F4-ACC8-EB5D01D8EB9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6:I21" firstHeaderRow="1" firstDataRow="1" firstDataCol="1" rowPageCount="1" colPageCount="1"/>
  <pivotFields count="4">
    <pivotField axis="axisRow" showAll="0">
      <items count="6">
        <item x="4"/>
        <item x="1"/>
        <item x="3"/>
        <item x="0"/>
        <item x="2"/>
        <item t="default"/>
      </items>
    </pivotField>
    <pivotField dataField="1" numFmtId="164" showAll="0"/>
    <pivotField axis="axisRow" showAll="0">
      <items count="3">
        <item sd="0" x="0"/>
        <item x="1"/>
        <item t="default"/>
      </items>
    </pivotField>
    <pivotField axis="axisPage" showAll="0">
      <items count="5">
        <item x="3"/>
        <item x="2"/>
        <item x="0"/>
        <item x="1"/>
        <item t="default"/>
      </items>
    </pivotField>
  </pivotFields>
  <rowFields count="2">
    <field x="0"/>
    <field x="2"/>
  </rowFields>
  <rowItems count="15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 t="grand">
      <x/>
    </i>
  </rowItems>
  <colItems count="1">
    <i/>
  </colItems>
  <pageFields count="1">
    <pageField fld="3" hier="-1"/>
  </pageFields>
  <dataFields count="1">
    <dataField name="Sum of Sales" fld="1" baseField="2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A5525-F6D9-4ACA-AA9E-96D57CFB5FD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6:M34" firstHeaderRow="1" firstDataRow="2" firstDataCol="1" rowPageCount="2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1" hier="-1"/>
    <pageField fld="3" hier="-1"/>
  </pageFields>
  <dataFields count="1">
    <dataField name="Sum of Sales $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EBA2A4-BD00-4BFF-AC05-6C8D429ED69F}" autoFormatId="16" applyNumberFormats="0" applyBorderFormats="0" applyFontFormats="0" applyPatternFormats="0" applyAlignmentFormats="0" applyWidthHeightFormats="0">
  <queryTableRefresh nextId="8">
    <queryTableFields count="6">
      <queryTableField id="1" name="Employee ID" tableColumnId="1"/>
      <queryTableField id="2" name="Full Name" tableColumnId="2"/>
      <queryTableField id="3" name="SSN" tableColumnId="3"/>
      <queryTableField id="4" name="Department" tableColumnId="4"/>
      <queryTableField id="5" name="Start Date" tableColumnId="5"/>
      <queryTableField id="6" name="Earning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93A1599-E844-4DA3-AD66-04B9B828B010}" autoFormatId="16" applyNumberFormats="0" applyBorderFormats="0" applyFontFormats="0" applyPatternFormats="0" applyAlignmentFormats="0" applyWidthHeightFormats="0">
  <queryTableRefresh nextId="5">
    <queryTableFields count="4">
      <queryTableField id="1" name="CLASSIC FAVORITES" tableColumnId="1"/>
      <queryTableField id="2" name="TALL" tableColumnId="2"/>
      <queryTableField id="3" name="GRANDE" tableColumnId="3"/>
      <queryTableField id="4" name="VENTI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E5E129A-1E2F-472D-B523-3896ECD6C293}" autoFormatId="16" applyNumberFormats="0" applyBorderFormats="0" applyFontFormats="0" applyPatternFormats="0" applyAlignmentFormats="0" applyWidthHeightFormats="0">
  <queryTableRefresh nextId="11">
    <queryTableFields count="10">
      <queryTableField id="1" name="Product Name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Total_x000a_Sale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5F29F8-4A95-4EC1-B4FB-2EF574B26D60}" autoFormatId="16" applyNumberFormats="0" applyBorderFormats="0" applyFontFormats="0" applyPatternFormats="0" applyAlignmentFormats="0" applyWidthHeightFormats="0">
  <queryTableRefresh nextId="6">
    <queryTableFields count="5">
      <queryTableField id="1" name="Season" tableColumnId="1"/>
      <queryTableField id="2" name="Year" tableColumnId="2"/>
      <queryTableField id="3" name="Type" tableColumnId="3"/>
      <queryTableField id="4" name="State" tableColumnId="4"/>
      <queryTableField id="5" name="Sales $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E090C31-8FAC-45F3-8644-E1AF8ACE9574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Product" tableColumnId="2"/>
      <queryTableField id="3" name="Category" tableColumnId="3"/>
      <queryTableField id="4" name="Amount" tableColumnId="4"/>
      <queryTableField id="5" name="Date" tableColumnId="5"/>
      <queryTableField id="6" name="Country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C1BC397-E04A-4C09-A7F0-A549E109992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Gender" tableColumnId="2"/>
      <queryTableField id="3" name="Country" tableColumnId="3"/>
      <queryTableField id="4" name="Scor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D9CE1A70-1FC6-4CF3-8EE4-6BC59FCDF01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Product" tableColumnId="2"/>
      <queryTableField id="3" name="Bran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D42F6A6D-BEAC-4F1F-9803-1750CB01AC5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Product" tableColumnId="2"/>
      <queryTableField id="3" name="Bran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F6FC196F-71EA-4F1E-9208-03C559245FD7}" autoFormatId="16" applyNumberFormats="0" applyBorderFormats="0" applyFontFormats="0" applyPatternFormats="0" applyAlignmentFormats="0" applyWidthHeightFormats="0">
  <queryTableRefresh nextId="5">
    <queryTableFields count="4">
      <queryTableField id="1" name="Emp Name" tableColumnId="1"/>
      <queryTableField id="2" name="Salary" tableColumnId="2"/>
      <queryTableField id="3" name="Department" tableColumnId="3"/>
      <queryTableField id="4" name="Emp ID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2C58B7D5-7C61-4DB4-B7F0-4A7FBB61F66E}" autoFormatId="16" applyNumberFormats="0" applyBorderFormats="0" applyFontFormats="0" applyPatternFormats="0" applyAlignmentFormats="0" applyWidthHeightFormats="0">
  <queryTableRefresh nextId="3">
    <queryTableFields count="2">
      <queryTableField id="1" name="Emp ID" tableColumnId="1"/>
      <queryTableField id="2" name="Salary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204A350E-658A-42F6-A174-66010FAA8561}" autoFormatId="16" applyNumberFormats="0" applyBorderFormats="0" applyFontFormats="0" applyPatternFormats="0" applyAlignmentFormats="0" applyWidthHeightFormats="0">
  <queryTableRefresh nextId="5">
    <queryTableFields count="4">
      <queryTableField id="1" name="Emp Name" tableColumnId="1"/>
      <queryTableField id="2" name="Salary" tableColumnId="2"/>
      <queryTableField id="3" name="Department" tableColumnId="3"/>
      <queryTableField id="4" name="Emp ID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188EB2F5-16AE-4191-BBC8-CF7FECB72320}" autoFormatId="16" applyNumberFormats="0" applyBorderFormats="0" applyFontFormats="0" applyPatternFormats="0" applyAlignmentFormats="0" applyWidthHeightFormats="0">
  <queryTableRefresh nextId="3">
    <queryTableFields count="2">
      <queryTableField id="1" name="Emp ID" tableColumnId="1"/>
      <queryTableField id="2" name="Salary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57A0B2FD-C03E-4711-9318-24C0F61171A6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PHYSICS" tableColumnId="2"/>
      <queryTableField id="3" name="CHEMISTRY" tableColumnId="3"/>
      <queryTableField id="4" name="MATHS" tableColumnId="4"/>
      <queryTableField id="5" name="BIOLOGY" tableColumnId="5"/>
      <queryTableField id="6" name="PASSED THE EXAM ?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005F4F5B-2C64-45D0-A93F-EE719230C20A}" autoFormatId="16" applyNumberFormats="0" applyBorderFormats="0" applyFontFormats="0" applyPatternFormats="0" applyAlignmentFormats="0" applyWidthHeightFormats="0">
  <queryTableRefresh nextId="3">
    <queryTableFields count="2">
      <queryTableField id="1" name="Product Name" tableColumnId="1"/>
      <queryTableField id="2" name="Units sold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E6DDEF14-8C82-4C44-8513-3361FAC472F8}" autoFormatId="16" applyNumberFormats="0" applyBorderFormats="0" applyFontFormats="0" applyPatternFormats="0" applyAlignmentFormats="0" applyWidthHeightFormats="0">
  <queryTableRefresh nextId="4">
    <queryTableFields count="3">
      <queryTableField id="1" name="Student" tableColumnId="1"/>
      <queryTableField id="2" name="Semester" tableColumnId="2"/>
      <queryTableField id="3" name="Score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8" xr16:uid="{1B2ED883-F628-4921-909C-D868203CCB5E}" autoFormatId="16" applyNumberFormats="0" applyBorderFormats="0" applyFontFormats="0" applyPatternFormats="0" applyAlignmentFormats="0" applyWidthHeightFormats="0">
  <queryTableRefresh nextId="4">
    <queryTableFields count="3">
      <queryTableField id="1" name="Zone" tableColumnId="1"/>
      <queryTableField id="2" name="City" tableColumnId="2"/>
      <queryTableField id="3" name="Sales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9" xr16:uid="{78FFE9BC-15B5-4C69-AB0F-A3383806081E}" autoFormatId="16" applyNumberFormats="0" applyBorderFormats="0" applyFontFormats="0" applyPatternFormats="0" applyAlignmentFormats="0" applyWidthHeightFormats="0">
  <queryTableRefresh nextId="3">
    <queryTableFields count="2">
      <queryTableField id="1" name="Product Name" tableColumnId="1"/>
      <queryTableField id="2" name="Units sol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0" xr16:uid="{53EF7872-E1E7-40D6-AA55-1C02948E0A51}" autoFormatId="16" applyNumberFormats="0" applyBorderFormats="0" applyFontFormats="0" applyPatternFormats="0" applyAlignmentFormats="0" applyWidthHeightFormats="0">
  <queryTableRefresh nextId="2">
    <queryTableFields count="1">
      <queryTableField id="1" name="Average of West zone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57A3CEEA-14EB-4DDF-B677-F6A7D230B2E9}" autoFormatId="16" applyNumberFormats="0" applyBorderFormats="0" applyFontFormats="0" applyPatternFormats="0" applyAlignmentFormats="0" applyWidthHeightFormats="0">
  <queryTableRefresh nextId="4">
    <queryTableFields count="3">
      <queryTableField id="1" name="List 1" tableColumnId="1"/>
      <queryTableField id="2" name="List 2" tableColumnId="2"/>
      <queryTableField id="3" name="Result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ABA4A350-27A4-4245-BF76-A261DF34A8ED}" autoFormatId="16" applyNumberFormats="0" applyBorderFormats="0" applyFontFormats="0" applyPatternFormats="0" applyAlignmentFormats="0" applyWidthHeightFormats="0">
  <queryTableRefresh nextId="5">
    <queryTableFields count="3">
      <queryTableField id="1" name="List 1" tableColumnId="1"/>
      <queryTableField id="2" name="List 2" tableColumnId="2"/>
      <queryTableField id="3" name="Result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F7D745D2-1565-4ADA-B47B-719EFE8076E4}" autoFormatId="16" applyNumberFormats="0" applyBorderFormats="0" applyFontFormats="0" applyPatternFormats="0" applyAlignmentFormats="0" applyWidthHeightFormats="0">
  <queryTableRefresh nextId="2">
    <queryTableFields count="1">
      <queryTableField id="1" name="Color List-1" tableColumnId="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6" xr16:uid="{0B7BAA5F-E190-43B3-98F6-36FC93836764}" autoFormatId="16" applyNumberFormats="0" applyBorderFormats="0" applyFontFormats="0" applyPatternFormats="0" applyAlignmentFormats="0" applyWidthHeightFormats="0">
  <queryTableRefresh nextId="2">
    <queryTableFields count="1">
      <queryTableField id="1" name="Result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5" xr16:uid="{ECC210D3-E6BD-4720-8554-BEC4CC5AAD1E}" autoFormatId="16" applyNumberFormats="0" applyBorderFormats="0" applyFontFormats="0" applyPatternFormats="0" applyAlignmentFormats="0" applyWidthHeightFormats="0">
  <queryTableRefresh nextId="2">
    <queryTableFields count="1">
      <queryTableField id="1" name="Color List-1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2652EB35-571A-4907-BFD7-DC79999BE9DE}" autoFormatId="16" applyNumberFormats="0" applyBorderFormats="0" applyFontFormats="0" applyPatternFormats="0" applyAlignmentFormats="0" applyWidthHeightFormats="0">
  <queryTableRefresh nextId="5">
    <queryTableFields count="4">
      <queryTableField id="1" name="Emp_x000a_ID" tableColumnId="1"/>
      <queryTableField id="2" name="First Name" tableColumnId="2"/>
      <queryTableField id="3" name="Last Name" tableColumnId="3"/>
      <queryTableField id="4" name="Full Name" tableColumnId="4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8" xr16:uid="{79496DE0-C4D0-4821-AB7B-46297FBE2C4E}" autoFormatId="16" applyNumberFormats="0" applyBorderFormats="0" applyFontFormats="0" applyPatternFormats="0" applyAlignmentFormats="0" applyWidthHeightFormats="0">
  <queryTableRefresh nextId="5">
    <queryTableFields count="4">
      <queryTableField id="1" name="Emp_x000a_ID" tableColumnId="1"/>
      <queryTableField id="2" name="First Name" tableColumnId="2"/>
      <queryTableField id="3" name="Last Name" tableColumnId="3"/>
      <queryTableField id="4" name="Full Name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61D7A5FE-F20B-44EE-80A1-CE92BA0DF20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Emp_x000a_Id" tableColumnId="2"/>
      <queryTableField id="3" name="Name" tableColumnId="3"/>
      <queryTableField id="4" name="Designation" tableColumnId="4"/>
      <queryTableField id="5" name="KRA" tableColumnId="5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1" xr16:uid="{56CF0929-972A-4CDD-B5A6-BDDEA2FD77DE}" autoFormatId="16" applyNumberFormats="0" applyBorderFormats="0" applyFontFormats="0" applyPatternFormats="0" applyAlignmentFormats="0" applyWidthHeightFormats="0">
  <queryTableRefresh nextId="6">
    <queryTableFields count="5">
      <queryTableField id="1" name="Emp_x000a_Id" tableColumnId="1"/>
      <queryTableField id="2" name="First Name" tableColumnId="2"/>
      <queryTableField id="3" name="Last Name" tableColumnId="3"/>
      <queryTableField id="4" name="Department" tableColumnId="4"/>
      <queryTableField id="5" name="Location" tableColumnId="5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2" xr16:uid="{EDEC15D7-46CC-4D2F-89DC-34D74BEE0E9C}" autoFormatId="16" applyNumberFormats="0" applyBorderFormats="0" applyFontFormats="0" applyPatternFormats="0" applyAlignmentFormats="0" applyWidthHeightFormats="0">
  <queryTableRefresh nextId="6">
    <queryTableFields count="5">
      <queryTableField id="1" name="Emp_x000a_Id" tableColumnId="1"/>
      <queryTableField id="2" name="First Name" tableColumnId="2"/>
      <queryTableField id="3" name="Last Name" tableColumnId="3"/>
      <queryTableField id="4" name="Department" tableColumnId="4"/>
      <queryTableField id="5" name="Location" tableColumnId="5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3" xr16:uid="{F6EE2F4D-91AF-44C2-B158-0DAEFE280B56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Numbers_x000a_Earned" tableColumnId="2"/>
      <queryTableField id="3" name="Grade earned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C57AA5E1-A44C-473C-80F8-7D3B0F8E0F60}" autoFormatId="16" applyNumberFormats="0" applyBorderFormats="0" applyFontFormats="0" applyPatternFormats="0" applyAlignmentFormats="0" applyWidthHeightFormats="0">
  <queryTableRefresh nextId="3">
    <queryTableFields count="2">
      <queryTableField id="1" name="Emp ID" tableColumnId="1"/>
      <queryTableField id="2" name="Dept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6" xr16:uid="{58ED0420-B237-4D3C-B8FB-24CDCFBBAFEB}" autoFormatId="16" applyNumberFormats="0" applyBorderFormats="0" applyFontFormats="0" applyPatternFormats="0" applyAlignmentFormats="0" applyWidthHeightFormats="0">
  <queryTableRefresh nextId="3">
    <queryTableFields count="2">
      <queryTableField id="1" name="Emp ID" tableColumnId="1"/>
      <queryTableField id="2" name="Salary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7" xr16:uid="{5AD8C97D-41FD-4CA6-9459-8E2C2721A587}" autoFormatId="16" applyNumberFormats="0" applyBorderFormats="0" applyFontFormats="0" applyPatternFormats="0" applyAlignmentFormats="0" applyWidthHeightFormats="0">
  <queryTableRefresh nextId="3">
    <queryTableFields count="2">
      <queryTableField id="1" name="Emp ID" tableColumnId="1"/>
      <queryTableField id="2" name="Emp Name" tableColumnId="2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9" xr16:uid="{C53A87E0-8798-4E8D-B971-3BD9860CBC98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Emp" tableColumnId="1"/>
      <queryTableField id="2" name="First Name" tableColumnId="2"/>
      <queryTableField id="3" name="Dept" tableColumnId="3"/>
      <queryTableField id="4" name="Region" tableColumnId="4"/>
      <queryTableField id="5" name="Salary" tableColumnId="5"/>
      <queryTableField id="6" name="INCENTIVE" tableColumnId="6"/>
      <queryTableField id="7" name="Bonus" tableColumnId="7"/>
      <queryTableField id="8" name="TA" tableColumnId="8"/>
      <queryTableField id="9" dataBound="0" tableColumnId="9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0" xr16:uid="{985721C4-F554-4403-AA46-2B8617500018}" autoFormatId="16" applyNumberFormats="0" applyBorderFormats="0" applyFontFormats="0" applyPatternFormats="0" applyAlignmentFormats="0" applyWidthHeightFormats="0">
  <queryTableRefresh nextId="4">
    <queryTableFields count="3">
      <queryTableField id="1" name="Dept" tableColumnId="1"/>
      <queryTableField id="2" name="INCENTIVE" tableColumnId="2"/>
      <queryTableField id="3" name="Bonus" tableColumnId="3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1" xr16:uid="{11BD5D6D-7F34-48D4-A89B-F296BEEBAF0F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TA" tableColumnId="2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7" xr16:uid="{EB268BAD-FA25-48C8-B270-FD3E97410DD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ext" tableColumnId="1"/>
      <queryTableField id="2" name="Letter To Find" tableColumnId="2"/>
      <queryTableField id="3" name="Position Of Letter" tableColumnId="3"/>
      <queryTableField id="4" name="Column4" tableColumnId="4"/>
      <queryTableField id="5" dataBound="0" tableColumnId="5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9" xr16:uid="{611999F4-7479-4322-ABD6-A79960108CEC}" autoFormatId="16" applyNumberFormats="0" applyBorderFormats="0" applyFontFormats="0" applyPatternFormats="0" applyAlignmentFormats="0" applyWidthHeightFormats="0">
  <queryTableRefresh nextId="5">
    <queryTableFields count="4">
      <queryTableField id="1" name="Sales" tableColumnId="1"/>
      <queryTableField id="2" name="Jan" tableColumnId="2"/>
      <queryTableField id="3" name="Feb" tableColumnId="3"/>
      <queryTableField id="4" name="Mar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1A16D8-7057-4E72-88A6-412B0B2A40C5}" name="Table018__Page_5" displayName="Table018__Page_5" ref="A7:C20" totalsRowShown="0">
  <autoFilter ref="A7:C20" xr:uid="{F41A16D8-7057-4E72-88A6-412B0B2A40C5}"/>
  <tableColumns count="3">
    <tableColumn id="1" xr3:uid="{56B72FAE-06D9-4092-8DB5-D2EF6ECEDCEA}" name="Empoyee ID"/>
    <tableColumn id="2" xr3:uid="{FFDF3579-D28C-4784-BF70-C5A8D3006767}" name="Last Name" dataDxfId="143"/>
    <tableColumn id="3" xr3:uid="{DDFD0E83-79E7-4A42-9B8C-6EE406B9438D}" name="First Name" dataDxfId="1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A8860C-F14D-469D-9C1E-8EB0AD772DBC}" name="Table017__Page_58" displayName="Table017__Page_58" ref="F7:I20" totalsRowShown="0">
  <autoFilter ref="F7:I20" xr:uid="{FCA8860C-F14D-469D-9C1E-8EB0AD772DBC}"/>
  <tableColumns count="4">
    <tableColumn id="1" xr3:uid="{22F9C186-63F3-4855-876A-A7AA6C8FEF1F}" name="Empoyee ID"/>
    <tableColumn id="3" xr3:uid="{C0DED459-901E-4663-A6E0-FA22CFD6920E}" name="Pay" dataDxfId="141"/>
    <tableColumn id="4" xr3:uid="{FEDACF66-2804-4972-8AB8-B5788EABB920}" name="First_x000a_N." dataDxfId="140"/>
    <tableColumn id="5" xr3:uid="{957F437A-F92F-40C7-97EA-6D233ED750E6}" name="Last_x000a_N." dataDxfId="1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571840-CAB5-4EF9-A414-7A730FFD617B}" name="Table021__Page_6" displayName="Table021__Page_6" ref="A6:F9" tableType="queryTable" totalsRowShown="0">
  <autoFilter ref="A6:F9" xr:uid="{5D571840-CAB5-4EF9-A414-7A730FFD617B}"/>
  <tableColumns count="6">
    <tableColumn id="1" xr3:uid="{905A8F78-963B-4452-9BC1-324ED172A5DE}" uniqueName="1" name="Employee ID" queryTableFieldId="1" dataDxfId="138"/>
    <tableColumn id="2" xr3:uid="{6B5251AF-B1A9-4114-809D-D33CB25CCA8F}" uniqueName="2" name="Full Name" queryTableFieldId="2" dataDxfId="137"/>
    <tableColumn id="3" xr3:uid="{DDF1ADA9-B9A6-46BF-9C47-58E58E7A805C}" uniqueName="3" name="SSN" queryTableFieldId="3" dataDxfId="136"/>
    <tableColumn id="4" xr3:uid="{79D45721-5AE1-4401-9986-265F185EE3B6}" uniqueName="4" name="Department" queryTableFieldId="4" dataDxfId="135"/>
    <tableColumn id="5" xr3:uid="{D6E67B1D-B606-4901-86B8-F75F0D86C83B}" uniqueName="5" name="Start Date" queryTableFieldId="5" dataDxfId="134"/>
    <tableColumn id="6" xr3:uid="{FB59FF70-BB0A-41B3-9FA7-960A0C101DEF}" uniqueName="6" name="Earnings" queryTableFieldId="6" dataDxfId="1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B3EE16-8A2A-4C9E-80BD-CB011B216ACD}" name="Table022__Page_612" displayName="Table022__Page_612" ref="A11:F25" totalsRowShown="0">
  <autoFilter ref="A11:F25" xr:uid="{8FB3EE16-8A2A-4C9E-80BD-CB011B216ACD}"/>
  <tableColumns count="6">
    <tableColumn id="1" xr3:uid="{1E320668-29DC-4410-AEF0-C73D41BF3B39}" name="Employee ID" dataDxfId="132"/>
    <tableColumn id="2" xr3:uid="{C58A9E38-6647-4D33-8255-5078076A3B85}" name="Full Name" dataDxfId="131"/>
    <tableColumn id="3" xr3:uid="{F4EADF6B-AD8A-433D-9937-515319D7B002}" name="SSN" dataDxfId="130"/>
    <tableColumn id="4" xr3:uid="{F495E4AB-ADCD-4652-BCFA-A32E2605842B}" name="Department" dataDxfId="129"/>
    <tableColumn id="5" xr3:uid="{12FC26E5-13E4-4F2E-9885-F1B4F0F135DA}" name="Start Date" dataDxfId="128"/>
    <tableColumn id="6" xr3:uid="{BB94F8C1-5DD6-4969-85F1-0234B8017A3A}" name="Earnings" dataDxfId="1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61415-12BE-4496-B416-CFEDE3D18D60}" name="Table024__Page_6" displayName="Table024__Page_6" ref="A4:D13" tableType="queryTable" totalsRowShown="0">
  <autoFilter ref="A4:D13" xr:uid="{EB261415-12BE-4496-B416-CFEDE3D18D60}"/>
  <tableColumns count="4">
    <tableColumn id="1" xr3:uid="{0F000087-F486-470F-A6BD-CB6061A5F85A}" uniqueName="1" name="CLASSIC FAVORITES" queryTableFieldId="1" dataDxfId="126"/>
    <tableColumn id="2" xr3:uid="{C28E3C80-A66A-492B-9344-6F470D252A6B}" uniqueName="2" name="TALL" queryTableFieldId="2" dataDxfId="125"/>
    <tableColumn id="3" xr3:uid="{DB549C6A-7AF0-4746-B1FD-5CA33D218A5D}" uniqueName="3" name="GRANDE" queryTableFieldId="3" dataDxfId="124"/>
    <tableColumn id="4" xr3:uid="{4EAB204D-63BC-4F93-A4BF-6FE1591DA5CD}" uniqueName="4" name="VENTI" queryTableFieldId="4" dataDxfId="1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568EF4-3720-4B60-9B09-55A2DC85B13A}" name="Table028__Page_7" displayName="Table028__Page_7" ref="A5:J13" tableType="queryTable" totalsRowShown="0">
  <autoFilter ref="A5:J13" xr:uid="{B0568EF4-3720-4B60-9B09-55A2DC85B13A}"/>
  <tableColumns count="10">
    <tableColumn id="1" xr3:uid="{067A2BF5-98C6-4653-8192-56DE8E12B1CB}" uniqueName="1" name="Product Name" queryTableFieldId="1" dataDxfId="122"/>
    <tableColumn id="2" xr3:uid="{4A64B338-71C7-4A87-BFCF-6895C37DBF04}" uniqueName="2" name="Jan" queryTableFieldId="2" dataDxfId="121"/>
    <tableColumn id="3" xr3:uid="{F9F03B26-B442-4FFD-B9F9-86B121ED431F}" uniqueName="3" name="Feb" queryTableFieldId="3" dataDxfId="120"/>
    <tableColumn id="4" xr3:uid="{22E3229F-982E-4875-A660-321538EDF9FD}" uniqueName="4" name="Mar" queryTableFieldId="4" dataDxfId="119"/>
    <tableColumn id="5" xr3:uid="{0E953D47-F088-4D62-A108-16AF1B9CAB47}" uniqueName="5" name="Apr" queryTableFieldId="5" dataDxfId="118"/>
    <tableColumn id="6" xr3:uid="{C5693DC0-5E33-488A-BA57-5133FE3C0914}" uniqueName="6" name="May" queryTableFieldId="6" dataDxfId="117"/>
    <tableColumn id="7" xr3:uid="{22903E04-31F7-48E3-A497-63ED8661D01C}" uniqueName="7" name="Jun" queryTableFieldId="7" dataDxfId="116"/>
    <tableColumn id="8" xr3:uid="{00797156-4631-445D-B466-BB03447B2D2C}" uniqueName="8" name="Jul" queryTableFieldId="8" dataDxfId="115"/>
    <tableColumn id="9" xr3:uid="{8CE15B28-576E-4B23-BC17-F29C9072FBE4}" uniqueName="9" name="Aug" queryTableFieldId="9" dataDxfId="114"/>
    <tableColumn id="10" xr3:uid="{970FF129-0A8F-426D-85AB-467ED513C9AF}" uniqueName="10" name="Total_x000a_Sales" queryTableFieldId="10" dataDxfId="1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521CC5-BC2A-44F2-8FCD-BAD1E4894D3E}" name="Table030__Page_8" displayName="Table030__Page_8" ref="A6:E42" tableType="queryTable" totalsRowShown="0">
  <autoFilter ref="A6:E42" xr:uid="{C5521CC5-BC2A-44F2-8FCD-BAD1E4894D3E}"/>
  <tableColumns count="5">
    <tableColumn id="1" xr3:uid="{127B105E-B582-4914-8580-CB567E24D416}" uniqueName="1" name="Season" queryTableFieldId="1" dataDxfId="112"/>
    <tableColumn id="2" xr3:uid="{026EE8C1-6268-4821-AA0D-447BE8459610}" uniqueName="2" name="Year" queryTableFieldId="2"/>
    <tableColumn id="3" xr3:uid="{327EE10B-7DB5-40B8-88F3-C8197653F748}" uniqueName="3" name="Type" queryTableFieldId="3" dataDxfId="111"/>
    <tableColumn id="4" xr3:uid="{4CEF6E5B-DC88-4FF9-8B86-E87A0E6FD4D8}" uniqueName="4" name="State" queryTableFieldId="4" dataDxfId="110"/>
    <tableColumn id="5" xr3:uid="{50767085-EC5B-4604-9311-95FC91C7B6C9}" uniqueName="5" name="Sales $" queryTableFieldId="5" dataDxfId="1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2E1F60-EAFD-423C-AF70-9B2415FBBF0E}" name="Table033__Page_9" displayName="Table033__Page_9" ref="A5:F35" tableType="queryTable" totalsRowShown="0">
  <autoFilter ref="A5:F35" xr:uid="{732E1F60-EAFD-423C-AF70-9B2415FBBF0E}"/>
  <tableColumns count="6">
    <tableColumn id="1" xr3:uid="{B373639D-7A42-4AAE-804E-35C6F9DCF2BB}" uniqueName="1" name="Create Pivot Table Using Data Separate Fruit and Vegetables" queryTableFieldId="1"/>
    <tableColumn id="2" xr3:uid="{C8A5A955-F141-4265-915D-EDC036690283}" uniqueName="2" name="Product" queryTableFieldId="2" dataDxfId="108"/>
    <tableColumn id="3" xr3:uid="{479B8F11-C4AB-440F-ACEC-64AB1EA2AAA5}" uniqueName="3" name="Category" queryTableFieldId="3" dataDxfId="107"/>
    <tableColumn id="4" xr3:uid="{87FC4CE6-2F26-4EEF-B64D-B973A48FEF3D}" uniqueName="4" name="Amount" queryTableFieldId="4" dataDxfId="106"/>
    <tableColumn id="5" xr3:uid="{FC21FAED-1599-4FDD-B83D-9900FB96A561}" uniqueName="5" name="Date" queryTableFieldId="5" dataDxfId="105"/>
    <tableColumn id="6" xr3:uid="{384E029F-EE12-4DF1-9E4F-A3FD9247BBBA}" uniqueName="6" name="Country" queryTableFieldId="6" dataDxfId="10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DE4C60-C5AC-45C9-85D1-54F39226014D}" name="Table037__Page_10" displayName="Table037__Page_10" ref="A6:D17" tableType="queryTable" totalsRowShown="0">
  <autoFilter ref="A6:D17" xr:uid="{31DE4C60-C5AC-45C9-85D1-54F39226014D}"/>
  <tableColumns count="4">
    <tableColumn id="1" xr3:uid="{ADEE9A20-6703-4591-BA5E-A491CB6250F0}" uniqueName="1" name="Name" queryTableFieldId="1" dataDxfId="103"/>
    <tableColumn id="2" xr3:uid="{3EAF312B-7CE7-446E-AE3A-403F97C8B93C}" uniqueName="2" name="Gender" queryTableFieldId="2" dataDxfId="102"/>
    <tableColumn id="3" xr3:uid="{FF57C901-B413-4315-B186-594669C0A275}" uniqueName="3" name="Country" queryTableFieldId="3" dataDxfId="101"/>
    <tableColumn id="4" xr3:uid="{F79DBED4-CD28-4EEB-9A73-0A2AEB5E929B}" uniqueName="4" name="Score" queryTableFieldId="4" dataDxf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FB7D39-2098-41EC-811C-14CA30171EB4}" name="Table041__Page_12" displayName="Table041__Page_12" ref="G6:I16" tableType="queryTable" totalsRowShown="0">
  <autoFilter ref="G6:I16" xr:uid="{EAFB7D39-2098-41EC-811C-14CA30171EB4}"/>
  <tableColumns count="3">
    <tableColumn id="1" xr3:uid="{2AB02148-DEA5-4CD6-BE18-EE58229B73DC}" uniqueName="1" name="ID" queryTableFieldId="1"/>
    <tableColumn id="2" xr3:uid="{7D41A47B-0FAC-4631-9195-336435A1945D}" uniqueName="2" name="Product" queryTableFieldId="2" dataDxfId="99"/>
    <tableColumn id="3" xr3:uid="{3F31BDA7-B728-4DDD-9978-A4B3EA5FC657}" uniqueName="3" name="Brand" queryTableFieldId="3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B7D3AE-8A2B-478E-922C-5F6AB286926E}" name="Table041__Page_12___2" displayName="Table041__Page_12___2" ref="A9:C19" tableType="queryTable" totalsRowShown="0" headerRowDxfId="97" headerRowBorderDxfId="96" tableBorderDxfId="95" totalsRowBorderDxfId="94">
  <autoFilter ref="A9:C19" xr:uid="{73B7D3AE-8A2B-478E-922C-5F6AB286926E}"/>
  <tableColumns count="3">
    <tableColumn id="1" xr3:uid="{C0ABE201-DB24-4CE2-9C84-4A5B12DFB0D7}" uniqueName="1" name="ID" queryTableFieldId="1" dataDxfId="93"/>
    <tableColumn id="2" xr3:uid="{B9AB38DB-F201-4933-975D-D1E918398CB0}" uniqueName="2" name="Product" queryTableFieldId="2" dataDxfId="92"/>
    <tableColumn id="3" xr3:uid="{E10AC351-AE9A-417A-B9CD-E33935D3CA1A}" uniqueName="3" name="Brand" queryTableFieldId="3" dataDxfId="9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36A986D-DDDB-4B8B-8330-0806E2F4A231}" name="Table044__Page_13_14" displayName="Table044__Page_13_14" ref="A6:D26" tableType="queryTable" totalsRowShown="0">
  <autoFilter ref="A6:D26" xr:uid="{336A986D-DDDB-4B8B-8330-0806E2F4A231}"/>
  <tableColumns count="4">
    <tableColumn id="1" xr3:uid="{1824BE58-29B5-47ED-AFDD-125FDE3BE594}" uniqueName="1" name="Emp Name" queryTableFieldId="1" dataDxfId="90"/>
    <tableColumn id="2" xr3:uid="{E63E3098-0D09-4F7B-B789-3E6CBBFE4FCE}" uniqueName="2" name="Salary" queryTableFieldId="2"/>
    <tableColumn id="3" xr3:uid="{D0BF1FC0-A237-4192-850E-7EFCEEB947BA}" uniqueName="3" name="Department" queryTableFieldId="3" dataDxfId="89"/>
    <tableColumn id="4" xr3:uid="{3891986A-4B58-4E12-8832-52422CB373D7}" uniqueName="4" name="Emp ID" queryTableFieldId="4" dataDxfId="8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8662431-100C-4BE2-9B73-9AE325EC268D}" name="Table043__Page_13" displayName="Table043__Page_13" ref="F6:G26" tableType="queryTable" totalsRowShown="0">
  <autoFilter ref="F6:G26" xr:uid="{C8662431-100C-4BE2-9B73-9AE325EC268D}"/>
  <tableColumns count="2">
    <tableColumn id="1" xr3:uid="{19058E3A-F0DF-45DC-9B90-E817FE78F595}" uniqueName="1" name="Emp ID" queryTableFieldId="1" dataDxfId="87"/>
    <tableColumn id="2" xr3:uid="{68B5D3E0-DB12-429F-B46A-47BC23DD5A8E}" uniqueName="2" name="Salary" queryTableFieldId="2" dataDxfId="8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4E77E94-4F46-439B-9CC4-E25ACF2647D1}" name="Table044__Page_13_1423" displayName="Table044__Page_13_1423" ref="A6:D26" tableType="queryTable" totalsRowShown="0">
  <autoFilter ref="A6:D26" xr:uid="{F4E77E94-4F46-439B-9CC4-E25ACF2647D1}"/>
  <tableColumns count="4">
    <tableColumn id="1" xr3:uid="{7BC95757-72BB-4E75-A926-131D74C2C07E}" uniqueName="1" name="Emp Name" queryTableFieldId="1" dataDxfId="85"/>
    <tableColumn id="2" xr3:uid="{B3615A5D-CAE1-4F7B-8BE4-59EA8F414BAF}" uniqueName="2" name="Salary" queryTableFieldId="2"/>
    <tableColumn id="3" xr3:uid="{C41B824C-557C-4527-A835-3EA8DAC7F80A}" uniqueName="3" name="Department" queryTableFieldId="3" dataDxfId="84"/>
    <tableColumn id="4" xr3:uid="{28C5BEFB-F075-42C0-85C4-48BBD690EA6F}" uniqueName="4" name="Emp ID" queryTableFieldId="4" dataDxfId="8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B7ADC67-386B-4991-BF08-0B8C04C65401}" name="Table043__Page_1325" displayName="Table043__Page_1325" ref="F6:G26" tableType="queryTable" totalsRowShown="0">
  <autoFilter ref="F6:G26" xr:uid="{1B7ADC67-386B-4991-BF08-0B8C04C65401}"/>
  <tableColumns count="2">
    <tableColumn id="1" xr3:uid="{C298E1E4-C386-4586-87F5-67D65B2A3030}" uniqueName="1" name="Emp ID" queryTableFieldId="1" dataDxfId="82"/>
    <tableColumn id="2" xr3:uid="{FCD9E4E7-0200-40C5-ACC8-F52B1954F8B0}" uniqueName="2" name="Salary" queryTableFieldId="2" dataDxfId="8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D5E3D7D-9065-4C9A-8609-891C13A4E236}" name="Table047__Page_14" displayName="Table047__Page_14" ref="A5:F14" tableType="queryTable" totalsRowShown="0">
  <autoFilter ref="A5:F14" xr:uid="{BD5E3D7D-9065-4C9A-8609-891C13A4E236}"/>
  <tableColumns count="6">
    <tableColumn id="1" xr3:uid="{D4B342E2-D6DD-4306-92FE-800E16D6BE82}" uniqueName="1" name="NAME" queryTableFieldId="1" dataDxfId="80"/>
    <tableColumn id="2" xr3:uid="{3925F85B-A5DC-456E-9B3B-03968052F689}" uniqueName="2" name="PHYSICS" queryTableFieldId="2" dataDxfId="79"/>
    <tableColumn id="3" xr3:uid="{0F024A54-5037-420A-839E-B4E008F3D000}" uniqueName="3" name="CHEMISTRY" queryTableFieldId="3" dataDxfId="78"/>
    <tableColumn id="4" xr3:uid="{D0E1BAA6-7D38-48DB-B5E4-AF95832A4D8B}" uniqueName="4" name="MATHS" queryTableFieldId="4" dataDxfId="77"/>
    <tableColumn id="5" xr3:uid="{E92B3565-CB58-4E15-9480-89BB7523C2F9}" uniqueName="5" name="BIOLOGY" queryTableFieldId="5" dataDxfId="76"/>
    <tableColumn id="6" xr3:uid="{00FD7E37-3305-43FF-B1BA-2647166CF2B5}" uniqueName="6" name="PASSED THE EXAM ?" queryTableFieldId="6" dataDxfId="7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A2A1617-35D4-4523-B636-11CCF23E8EC5}" name="Table049__Page_15" displayName="Table049__Page_15" ref="A6:B18" tableType="queryTable" totalsRowShown="0">
  <autoFilter ref="A6:B18" xr:uid="{3A2A1617-35D4-4523-B636-11CCF23E8EC5}"/>
  <tableColumns count="2">
    <tableColumn id="1" xr3:uid="{2D49E7A0-F5C4-4345-85C8-05A577120C12}" uniqueName="1" name="Product Name" queryTableFieldId="1" dataDxfId="74"/>
    <tableColumn id="2" xr3:uid="{C92C4DC0-A869-414B-A928-55D745FC417F}" uniqueName="2" name="Units sold" queryTableFieldId="2" dataDxfId="7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901FCBE-AE94-47B2-8CAE-495F44CFD416}" name="Table050__Page_15" displayName="Table050__Page_15" ref="E6:G12" tableType="queryTable" totalsRowShown="0">
  <autoFilter ref="E6:G12" xr:uid="{E901FCBE-AE94-47B2-8CAE-495F44CFD416}"/>
  <tableColumns count="3">
    <tableColumn id="1" xr3:uid="{78A788E3-6DD6-4823-8167-EE713AC0D3FF}" uniqueName="1" name="Student" queryTableFieldId="1" dataDxfId="72"/>
    <tableColumn id="2" xr3:uid="{6E3B6C4E-620F-41CC-B85E-8FB93C44BC67}" uniqueName="2" name="Semester" queryTableFieldId="2" dataDxfId="71"/>
    <tableColumn id="3" xr3:uid="{B54D346C-F00B-486E-92E1-5E2EE7D718A4}" uniqueName="3" name="Score" queryTableField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85CF6FC-9282-47A2-BDB3-BCEC50B05E3A}" name="Table053__Page_15" displayName="Table053__Page_15" ref="A24:C36" tableType="queryTable" totalsRowShown="0">
  <autoFilter ref="A24:C36" xr:uid="{985CF6FC-9282-47A2-BDB3-BCEC50B05E3A}"/>
  <tableColumns count="3">
    <tableColumn id="1" xr3:uid="{E1E86EB1-BB3A-48FE-8701-F0B76C2CDD79}" uniqueName="1" name="Zone" queryTableFieldId="1" dataDxfId="70"/>
    <tableColumn id="2" xr3:uid="{D200005E-8085-4260-9637-C7B43EEED4CA}" uniqueName="2" name="City" queryTableFieldId="2" dataDxfId="69"/>
    <tableColumn id="3" xr3:uid="{4966EDB7-D8BA-44D8-8AA9-5965D2678AA8}" uniqueName="3" name="Sales" queryTableFieldId="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F385DED2-BA95-483C-B65E-D1971DF6CA81}" name="Table054__Page_15" displayName="Table054__Page_15" ref="E24:F36" tableType="queryTable" totalsRowShown="0">
  <autoFilter ref="E24:F36" xr:uid="{F385DED2-BA95-483C-B65E-D1971DF6CA81}"/>
  <tableColumns count="2">
    <tableColumn id="1" xr3:uid="{D6D0D589-63B5-434B-896C-47533916ABAE}" uniqueName="1" name="Product Name" queryTableFieldId="1" dataDxfId="68"/>
    <tableColumn id="2" xr3:uid="{48B02424-1C9D-4CC1-8066-B9CCA1D78CE4}" uniqueName="2" name="Units sold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1778A4E-577F-44EC-B4D9-6DC08F24AC73}" name="Table055__Page_15" displayName="Table055__Page_15" ref="A38:A39" tableType="queryTable" totalsRowShown="0" headerRowDxfId="67" headerRowBorderDxfId="66" tableBorderDxfId="65" totalsRowBorderDxfId="64">
  <tableColumns count="1">
    <tableColumn id="1" xr3:uid="{58094212-EB40-430D-838F-B92F7B7BC185}" uniqueName="1" name="Average of West zone" queryTableFieldId="1" dataDxfId="6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722FC-C9B5-4F6D-9ECB-690ED42F5ED0}" name="Table057__Page_16" displayName="Table057__Page_16" ref="A5:C10" tableType="queryTable" totalsRowShown="0">
  <autoFilter ref="A5:C10" xr:uid="{7A9722FC-C9B5-4F6D-9ECB-690ED42F5ED0}"/>
  <tableColumns count="3">
    <tableColumn id="1" xr3:uid="{A55A4986-6820-43ED-BCB6-2F0320DABD07}" uniqueName="1" name="List 1" queryTableFieldId="1" dataDxfId="62"/>
    <tableColumn id="2" xr3:uid="{4E145966-C859-4CE6-9B45-9E0399761321}" uniqueName="2" name="List 2" queryTableFieldId="2" dataDxfId="61"/>
    <tableColumn id="3" xr3:uid="{3088BB8D-AAB6-40D1-8C6D-27E4BC05B714}" uniqueName="3" name="Result" queryTableFieldId="3" dataDxfId="6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33D5CA-67FE-4670-8D4F-8C8A481405AB}" name="Table058__Page_16" displayName="Table058__Page_16" ref="F5:H13" tableType="queryTable" totalsRowShown="0">
  <autoFilter ref="F5:H13" xr:uid="{A333D5CA-67FE-4670-8D4F-8C8A481405AB}"/>
  <tableColumns count="3">
    <tableColumn id="1" xr3:uid="{B50AFB66-9952-42C3-9DD2-232DBE07253A}" uniqueName="1" name="List 1" queryTableFieldId="1"/>
    <tableColumn id="2" xr3:uid="{1AE448EC-6104-422D-8159-A1F5B828AEC4}" uniqueName="2" name="List 2" queryTableFieldId="2"/>
    <tableColumn id="3" xr3:uid="{D8D1DF68-4411-4DDA-87EE-4DF916EE8D60}" uniqueName="3" name="Result" queryTableFieldId="3" dataDxfId="5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D95C1C-43AD-46DE-AD06-3D6E85839E75}" name="Table059__Page_16" displayName="Table059__Page_16" ref="A15:A21" tableType="queryTable" totalsRowShown="0">
  <autoFilter ref="A15:A21" xr:uid="{12D95C1C-43AD-46DE-AD06-3D6E85839E75}"/>
  <tableColumns count="1">
    <tableColumn id="1" xr3:uid="{2517E8AD-40E6-4756-8DC2-EDBE040B1DCF}" uniqueName="1" name="Color List-1" queryTableFieldId="1" dataDxfId="5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53AE763-4C54-4DF6-99BB-2F7FCF966B0D}" name="Table060__Page_16" displayName="Table060__Page_16" ref="E15:E21" tableType="queryTable" totalsRowShown="0">
  <autoFilter ref="E15:E21" xr:uid="{953AE763-4C54-4DF6-99BB-2F7FCF966B0D}"/>
  <tableColumns count="1">
    <tableColumn id="1" xr3:uid="{F1E40CA6-E10F-46C0-85C5-A81F731C27EA}" uniqueName="1" name="Result" queryTableFieldId="1" dataDxfId="5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195B8A0-A38D-4E19-89A1-6311F4761F83}" name="Table059__Page_1618" displayName="Table059__Page_1618" ref="G15:G21" tableType="queryTable" totalsRowShown="0">
  <autoFilter ref="G15:G21" xr:uid="{F195B8A0-A38D-4E19-89A1-6311F4761F83}"/>
  <tableColumns count="1">
    <tableColumn id="1" xr3:uid="{C6CD5DEC-F1B6-49D8-85E1-DD3CB3FC4ED5}" uniqueName="1" name="Color List-2" queryTableFieldId="1" dataDxfId="5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CF5E15-2D39-41C6-9F18-FCF7548EA699}" name="Table062__Page_16" displayName="Table062__Page_16" ref="A5:D11" tableType="queryTable" totalsRowShown="0">
  <autoFilter ref="A5:D11" xr:uid="{E9CF5E15-2D39-41C6-9F18-FCF7548EA699}"/>
  <tableColumns count="4">
    <tableColumn id="1" xr3:uid="{D097A34B-F6CB-47ED-A63F-583F10C8E2A8}" uniqueName="1" name="Emp_x000a_ID" queryTableFieldId="1" dataDxfId="55"/>
    <tableColumn id="2" xr3:uid="{32EFF6B3-8302-44BB-92EF-FCF30F164158}" uniqueName="2" name="First Name" queryTableFieldId="2" dataDxfId="54"/>
    <tableColumn id="3" xr3:uid="{9C089A68-E0B5-4D82-A6B8-26BE67AE1003}" uniqueName="3" name="Last Name" queryTableFieldId="3" dataDxfId="53"/>
    <tableColumn id="4" xr3:uid="{5B559092-5062-4A97-9096-667278A24188}" uniqueName="4" name="Full Name" queryTableFieldId="4" dataDxfId="5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5177353-3107-44B9-AA95-8A425D234E4A}" name="Table063__Page_16" displayName="Table063__Page_16" ref="A14:D17" tableType="queryTable" totalsRowShown="0">
  <autoFilter ref="A14:D17" xr:uid="{25177353-3107-44B9-AA95-8A425D234E4A}"/>
  <tableColumns count="4">
    <tableColumn id="1" xr3:uid="{309A65E5-B0F6-4314-8B9F-45116D0639D4}" uniqueName="1" name="Emp_x000a_ID" queryTableFieldId="1" dataDxfId="51"/>
    <tableColumn id="2" xr3:uid="{283D892A-ECE9-4294-B563-EC5CF55C39C2}" uniqueName="2" name="First Name" queryTableFieldId="2" dataDxfId="50"/>
    <tableColumn id="3" xr3:uid="{98986AEF-BDFA-4357-A9C4-CA60772E5F70}" uniqueName="3" name="Last Name" queryTableFieldId="3" dataDxfId="49"/>
    <tableColumn id="4" xr3:uid="{2E6610CF-449E-48D8-A478-C1A343CF7FC1}" uniqueName="4" name="Full Name" queryTableFieldId="4" dataDxfId="4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30FE37E-2B2C-4D49-B92B-E523B0450320}" name="Table065__Page_17" displayName="Table065__Page_17" ref="A6:E27" tableType="queryTable" totalsRowShown="0">
  <autoFilter ref="A6:E27" xr:uid="{A30FE37E-2B2C-4D49-B92B-E523B0450320}"/>
  <tableColumns count="5">
    <tableColumn id="1" xr3:uid="{C17B2310-515E-407F-BF21-6568092E083C}" uniqueName="1" name="Date" queryTableFieldId="1" dataDxfId="47"/>
    <tableColumn id="2" xr3:uid="{16874F29-4DC2-4D77-B5FB-47F185F9E44D}" uniqueName="2" name="EmpID" queryTableFieldId="2" dataDxfId="46"/>
    <tableColumn id="3" xr3:uid="{745C1C42-9005-4844-905E-01D23199FEDB}" uniqueName="3" name="NAME" queryTableFieldId="3" dataDxfId="45"/>
    <tableColumn id="4" xr3:uid="{960D1EEB-9B0A-451C-AED1-AE7A00FE2D82}" uniqueName="4" name="Designation" queryTableFieldId="4" dataDxfId="44"/>
    <tableColumn id="5" xr3:uid="{F6A1A4D7-92B0-4AC5-8E0B-01EF779F5ED1}" uniqueName="5" name="KRA" queryTableFieldId="5" dataDxfId="4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3067FB5-8568-42D1-9DD1-EE8F74C223A5}" name="Table067__Page_18" displayName="Table067__Page_18" ref="A6:E16" tableType="queryTable" totalsRowShown="0">
  <autoFilter ref="A6:E16" xr:uid="{63067FB5-8568-42D1-9DD1-EE8F74C223A5}"/>
  <tableColumns count="5">
    <tableColumn id="1" xr3:uid="{6EB19638-7A92-43A6-A0F0-EACD6A378D90}" uniqueName="1" name="Emp_x000a_Id" queryTableFieldId="1"/>
    <tableColumn id="2" xr3:uid="{B64A2431-CB7B-41B1-9237-4A060BC411AA}" uniqueName="2" name="First Name" queryTableFieldId="2" dataDxfId="42"/>
    <tableColumn id="3" xr3:uid="{A4BAEC4A-F813-4941-B560-C2512A30490E}" uniqueName="3" name="Last Name" queryTableFieldId="3" dataDxfId="41"/>
    <tableColumn id="4" xr3:uid="{7DA7E939-E43C-46ED-ADC7-F5A7C9029C9A}" uniqueName="4" name="Department" queryTableFieldId="4" dataDxfId="40"/>
    <tableColumn id="5" xr3:uid="{534FB536-56FD-4270-9CBD-83E9F62D031A}" uniqueName="5" name="Location" queryTableFieldId="5" dataDxfId="39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A44852B-6602-463F-92F6-A86395B9927F}" name="Table068__Page_18" displayName="Table068__Page_18" ref="A4:E14" tableType="queryTable" totalsRowShown="0">
  <autoFilter ref="A4:E14" xr:uid="{DA44852B-6602-463F-92F6-A86395B9927F}"/>
  <tableColumns count="5">
    <tableColumn id="1" xr3:uid="{4B10D8AD-75CA-4EEA-9F2E-75F36E02FDB4}" uniqueName="1" name="Emp_x000a_Id" queryTableFieldId="1"/>
    <tableColumn id="2" xr3:uid="{2AEEF45B-05A6-4730-A0A6-42B6AFFD9188}" uniqueName="2" name="First Name" queryTableFieldId="2" dataDxfId="38"/>
    <tableColumn id="3" xr3:uid="{6FE6A8E6-8FA6-4CAB-8E75-ABF6B29420BA}" uniqueName="3" name="Last Name" queryTableFieldId="3" dataDxfId="37"/>
    <tableColumn id="4" xr3:uid="{BE256028-CED3-41AC-9F7B-49BC86FF1367}" uniqueName="4" name="Department" queryTableFieldId="4" dataDxfId="36"/>
    <tableColumn id="5" xr3:uid="{B3904867-0E7A-4A5C-86D7-22A12F3A51EA}" uniqueName="5" name="Location" queryTableFieldId="5" dataDxfId="35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D14DA0E-798B-41A4-898E-FF4549E0A76C}" name="Table080__Page_20" displayName="Table080__Page_20" ref="A5:C14" tableType="queryTable" totalsRowShown="0">
  <autoFilter ref="A5:C14" xr:uid="{ED14DA0E-798B-41A4-898E-FF4549E0A76C}"/>
  <tableColumns count="3">
    <tableColumn id="1" xr3:uid="{3D959EAF-D772-4700-896A-CBFCDD6144A6}" uniqueName="1" name="Name" queryTableFieldId="1" dataDxfId="34"/>
    <tableColumn id="2" xr3:uid="{5ABBCAEC-95EE-408B-BB08-4C3695DDB917}" uniqueName="2" name="Total Numbers_x000a_Earned" queryTableFieldId="2"/>
    <tableColumn id="3" xr3:uid="{332C606E-EFD5-4F10-B59D-AD51FBE872D2}" uniqueName="3" name="Grade earned" queryTableFieldId="3" dataDxfId="3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2AE7ADE-30BA-4117-9366-18B251D6D436}" name="Table082__Page_20" displayName="Table082__Page_20" ref="D5:E25" tableType="queryTable" totalsRowShown="0">
  <autoFilter ref="D5:E25" xr:uid="{C2AE7ADE-30BA-4117-9366-18B251D6D436}"/>
  <tableColumns count="2">
    <tableColumn id="1" xr3:uid="{5669713B-3E5C-4237-81C8-62E5F74B3369}" uniqueName="1" name="Emp ID" queryTableFieldId="1" dataDxfId="32"/>
    <tableColumn id="2" xr3:uid="{EF12AE7F-73E4-4BB3-8815-616DA72BD63A}" uniqueName="2" name="Dept" queryTableFieldId="2" dataDxfId="3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C0A59B0-5981-4124-9BCC-113EEEC7EE5F}" name="Table083__Page_20" displayName="Table083__Page_20" ref="G5:H25" tableType="queryTable" totalsRowShown="0">
  <autoFilter ref="G5:H25" xr:uid="{9C0A59B0-5981-4124-9BCC-113EEEC7EE5F}"/>
  <tableColumns count="2">
    <tableColumn id="1" xr3:uid="{12B61B8B-BCF2-4FFE-8A73-67D7C4B0942A}" uniqueName="1" name="Emp ID" queryTableFieldId="1" dataDxfId="30"/>
    <tableColumn id="2" xr3:uid="{108458D7-F126-41B0-9ED2-5F8285FB5C52}" uniqueName="2" name="Salary" queryTableFieldId="2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9952DDC-27CE-49CD-9844-596C767488A4}" name="Table084__Page_20" displayName="Table084__Page_20" ref="A5:B25" tableType="queryTable" totalsRowShown="0">
  <autoFilter ref="A5:B25" xr:uid="{19952DDC-27CE-49CD-9844-596C767488A4}"/>
  <tableColumns count="2">
    <tableColumn id="1" xr3:uid="{062544C6-02BF-4EC8-BBBA-97CE3E38E80D}" uniqueName="1" name="Emp ID" queryTableFieldId="1" dataDxfId="29"/>
    <tableColumn id="2" xr3:uid="{98FF0337-223A-42E4-A86D-F3A03712DD6A}" uniqueName="2" name="Emp Name" queryTableFieldId="2" dataDxfId="2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A3D33B3-F400-48B4-93E4-9F7310431728}" name="Table40" displayName="Table40" ref="B28:E48" totalsRowShown="0" headerRowDxfId="27" headerRowBorderDxfId="26" tableBorderDxfId="25" totalsRowBorderDxfId="24">
  <tableColumns count="4">
    <tableColumn id="1" xr3:uid="{CEDA72D6-439C-4728-9BE3-91EB2A2FAA4B}" name="Emp ID" dataDxfId="23"/>
    <tableColumn id="2" xr3:uid="{AE76CA5C-F82C-401E-9A0E-FF71D7F70B66}" name="Emp Name" dataDxfId="22"/>
    <tableColumn id="3" xr3:uid="{47B7C447-5149-42A3-A290-CF0760D4FBB3}" name="Department" dataDxfId="21">
      <calculatedColumnFormula>VLOOKUP(B29,Table082__Page_20[#All],2,0)</calculatedColumnFormula>
    </tableColumn>
    <tableColumn id="4" xr3:uid="{3094A60A-A1DA-478D-8161-C35FC9362A5E}" name="Salary" dataDxfId="20">
      <calculatedColumnFormula>VLOOKUP(B29,Table083__Page_20[#All],2,0)</calculatedColumnFormula>
    </tableColumn>
  </tableColumns>
  <tableStyleInfo name="TableStyleLight16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670452E-8147-42EB-948F-BE6FBBEF89E3}" name="Table094__Page_23" displayName="Table094__Page_23" ref="A6:I23" tableType="queryTable" totalsRowShown="0">
  <autoFilter ref="A6:I23" xr:uid="{9670452E-8147-42EB-948F-BE6FBBEF89E3}"/>
  <tableColumns count="9">
    <tableColumn id="1" xr3:uid="{3BD4D3B0-666E-497C-8EE7-5A36B2124845}" uniqueName="1" name="Emp" queryTableFieldId="1"/>
    <tableColumn id="2" xr3:uid="{D688BC52-E7F6-40A0-891C-FFB4D98FD5A5}" uniqueName="2" name="First Name" queryTableFieldId="2" dataDxfId="19"/>
    <tableColumn id="3" xr3:uid="{4F947556-04DC-49B0-A17E-57A2B26C90FB}" uniqueName="3" name="Dept" queryTableFieldId="3" dataDxfId="18"/>
    <tableColumn id="4" xr3:uid="{5A0D1789-FC59-4971-9157-3AB0E2104F36}" uniqueName="4" name="Region" queryTableFieldId="4" dataDxfId="17"/>
    <tableColumn id="5" xr3:uid="{6374FB78-50E6-4E70-896A-CAA563B43C8D}" uniqueName="5" name="Salary" queryTableFieldId="5"/>
    <tableColumn id="6" xr3:uid="{7ADC7DF9-E7A4-4DA8-8377-BD78BD92AF0A}" uniqueName="6" name="INCENTIVE" queryTableFieldId="6" dataDxfId="16"/>
    <tableColumn id="7" xr3:uid="{2B0C0EB1-4564-48AB-8D25-73C08AB08513}" uniqueName="7" name="Bonus" queryTableFieldId="7" dataDxfId="15"/>
    <tableColumn id="8" xr3:uid="{221C5315-9022-4C07-BD7D-FE88926E9E12}" uniqueName="8" name="TA" queryTableFieldId="8" dataDxfId="14"/>
    <tableColumn id="9" xr3:uid="{4C36EC86-F26A-44C1-AAE0-C4DA2A41B9AB}" uniqueName="9" name="Grade" queryTableFieldId="9" dataDxfId="13">
      <calculatedColumnFormula>IF(Table094__Page_23[[#This Row],[Salary]]&gt;15000,"A",IF(Table094__Page_23[[#This Row],[Salary]]&gt;10000,"B","C"))</calculatedColumnFormula>
    </tableColumn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86A4775-C886-45D3-81A9-C97B5B9473F3}" name="Table095__Page_23" displayName="Table095__Page_23" ref="K6:M14" tableType="queryTable" totalsRowShown="0">
  <autoFilter ref="K6:M14" xr:uid="{186A4775-C886-45D3-81A9-C97B5B9473F3}"/>
  <tableColumns count="3">
    <tableColumn id="1" xr3:uid="{B6BFB592-F00D-4D9C-BA03-028542332395}" uniqueName="1" name="Dept" queryTableFieldId="1" dataDxfId="12"/>
    <tableColumn id="2" xr3:uid="{0CDBED0F-6C06-4C50-A3F1-723AB3A04DF1}" uniqueName="2" name="INCENTIVE" queryTableFieldId="2"/>
    <tableColumn id="3" xr3:uid="{6BDD11D2-FB9A-4422-A4CD-B32386101FC2}" uniqueName="3" name="Bonus" queryTableFieldId="3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4D21CED0-61E9-4284-B765-1475BFC6E801}" name="Table096__Page_23" displayName="Table096__Page_23" ref="O6:P10" tableType="queryTable" totalsRowShown="0">
  <autoFilter ref="O6:P10" xr:uid="{4D21CED0-61E9-4284-B765-1475BFC6E801}"/>
  <tableColumns count="2">
    <tableColumn id="1" xr3:uid="{64DD3EB7-978D-4A96-9B5A-4E0EEA6DEB74}" uniqueName="1" name="Region" queryTableFieldId="1" dataDxfId="11"/>
    <tableColumn id="2" xr3:uid="{0EABAD6F-5EF7-4BD2-A49E-74F34867BEC9}" uniqueName="2" name="TA" queryTableFieldId="2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2C29F4DB-ECD4-465C-BD6E-B833876F56AE}" name="Table105__Page_25" displayName="Table105__Page_25" ref="A5:E10" tableType="queryTable" totalsRowShown="0">
  <autoFilter ref="A5:E10" xr:uid="{2C29F4DB-ECD4-465C-BD6E-B833876F56AE}"/>
  <tableColumns count="5">
    <tableColumn id="1" xr3:uid="{0FB673C9-2B6A-46E7-9672-F095E1504788}" uniqueName="1" name="Text" queryTableFieldId="1" dataDxfId="10"/>
    <tableColumn id="2" xr3:uid="{1B8D6E01-44E6-432F-89F5-98105991CBF2}" uniqueName="2" name="Letter To Find" queryTableFieldId="2" dataDxfId="9"/>
    <tableColumn id="3" xr3:uid="{0B208188-87F8-440D-B483-49DDC5B24E11}" uniqueName="3" name="Position Of Letter" queryTableFieldId="3"/>
    <tableColumn id="4" xr3:uid="{6C0112FC-796A-4A9A-90EF-6B9509A11B95}" uniqueName="4" name="Column4" queryTableFieldId="4" dataDxfId="8"/>
    <tableColumn id="5" xr3:uid="{E0B70FEB-61FC-465F-B951-2C0325CDEF9A}" uniqueName="5" name="Column5" queryTableFieldId="5" dataDxfId="7">
      <calculatedColumnFormula>FIND(Table105__Page_25[[#This Row],[Letter To Find]],Table105__Page_25[[#This Row],[Text]],Table105__Page_25[[#This Row],[Position Of Letter]])</calculatedColumnFormula>
    </tableColumn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E1B9188-5F76-4BE7-9AEA-65BD0393CBFD}" name="Table107__Page_26" displayName="Table107__Page_26" ref="A19:D23" tableType="queryTable" totalsRowShown="0">
  <autoFilter ref="A19:D23" xr:uid="{0E1B9188-5F76-4BE7-9AEA-65BD0393CBFD}"/>
  <tableColumns count="4">
    <tableColumn id="1" xr3:uid="{240405A7-7F05-4458-8927-4DF35AC6670E}" uniqueName="1" name="Sales" queryTableFieldId="1" dataDxfId="6"/>
    <tableColumn id="2" xr3:uid="{129FFEF5-91F3-49DE-A826-F7E0D1684522}" uniqueName="2" name="Jan" queryTableFieldId="2" dataDxfId="5"/>
    <tableColumn id="3" xr3:uid="{54996B11-A7A0-4CED-B960-D925C57CC748}" uniqueName="3" name="Feb" queryTableFieldId="3" dataDxfId="4"/>
    <tableColumn id="4" xr3:uid="{DA0635AF-D620-41CE-A6AC-4AD61AB95569}" uniqueName="4" name="Mar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59A9-06C2-4650-9373-A8BB2A8A7335}">
  <dimension ref="A1:N128"/>
  <sheetViews>
    <sheetView tabSelected="1" workbookViewId="0">
      <selection activeCell="J16" sqref="J16"/>
    </sheetView>
  </sheetViews>
  <sheetFormatPr defaultRowHeight="14.4" x14ac:dyDescent="0.3"/>
  <cols>
    <col min="11" max="11" width="10.21875" customWidth="1"/>
    <col min="12" max="12" width="26.21875" customWidth="1"/>
    <col min="14" max="14" width="17.77734375" customWidth="1"/>
  </cols>
  <sheetData>
    <row r="1" spans="1:12" ht="37.200000000000003" thickBot="1" x14ac:dyDescent="0.35">
      <c r="A1" s="110" t="s">
        <v>957</v>
      </c>
    </row>
    <row r="2" spans="1:12" ht="14.4" customHeight="1" x14ac:dyDescent="0.3">
      <c r="A2" s="1"/>
    </row>
    <row r="3" spans="1:12" ht="26.4" customHeight="1" x14ac:dyDescent="0.3">
      <c r="A3" s="1" t="s">
        <v>956</v>
      </c>
    </row>
    <row r="4" spans="1:12" ht="15" thickBot="1" x14ac:dyDescent="0.35"/>
    <row r="5" spans="1:12" ht="25.8" x14ac:dyDescent="0.5">
      <c r="A5" s="15" t="s">
        <v>79</v>
      </c>
      <c r="L5" s="118" t="s">
        <v>324</v>
      </c>
    </row>
    <row r="6" spans="1:12" ht="18" x14ac:dyDescent="0.3">
      <c r="A6" s="17" t="s">
        <v>0</v>
      </c>
      <c r="L6" s="123"/>
    </row>
    <row r="7" spans="1:12" ht="15" thickBot="1" x14ac:dyDescent="0.35">
      <c r="A7" s="47" t="s">
        <v>1</v>
      </c>
      <c r="L7" s="119"/>
    </row>
    <row r="8" spans="1:12" ht="15" thickBot="1" x14ac:dyDescent="0.35"/>
    <row r="9" spans="1:12" ht="25.8" x14ac:dyDescent="0.5">
      <c r="A9" s="15" t="s">
        <v>80</v>
      </c>
      <c r="L9" s="118" t="s">
        <v>313</v>
      </c>
    </row>
    <row r="10" spans="1:12" ht="18.600000000000001" thickBot="1" x14ac:dyDescent="0.4">
      <c r="A10" s="48" t="s">
        <v>31</v>
      </c>
      <c r="L10" s="119"/>
    </row>
    <row r="11" spans="1:12" ht="15" thickBot="1" x14ac:dyDescent="0.35"/>
    <row r="12" spans="1:12" ht="25.8" x14ac:dyDescent="0.5">
      <c r="A12" s="15" t="s">
        <v>78</v>
      </c>
      <c r="L12" s="118" t="s">
        <v>314</v>
      </c>
    </row>
    <row r="13" spans="1:12" ht="21.6" thickBot="1" x14ac:dyDescent="0.45">
      <c r="A13" s="49" t="s">
        <v>53</v>
      </c>
      <c r="L13" s="119"/>
    </row>
    <row r="14" spans="1:12" ht="15" thickBot="1" x14ac:dyDescent="0.35"/>
    <row r="15" spans="1:12" ht="25.8" x14ac:dyDescent="0.5">
      <c r="A15" s="15" t="s">
        <v>91</v>
      </c>
      <c r="L15" s="118" t="s">
        <v>315</v>
      </c>
    </row>
    <row r="16" spans="1:12" ht="26.4" thickBot="1" x14ac:dyDescent="0.55000000000000004">
      <c r="A16" s="15" t="s">
        <v>53</v>
      </c>
      <c r="L16" s="119"/>
    </row>
    <row r="17" spans="1:14" ht="15" thickBot="1" x14ac:dyDescent="0.35"/>
    <row r="18" spans="1:14" ht="23.4" x14ac:dyDescent="0.45">
      <c r="A18" s="20" t="s">
        <v>125</v>
      </c>
      <c r="L18" s="118" t="s">
        <v>316</v>
      </c>
      <c r="N18" s="120" t="s">
        <v>322</v>
      </c>
    </row>
    <row r="19" spans="1:14" ht="23.4" x14ac:dyDescent="0.45">
      <c r="A19" s="20" t="s">
        <v>116</v>
      </c>
      <c r="L19" s="123"/>
      <c r="M19" s="111" t="s">
        <v>323</v>
      </c>
      <c r="N19" s="121"/>
    </row>
    <row r="20" spans="1:14" ht="24" thickBot="1" x14ac:dyDescent="0.5">
      <c r="A20" s="20" t="s">
        <v>117</v>
      </c>
      <c r="L20" s="119"/>
      <c r="N20" s="122"/>
    </row>
    <row r="21" spans="1:14" ht="15" thickBot="1" x14ac:dyDescent="0.35"/>
    <row r="22" spans="1:14" ht="23.4" x14ac:dyDescent="0.45">
      <c r="A22" s="20" t="s">
        <v>958</v>
      </c>
      <c r="L22" s="118" t="s">
        <v>317</v>
      </c>
    </row>
    <row r="23" spans="1:14" ht="24" thickBot="1" x14ac:dyDescent="0.5">
      <c r="A23" s="20" t="s">
        <v>147</v>
      </c>
      <c r="L23" s="119"/>
    </row>
    <row r="24" spans="1:14" ht="15" thickBot="1" x14ac:dyDescent="0.35"/>
    <row r="25" spans="1:14" ht="23.4" x14ac:dyDescent="0.45">
      <c r="A25" s="20" t="s">
        <v>959</v>
      </c>
      <c r="L25" s="118" t="s">
        <v>318</v>
      </c>
    </row>
    <row r="26" spans="1:14" ht="24" thickBot="1" x14ac:dyDescent="0.5">
      <c r="A26" s="20" t="s">
        <v>168</v>
      </c>
      <c r="D26" s="124" t="s">
        <v>124</v>
      </c>
      <c r="E26" s="125"/>
      <c r="F26" s="125"/>
      <c r="L26" s="119"/>
    </row>
    <row r="27" spans="1:14" ht="15" thickBot="1" x14ac:dyDescent="0.35"/>
    <row r="28" spans="1:14" ht="23.4" x14ac:dyDescent="0.45">
      <c r="A28" s="20" t="s">
        <v>960</v>
      </c>
      <c r="L28" s="118" t="s">
        <v>319</v>
      </c>
    </row>
    <row r="29" spans="1:14" ht="23.4" x14ac:dyDescent="0.45">
      <c r="A29" s="20" t="s">
        <v>208</v>
      </c>
      <c r="L29" s="123"/>
    </row>
    <row r="30" spans="1:14" ht="24" thickBot="1" x14ac:dyDescent="0.5">
      <c r="A30" s="20" t="s">
        <v>209</v>
      </c>
      <c r="L30" s="119"/>
    </row>
    <row r="31" spans="1:14" ht="15" thickBot="1" x14ac:dyDescent="0.35"/>
    <row r="32" spans="1:14" ht="31.2" x14ac:dyDescent="0.3">
      <c r="A32" s="41" t="s">
        <v>961</v>
      </c>
      <c r="L32" s="118" t="s">
        <v>320</v>
      </c>
    </row>
    <row r="33" spans="1:12" ht="18.600000000000001" thickBot="1" x14ac:dyDescent="0.4">
      <c r="A33" s="48" t="s">
        <v>304</v>
      </c>
      <c r="L33" s="119"/>
    </row>
    <row r="34" spans="1:12" ht="18.600000000000001" thickBot="1" x14ac:dyDescent="0.4">
      <c r="A34" s="48"/>
      <c r="L34" s="19"/>
    </row>
    <row r="35" spans="1:12" ht="27.6" x14ac:dyDescent="0.45">
      <c r="A35" s="43" t="s">
        <v>962</v>
      </c>
      <c r="L35" s="118" t="s">
        <v>321</v>
      </c>
    </row>
    <row r="36" spans="1:12" ht="18.600000000000001" thickBot="1" x14ac:dyDescent="0.4">
      <c r="A36" s="48" t="s">
        <v>305</v>
      </c>
      <c r="L36" s="119"/>
    </row>
    <row r="37" spans="1:12" ht="15" thickBot="1" x14ac:dyDescent="0.35"/>
    <row r="38" spans="1:12" ht="27.6" x14ac:dyDescent="0.45">
      <c r="A38" s="43" t="s">
        <v>893</v>
      </c>
      <c r="L38" s="114" t="s">
        <v>932</v>
      </c>
    </row>
    <row r="39" spans="1:12" x14ac:dyDescent="0.3">
      <c r="A39" s="59" t="s">
        <v>346</v>
      </c>
      <c r="L39" s="115"/>
    </row>
    <row r="40" spans="1:12" ht="15" thickBot="1" x14ac:dyDescent="0.35">
      <c r="L40" s="116"/>
    </row>
    <row r="41" spans="1:12" ht="15" thickBot="1" x14ac:dyDescent="0.35"/>
    <row r="42" spans="1:12" ht="28.8" x14ac:dyDescent="0.55000000000000004">
      <c r="A42" s="62" t="s">
        <v>963</v>
      </c>
      <c r="L42" s="114" t="s">
        <v>933</v>
      </c>
    </row>
    <row r="43" spans="1:12" x14ac:dyDescent="0.3">
      <c r="A43" s="59" t="s">
        <v>375</v>
      </c>
      <c r="L43" s="115"/>
    </row>
    <row r="44" spans="1:12" ht="15" thickBot="1" x14ac:dyDescent="0.35">
      <c r="L44" s="116"/>
    </row>
    <row r="45" spans="1:12" ht="15" thickBot="1" x14ac:dyDescent="0.35"/>
    <row r="46" spans="1:12" ht="25.8" x14ac:dyDescent="0.5">
      <c r="A46" s="15" t="s">
        <v>964</v>
      </c>
      <c r="L46" s="114" t="s">
        <v>934</v>
      </c>
    </row>
    <row r="47" spans="1:12" x14ac:dyDescent="0.3">
      <c r="A47" s="59" t="s">
        <v>429</v>
      </c>
      <c r="L47" s="115"/>
    </row>
    <row r="48" spans="1:12" ht="15" thickBot="1" x14ac:dyDescent="0.35">
      <c r="L48" s="116"/>
    </row>
    <row r="49" spans="1:12" ht="15" thickBot="1" x14ac:dyDescent="0.35"/>
    <row r="50" spans="1:12" ht="28.8" x14ac:dyDescent="0.55000000000000004">
      <c r="A50" s="62" t="s">
        <v>965</v>
      </c>
      <c r="L50" s="114" t="s">
        <v>935</v>
      </c>
    </row>
    <row r="51" spans="1:12" x14ac:dyDescent="0.3">
      <c r="A51" s="59"/>
      <c r="L51" s="115"/>
    </row>
    <row r="52" spans="1:12" ht="15" thickBot="1" x14ac:dyDescent="0.35">
      <c r="A52" s="59" t="s">
        <v>452</v>
      </c>
      <c r="L52" s="116"/>
    </row>
    <row r="53" spans="1:12" ht="15" thickBot="1" x14ac:dyDescent="0.35"/>
    <row r="54" spans="1:12" ht="28.8" x14ac:dyDescent="0.55000000000000004">
      <c r="A54" s="62" t="s">
        <v>966</v>
      </c>
      <c r="L54" s="114" t="s">
        <v>936</v>
      </c>
    </row>
    <row r="55" spans="1:12" ht="28.8" x14ac:dyDescent="0.55000000000000004">
      <c r="A55" s="62" t="s">
        <v>475</v>
      </c>
      <c r="L55" s="115"/>
    </row>
    <row r="56" spans="1:12" ht="15" thickBot="1" x14ac:dyDescent="0.35">
      <c r="L56" s="116"/>
    </row>
    <row r="57" spans="1:12" ht="15" thickBot="1" x14ac:dyDescent="0.35"/>
    <row r="58" spans="1:12" ht="25.8" x14ac:dyDescent="0.5">
      <c r="A58" s="15" t="s">
        <v>967</v>
      </c>
      <c r="L58" s="114" t="s">
        <v>937</v>
      </c>
    </row>
    <row r="59" spans="1:12" x14ac:dyDescent="0.3">
      <c r="L59" s="115"/>
    </row>
    <row r="60" spans="1:12" ht="15" thickBot="1" x14ac:dyDescent="0.35">
      <c r="A60" s="59" t="s">
        <v>505</v>
      </c>
      <c r="L60" s="116"/>
    </row>
    <row r="61" spans="1:12" ht="15" thickBot="1" x14ac:dyDescent="0.35"/>
    <row r="62" spans="1:12" ht="25.8" x14ac:dyDescent="0.5">
      <c r="A62" s="15" t="s">
        <v>968</v>
      </c>
      <c r="L62" s="114" t="s">
        <v>938</v>
      </c>
    </row>
    <row r="63" spans="1:12" x14ac:dyDescent="0.3">
      <c r="L63" s="115"/>
    </row>
    <row r="64" spans="1:12" ht="15" thickBot="1" x14ac:dyDescent="0.35">
      <c r="A64" s="59" t="s">
        <v>537</v>
      </c>
      <c r="L64" s="116"/>
    </row>
    <row r="65" spans="1:12" ht="15" thickBot="1" x14ac:dyDescent="0.35"/>
    <row r="66" spans="1:12" ht="28.8" x14ac:dyDescent="0.55000000000000004">
      <c r="A66" s="62" t="s">
        <v>969</v>
      </c>
      <c r="L66" s="114" t="s">
        <v>939</v>
      </c>
    </row>
    <row r="67" spans="1:12" x14ac:dyDescent="0.3">
      <c r="L67" s="115"/>
    </row>
    <row r="68" spans="1:12" ht="15" thickBot="1" x14ac:dyDescent="0.35">
      <c r="A68" s="112" t="s">
        <v>562</v>
      </c>
      <c r="L68" s="116"/>
    </row>
    <row r="69" spans="1:12" ht="15" thickBot="1" x14ac:dyDescent="0.35"/>
    <row r="70" spans="1:12" ht="31.2" x14ac:dyDescent="0.6">
      <c r="A70" s="77" t="s">
        <v>970</v>
      </c>
      <c r="L70" s="114" t="s">
        <v>940</v>
      </c>
    </row>
    <row r="71" spans="1:12" ht="23.4" x14ac:dyDescent="0.45">
      <c r="A71" s="20" t="s">
        <v>572</v>
      </c>
      <c r="L71" s="115"/>
    </row>
    <row r="72" spans="1:12" ht="15" thickBot="1" x14ac:dyDescent="0.35">
      <c r="L72" s="116"/>
    </row>
    <row r="73" spans="1:12" ht="15" thickBot="1" x14ac:dyDescent="0.35"/>
    <row r="74" spans="1:12" ht="28.8" x14ac:dyDescent="0.55000000000000004">
      <c r="A74" s="62" t="s">
        <v>971</v>
      </c>
      <c r="L74" s="114" t="s">
        <v>941</v>
      </c>
    </row>
    <row r="75" spans="1:12" x14ac:dyDescent="0.3">
      <c r="A75" t="s">
        <v>583</v>
      </c>
      <c r="L75" s="115"/>
    </row>
    <row r="76" spans="1:12" ht="15" thickBot="1" x14ac:dyDescent="0.35">
      <c r="L76" s="116"/>
    </row>
    <row r="77" spans="1:12" ht="15" thickBot="1" x14ac:dyDescent="0.35"/>
    <row r="78" spans="1:12" ht="28.8" x14ac:dyDescent="0.55000000000000004">
      <c r="A78" s="62" t="s">
        <v>972</v>
      </c>
      <c r="L78" s="117" t="s">
        <v>942</v>
      </c>
    </row>
    <row r="79" spans="1:12" x14ac:dyDescent="0.3">
      <c r="A79" t="s">
        <v>628</v>
      </c>
      <c r="L79" s="115"/>
    </row>
    <row r="80" spans="1:12" ht="15" thickBot="1" x14ac:dyDescent="0.35">
      <c r="L80" s="116"/>
    </row>
    <row r="81" spans="1:12" ht="15" thickBot="1" x14ac:dyDescent="0.35"/>
    <row r="82" spans="1:12" ht="28.8" x14ac:dyDescent="0.55000000000000004">
      <c r="A82" s="62" t="s">
        <v>973</v>
      </c>
      <c r="L82" s="114" t="s">
        <v>943</v>
      </c>
    </row>
    <row r="83" spans="1:12" x14ac:dyDescent="0.3">
      <c r="A83" t="s">
        <v>630</v>
      </c>
      <c r="L83" s="115"/>
    </row>
    <row r="84" spans="1:12" ht="15" thickBot="1" x14ac:dyDescent="0.35">
      <c r="L84" s="116"/>
    </row>
    <row r="85" spans="1:12" ht="15" thickBot="1" x14ac:dyDescent="0.35">
      <c r="L85" s="94"/>
    </row>
    <row r="86" spans="1:12" ht="28.8" x14ac:dyDescent="0.55000000000000004">
      <c r="A86" s="62" t="s">
        <v>974</v>
      </c>
      <c r="L86" s="114" t="s">
        <v>944</v>
      </c>
    </row>
    <row r="87" spans="1:12" x14ac:dyDescent="0.3">
      <c r="A87" s="59" t="s">
        <v>650</v>
      </c>
      <c r="L87" s="115"/>
    </row>
    <row r="88" spans="1:12" ht="15" thickBot="1" x14ac:dyDescent="0.35">
      <c r="L88" s="116"/>
    </row>
    <row r="89" spans="1:12" ht="15" thickBot="1" x14ac:dyDescent="0.35">
      <c r="L89" s="94"/>
    </row>
    <row r="90" spans="1:12" ht="31.2" x14ac:dyDescent="0.6">
      <c r="A90" s="77" t="s">
        <v>975</v>
      </c>
      <c r="L90" s="114" t="s">
        <v>945</v>
      </c>
    </row>
    <row r="91" spans="1:12" x14ac:dyDescent="0.3">
      <c r="A91" t="s">
        <v>683</v>
      </c>
      <c r="L91" s="115"/>
    </row>
    <row r="92" spans="1:12" ht="15" thickBot="1" x14ac:dyDescent="0.35">
      <c r="L92" s="116"/>
    </row>
    <row r="93" spans="1:12" ht="15" thickBot="1" x14ac:dyDescent="0.35">
      <c r="L93" s="94"/>
    </row>
    <row r="94" spans="1:12" ht="31.2" x14ac:dyDescent="0.6">
      <c r="A94" s="77" t="s">
        <v>976</v>
      </c>
      <c r="L94" s="114" t="s">
        <v>946</v>
      </c>
    </row>
    <row r="95" spans="1:12" ht="25.8" x14ac:dyDescent="0.5">
      <c r="A95" s="107" t="s">
        <v>707</v>
      </c>
      <c r="L95" s="115"/>
    </row>
    <row r="96" spans="1:12" ht="15" thickBot="1" x14ac:dyDescent="0.35">
      <c r="L96" s="116"/>
    </row>
    <row r="97" spans="1:12" ht="15" thickBot="1" x14ac:dyDescent="0.35">
      <c r="L97" s="94"/>
    </row>
    <row r="98" spans="1:12" ht="28.8" x14ac:dyDescent="0.55000000000000004">
      <c r="A98" s="62" t="s">
        <v>977</v>
      </c>
      <c r="L98" s="114" t="s">
        <v>947</v>
      </c>
    </row>
    <row r="99" spans="1:12" ht="23.4" x14ac:dyDescent="0.45">
      <c r="A99" s="108" t="s">
        <v>724</v>
      </c>
      <c r="L99" s="115"/>
    </row>
    <row r="100" spans="1:12" ht="15" thickBot="1" x14ac:dyDescent="0.35">
      <c r="L100" s="116"/>
    </row>
    <row r="101" spans="1:12" ht="15" thickBot="1" x14ac:dyDescent="0.35"/>
    <row r="102" spans="1:12" ht="31.2" x14ac:dyDescent="0.6">
      <c r="A102" s="77" t="s">
        <v>978</v>
      </c>
      <c r="L102" s="114" t="s">
        <v>948</v>
      </c>
    </row>
    <row r="103" spans="1:12" x14ac:dyDescent="0.3">
      <c r="L103" s="115"/>
    </row>
    <row r="104" spans="1:12" ht="16.2" thickBot="1" x14ac:dyDescent="0.35">
      <c r="A104" s="113" t="s">
        <v>781</v>
      </c>
      <c r="L104" s="116"/>
    </row>
    <row r="105" spans="1:12" ht="15" thickBot="1" x14ac:dyDescent="0.35"/>
    <row r="106" spans="1:12" ht="28.8" x14ac:dyDescent="0.55000000000000004">
      <c r="A106" s="62" t="s">
        <v>979</v>
      </c>
      <c r="L106" s="114" t="s">
        <v>949</v>
      </c>
    </row>
    <row r="107" spans="1:12" x14ac:dyDescent="0.3">
      <c r="L107" s="115"/>
    </row>
    <row r="108" spans="1:12" ht="24" thickBot="1" x14ac:dyDescent="0.5">
      <c r="A108" s="108" t="s">
        <v>800</v>
      </c>
      <c r="L108" s="116"/>
    </row>
    <row r="109" spans="1:12" ht="15" thickBot="1" x14ac:dyDescent="0.35"/>
    <row r="110" spans="1:12" ht="28.8" x14ac:dyDescent="0.55000000000000004">
      <c r="A110" s="62" t="s">
        <v>980</v>
      </c>
      <c r="L110" s="114" t="s">
        <v>950</v>
      </c>
    </row>
    <row r="111" spans="1:12" ht="31.2" x14ac:dyDescent="0.6">
      <c r="A111" s="109" t="s">
        <v>798</v>
      </c>
      <c r="L111" s="115"/>
    </row>
    <row r="112" spans="1:12" ht="15" thickBot="1" x14ac:dyDescent="0.35">
      <c r="L112" s="116"/>
    </row>
    <row r="113" spans="1:12" ht="15" thickBot="1" x14ac:dyDescent="0.35"/>
    <row r="114" spans="1:12" ht="28.8" x14ac:dyDescent="0.55000000000000004">
      <c r="A114" s="62" t="s">
        <v>981</v>
      </c>
      <c r="L114" s="114" t="s">
        <v>951</v>
      </c>
    </row>
    <row r="115" spans="1:12" ht="25.8" x14ac:dyDescent="0.5">
      <c r="A115" s="107" t="s">
        <v>826</v>
      </c>
      <c r="L115" s="115"/>
    </row>
    <row r="116" spans="1:12" ht="15" thickBot="1" x14ac:dyDescent="0.35">
      <c r="L116" s="116"/>
    </row>
    <row r="117" spans="1:12" ht="15" thickBot="1" x14ac:dyDescent="0.35"/>
    <row r="118" spans="1:12" ht="28.8" x14ac:dyDescent="0.55000000000000004">
      <c r="A118" s="62" t="s">
        <v>982</v>
      </c>
      <c r="L118" s="114" t="s">
        <v>952</v>
      </c>
    </row>
    <row r="119" spans="1:12" ht="23.4" x14ac:dyDescent="0.45">
      <c r="A119" s="108" t="s">
        <v>828</v>
      </c>
      <c r="L119" s="115"/>
    </row>
    <row r="120" spans="1:12" ht="15" thickBot="1" x14ac:dyDescent="0.35">
      <c r="L120" s="116"/>
    </row>
    <row r="121" spans="1:12" ht="15" thickBot="1" x14ac:dyDescent="0.35"/>
    <row r="122" spans="1:12" ht="28.8" x14ac:dyDescent="0.55000000000000004">
      <c r="A122" s="62" t="s">
        <v>983</v>
      </c>
      <c r="L122" s="114" t="s">
        <v>953</v>
      </c>
    </row>
    <row r="123" spans="1:12" ht="23.4" x14ac:dyDescent="0.45">
      <c r="A123" s="20" t="s">
        <v>208</v>
      </c>
      <c r="L123" s="115"/>
    </row>
    <row r="124" spans="1:12" ht="15" thickBot="1" x14ac:dyDescent="0.35">
      <c r="L124" s="116"/>
    </row>
    <row r="125" spans="1:12" ht="15" thickBot="1" x14ac:dyDescent="0.35"/>
    <row r="126" spans="1:12" ht="28.8" x14ac:dyDescent="0.55000000000000004">
      <c r="A126" s="62" t="s">
        <v>984</v>
      </c>
      <c r="L126" s="114" t="s">
        <v>954</v>
      </c>
    </row>
    <row r="127" spans="1:12" x14ac:dyDescent="0.3">
      <c r="A127" t="s">
        <v>892</v>
      </c>
      <c r="L127" s="115"/>
    </row>
    <row r="128" spans="1:12" ht="15" thickBot="1" x14ac:dyDescent="0.35">
      <c r="L128" s="116"/>
    </row>
  </sheetData>
  <mergeCells count="35">
    <mergeCell ref="D26:F26"/>
    <mergeCell ref="L5:L7"/>
    <mergeCell ref="L9:L10"/>
    <mergeCell ref="L12:L13"/>
    <mergeCell ref="L15:L16"/>
    <mergeCell ref="L18:L20"/>
    <mergeCell ref="L35:L36"/>
    <mergeCell ref="N18:N20"/>
    <mergeCell ref="L22:L23"/>
    <mergeCell ref="L25:L26"/>
    <mergeCell ref="L28:L30"/>
    <mergeCell ref="L32:L33"/>
    <mergeCell ref="L38:L40"/>
    <mergeCell ref="L42:L44"/>
    <mergeCell ref="L46:L48"/>
    <mergeCell ref="L50:L52"/>
    <mergeCell ref="L54:L56"/>
    <mergeCell ref="L58:L60"/>
    <mergeCell ref="L62:L64"/>
    <mergeCell ref="L66:L68"/>
    <mergeCell ref="L70:L72"/>
    <mergeCell ref="L74:L76"/>
    <mergeCell ref="L98:L100"/>
    <mergeCell ref="L78:L80"/>
    <mergeCell ref="L82:L84"/>
    <mergeCell ref="L86:L88"/>
    <mergeCell ref="L90:L92"/>
    <mergeCell ref="L94:L96"/>
    <mergeCell ref="L122:L124"/>
    <mergeCell ref="L126:L128"/>
    <mergeCell ref="L102:L104"/>
    <mergeCell ref="L106:L108"/>
    <mergeCell ref="L110:L112"/>
    <mergeCell ref="L114:L116"/>
    <mergeCell ref="L118:L120"/>
  </mergeCells>
  <hyperlinks>
    <hyperlink ref="L5:L7" location="'ASGMNT-1'!A1" display="ASGMNT-1" xr:uid="{87A99211-D189-4375-967C-C7D438D4BCDD}"/>
    <hyperlink ref="L9:L10" location="'ASGMNT-2'!A1" display="ASGMNT-2" xr:uid="{CD6A1635-C634-4AD4-AAF6-828DC147E82A}"/>
    <hyperlink ref="L12:L13" location="'ASGMNT-3'!A1" display="ASGMNT-3" xr:uid="{303B1A61-4C3D-411B-B9BD-3755E95C28F5}"/>
    <hyperlink ref="L15:L16" location="'ASGMNT-4'!A1" display="ASGMNT-4" xr:uid="{144D6169-E088-458D-8BBE-C9903171D59B}"/>
    <hyperlink ref="L18:L20" location="'ASGMNT-6'!A1" display="ASGMNT-6" xr:uid="{A9F96EB8-F554-421C-981E-E362B065E1FC}"/>
    <hyperlink ref="N18:N20" location="'ASGMNT-6 HLOOKUP'!A1" display="ASGMNT-6 HLOOKUP" xr:uid="{0EA234D8-DFCA-4ED4-801F-FA8E63F15BA4}"/>
    <hyperlink ref="L22:L23" location="'ASGMNT-7'!A1" display="ASGMNT-7" xr:uid="{E08E3CED-7018-442F-93F9-9BEFC9D57B24}"/>
    <hyperlink ref="L25:L26" location="'ASGMNT-8'!A1" display="ASGMNT-8" xr:uid="{32F507F8-30A2-48BC-9A53-10F31DE0357E}"/>
    <hyperlink ref="L28:L30" location="'ASGMNT-10'!A1" display="ASGMNT-10" xr:uid="{82F571DA-1AC3-446C-A8DC-A34334AC14F0}"/>
    <hyperlink ref="L32:L33" location="'ASGMNT-11'!A1" display="ASGMNT-11" xr:uid="{257526C0-5CCC-441C-B943-B3E80B8D6C25}"/>
    <hyperlink ref="L35:L36" location="'ASGMNT-12'!A1" display="ASGMNT-12" xr:uid="{653FB7A5-C5F3-48D6-954A-6C1C19797BF0}"/>
    <hyperlink ref="L38:L40" location="'ASGMNT-13'!A1" display="ASGMNT-13" xr:uid="{BCFAC645-715A-42C5-AB1F-D740FED28C00}"/>
    <hyperlink ref="L42:L44" location="'ASGMNT-14'!A1" display="ASGMNT-14" xr:uid="{83040ECA-1C34-4ABD-A0E0-EE7773DB5357}"/>
    <hyperlink ref="L46:L48" location="'ASGMNT-15'!A1" display="ASGMNT-15" xr:uid="{B4CDC79B-995F-4E36-894E-5E04ABA8E96B}"/>
    <hyperlink ref="L50:L52" location="'ASGMNT-16'!A1" display="ASGMNT-16" xr:uid="{7B076E9E-EDF1-42CF-9298-1FACEBD34E95}"/>
    <hyperlink ref="L54:L56" location="'ASGMNT-17'!A1" display="ASGMNT-17" xr:uid="{4F9E5219-A684-4967-887C-FC7ADE9D9560}"/>
    <hyperlink ref="L58:L60" location="'ASGMNT-18'!A1" display="ASGMNT-18" xr:uid="{CFA25FF0-FAC8-4DFD-B691-F9F909418E7E}"/>
    <hyperlink ref="L62:L64" location="'ASGMNT-19'!A1" display="ASGMNT-19" xr:uid="{A596E95F-B274-4DAD-9D5F-2410398D7D01}"/>
    <hyperlink ref="L66:L68" location="'ASGMNT-20'!A1" display="ASGMNT-20" xr:uid="{6E4BFBA9-F571-432E-AC51-8D11EB1A2407}"/>
    <hyperlink ref="L70:L72" location="'ASGMNT-21'!A1" display="ASGMNT-21" xr:uid="{FE051F3A-D82C-4773-844D-22D8D2DD4EC0}"/>
    <hyperlink ref="L74:L76" location="'ASGMNT-23'!A1" display="ASGMNT-23" xr:uid="{6CFC8F8E-B536-44ED-BBA8-552D80B79DEC}"/>
    <hyperlink ref="L78:L80" location="'ASGMNT-24'!A1" display="'ASGMNT-24'!A1" xr:uid="{B87F581E-8C02-4CDB-839F-75697BA95B91}"/>
    <hyperlink ref="L82:L84" location="'ASGMNT-25'!A1" display="ASGMNT-25" xr:uid="{1CD9C9D7-E4AB-41DB-A02F-3E7AA7E9C65B}"/>
    <hyperlink ref="L86:L88" location="'ASGMNT-26'!A1" display="ASGMNT-26" xr:uid="{32E244A2-F0DF-47F5-9CCB-B505160FFB93}"/>
    <hyperlink ref="L90:L92" location="'ASGMNT-27'!A1" display="ASGMNT-27" xr:uid="{9D62AB9A-F5D3-4040-85E2-2DCC142F3D21}"/>
    <hyperlink ref="L94:L96" location="'ASGMNT-28'!A1" display="ASGMNT-28" xr:uid="{E969C13C-8F80-478B-A13D-11B7D91E5941}"/>
    <hyperlink ref="L98:L100" location="'ASGMNT-29'!A1" display="ASGMNT-29" xr:uid="{358F3AB0-3954-40C2-915F-8D1CE0FF6E18}"/>
    <hyperlink ref="L102:L104" location="'ASGMNT-30'!A1" display="ASGMNT-30" xr:uid="{EB080469-BE1B-4EE5-BC09-F7002EBAF5B1}"/>
    <hyperlink ref="L106:L108" location="'ASGMNT-31A'!A1" display="ASGMNT-31A" xr:uid="{39BDCECB-0BB3-405D-99A2-39FF79FE6E2C}"/>
    <hyperlink ref="L110:L112" location="'ASGMNT-31B'!A1" display="ASGMNT-31B" xr:uid="{835B886A-AECF-4DA9-ABE8-21B1187E56C1}"/>
    <hyperlink ref="L114:L116" location="'ASGMNT-32'!A1" display="ASGMNT-32" xr:uid="{C2A16DDE-B4DB-4020-A54C-8C3B66104926}"/>
    <hyperlink ref="L118:L120" location="'ASGMNT-33'!A1" display="ASGMNT-33" xr:uid="{AA32E5D0-913E-4A37-831A-53F238027A15}"/>
    <hyperlink ref="L122:L124" location="'ASGMNT-34'!A1" display="ASGMNT-34" xr:uid="{D4F3ADE9-31F3-4E48-A6EF-340D676A1A69}"/>
    <hyperlink ref="L126:L128" location="'ASGMNT-36'!A1" display="ASGMNT-36" xr:uid="{B0B62BC0-EB85-49CE-B0D9-245AD027C4F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AC93-37DD-4DD5-AFA4-3AF053CB9B3A}">
  <dimension ref="A2:N23"/>
  <sheetViews>
    <sheetView workbookViewId="0">
      <selection activeCell="L2" sqref="L2:L3"/>
    </sheetView>
  </sheetViews>
  <sheetFormatPr defaultRowHeight="14.4" x14ac:dyDescent="0.3"/>
  <cols>
    <col min="1" max="1" width="6.6640625" bestFit="1" customWidth="1"/>
    <col min="2" max="2" width="12.5546875" bestFit="1" customWidth="1"/>
    <col min="3" max="3" width="5.109375" bestFit="1" customWidth="1"/>
    <col min="4" max="4" width="6.5546875" bestFit="1" customWidth="1"/>
    <col min="5" max="5" width="5.33203125" bestFit="1" customWidth="1"/>
    <col min="6" max="6" width="6.77734375" bestFit="1" customWidth="1"/>
    <col min="7" max="7" width="9.109375" bestFit="1" customWidth="1"/>
    <col min="8" max="8" width="5.21875" bestFit="1" customWidth="1"/>
    <col min="9" max="9" width="7.5546875" bestFit="1" customWidth="1"/>
    <col min="10" max="10" width="5.88671875" bestFit="1" customWidth="1"/>
    <col min="12" max="12" width="22.33203125" customWidth="1"/>
    <col min="13" max="13" width="15.109375" customWidth="1"/>
    <col min="14" max="14" width="10.88671875" customWidth="1"/>
  </cols>
  <sheetData>
    <row r="2" spans="1:14" ht="25.8" x14ac:dyDescent="0.5">
      <c r="A2" s="15" t="s">
        <v>79</v>
      </c>
      <c r="L2" s="126" t="s">
        <v>955</v>
      </c>
    </row>
    <row r="3" spans="1:14" ht="18" x14ac:dyDescent="0.3">
      <c r="A3" s="17" t="s">
        <v>0</v>
      </c>
      <c r="L3" s="126"/>
    </row>
    <row r="4" spans="1:14" x14ac:dyDescent="0.3">
      <c r="A4" s="47" t="s">
        <v>1</v>
      </c>
    </row>
    <row r="5" spans="1:14" x14ac:dyDescent="0.3">
      <c r="A5" s="47"/>
    </row>
    <row r="6" spans="1:14" x14ac:dyDescent="0.3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</row>
    <row r="7" spans="1:14" ht="43.2" x14ac:dyDescent="0.3">
      <c r="A7" s="3">
        <v>1</v>
      </c>
      <c r="B7" s="3" t="s">
        <v>18</v>
      </c>
      <c r="C7" s="3">
        <v>20</v>
      </c>
      <c r="D7" s="3">
        <v>10</v>
      </c>
      <c r="E7" s="3">
        <v>14</v>
      </c>
      <c r="F7" s="3">
        <v>18</v>
      </c>
      <c r="G7" s="3">
        <v>15</v>
      </c>
      <c r="H7" s="3">
        <f>SUM(C7:G7)</f>
        <v>77</v>
      </c>
      <c r="I7" s="3">
        <f>AVERAGE(C7:G7)</f>
        <v>15.4</v>
      </c>
      <c r="J7" s="3" t="str">
        <f>IF(I7&gt;15, "A", "B")</f>
        <v>A</v>
      </c>
      <c r="L7" s="4" t="s">
        <v>4</v>
      </c>
      <c r="M7" s="5" t="s">
        <v>28</v>
      </c>
      <c r="N7" s="6" t="s">
        <v>29</v>
      </c>
    </row>
    <row r="8" spans="1:14" x14ac:dyDescent="0.3">
      <c r="A8" s="3">
        <v>2</v>
      </c>
      <c r="B8" s="3" t="s">
        <v>19</v>
      </c>
      <c r="C8" s="3">
        <v>21</v>
      </c>
      <c r="D8" s="3">
        <v>12</v>
      </c>
      <c r="E8" s="3">
        <v>14</v>
      </c>
      <c r="F8" s="3">
        <v>12</v>
      </c>
      <c r="G8" s="3">
        <v>18</v>
      </c>
      <c r="H8" s="3">
        <f t="shared" ref="H8:H16" si="0">SUM(C8:G8)</f>
        <v>77</v>
      </c>
      <c r="I8" s="3">
        <f t="shared" ref="I8:I16" si="1">AVERAGE(C8:G8)</f>
        <v>15.4</v>
      </c>
      <c r="J8" s="3" t="str">
        <f t="shared" ref="J8:J16" si="2">IF(I8&gt;15, "A", "B")</f>
        <v>A</v>
      </c>
      <c r="L8" s="3"/>
      <c r="M8" s="3">
        <f>COUNTIF(J7:J16, "A")</f>
        <v>6</v>
      </c>
      <c r="N8" s="3">
        <f>COUNTIF(J7:J16, "B")</f>
        <v>4</v>
      </c>
    </row>
    <row r="9" spans="1:14" x14ac:dyDescent="0.3">
      <c r="A9" s="3">
        <v>3</v>
      </c>
      <c r="B9" s="3" t="s">
        <v>20</v>
      </c>
      <c r="C9" s="3">
        <v>33</v>
      </c>
      <c r="D9" s="3">
        <v>15</v>
      </c>
      <c r="E9" s="3">
        <v>7</v>
      </c>
      <c r="F9" s="3">
        <v>14</v>
      </c>
      <c r="G9" s="3">
        <v>17</v>
      </c>
      <c r="H9" s="3">
        <f t="shared" si="0"/>
        <v>86</v>
      </c>
      <c r="I9" s="3">
        <f t="shared" si="1"/>
        <v>17.2</v>
      </c>
      <c r="J9" s="3" t="str">
        <f t="shared" si="2"/>
        <v>A</v>
      </c>
    </row>
    <row r="10" spans="1:14" ht="43.2" x14ac:dyDescent="0.3">
      <c r="A10" s="3">
        <v>4</v>
      </c>
      <c r="B10" s="3" t="s">
        <v>21</v>
      </c>
      <c r="C10" s="3">
        <v>15</v>
      </c>
      <c r="D10" s="3">
        <v>14</v>
      </c>
      <c r="E10" s="3">
        <v>8</v>
      </c>
      <c r="F10" s="3">
        <v>16</v>
      </c>
      <c r="G10" s="3">
        <v>20</v>
      </c>
      <c r="H10" s="3">
        <f t="shared" si="0"/>
        <v>73</v>
      </c>
      <c r="I10" s="3">
        <f t="shared" si="1"/>
        <v>14.6</v>
      </c>
      <c r="J10" s="3" t="str">
        <f t="shared" si="2"/>
        <v>B</v>
      </c>
      <c r="L10" s="4" t="s">
        <v>5</v>
      </c>
      <c r="M10" s="5" t="s">
        <v>30</v>
      </c>
      <c r="N10" s="5" t="s">
        <v>16</v>
      </c>
    </row>
    <row r="11" spans="1:14" x14ac:dyDescent="0.3">
      <c r="A11" s="3">
        <v>5</v>
      </c>
      <c r="B11" s="3" t="s">
        <v>22</v>
      </c>
      <c r="C11" s="3">
        <v>14</v>
      </c>
      <c r="D11" s="3">
        <v>17</v>
      </c>
      <c r="E11" s="3">
        <v>10</v>
      </c>
      <c r="F11" s="3">
        <v>13</v>
      </c>
      <c r="G11" s="3">
        <v>18</v>
      </c>
      <c r="H11" s="3">
        <f t="shared" si="0"/>
        <v>72</v>
      </c>
      <c r="I11" s="3">
        <f t="shared" si="1"/>
        <v>14.4</v>
      </c>
      <c r="J11" s="3" t="str">
        <f t="shared" si="2"/>
        <v>B</v>
      </c>
      <c r="L11" s="3"/>
      <c r="M11" s="3">
        <f>SUMIF(B7:B16, "Ashok",H7:H16) + SUMIF(B7:B16, "Manoj",H7:H16)</f>
        <v>163</v>
      </c>
      <c r="N11" s="3">
        <f>SUMIF(B7:B16, "Ashok", I7:I16) + SUMIF(B7:B16, "Manoj", I7:I16)</f>
        <v>32.6</v>
      </c>
    </row>
    <row r="12" spans="1:14" x14ac:dyDescent="0.3">
      <c r="A12" s="3">
        <v>6</v>
      </c>
      <c r="B12" s="3" t="s">
        <v>23</v>
      </c>
      <c r="C12" s="3">
        <v>16</v>
      </c>
      <c r="D12" s="3">
        <v>8</v>
      </c>
      <c r="E12" s="3">
        <v>20</v>
      </c>
      <c r="F12" s="3">
        <v>17</v>
      </c>
      <c r="G12" s="3">
        <v>15</v>
      </c>
      <c r="H12" s="3">
        <f t="shared" si="0"/>
        <v>76</v>
      </c>
      <c r="I12" s="3">
        <f t="shared" si="1"/>
        <v>15.2</v>
      </c>
      <c r="J12" s="3" t="str">
        <f t="shared" si="2"/>
        <v>A</v>
      </c>
    </row>
    <row r="13" spans="1:14" ht="28.8" x14ac:dyDescent="0.3">
      <c r="A13" s="3">
        <v>7</v>
      </c>
      <c r="B13" s="3" t="s">
        <v>24</v>
      </c>
      <c r="C13" s="3">
        <v>18</v>
      </c>
      <c r="D13" s="3">
        <v>19</v>
      </c>
      <c r="E13" s="3">
        <v>3</v>
      </c>
      <c r="F13" s="3">
        <v>10</v>
      </c>
      <c r="G13" s="3">
        <v>14</v>
      </c>
      <c r="H13" s="3">
        <f t="shared" si="0"/>
        <v>64</v>
      </c>
      <c r="I13" s="3">
        <f t="shared" si="1"/>
        <v>12.8</v>
      </c>
      <c r="J13" s="3" t="str">
        <f t="shared" si="2"/>
        <v>B</v>
      </c>
      <c r="L13" s="4" t="s">
        <v>6</v>
      </c>
      <c r="M13" s="5">
        <f>COUNTA(B7:B16)</f>
        <v>10</v>
      </c>
    </row>
    <row r="14" spans="1:14" x14ac:dyDescent="0.3">
      <c r="A14" s="3">
        <v>8</v>
      </c>
      <c r="B14" s="3" t="s">
        <v>25</v>
      </c>
      <c r="C14" s="3">
        <v>19</v>
      </c>
      <c r="D14" s="3">
        <v>20</v>
      </c>
      <c r="E14" s="3">
        <v>7</v>
      </c>
      <c r="F14" s="3">
        <v>14</v>
      </c>
      <c r="G14" s="3">
        <v>18</v>
      </c>
      <c r="H14" s="3">
        <f t="shared" si="0"/>
        <v>78</v>
      </c>
      <c r="I14" s="3">
        <f t="shared" si="1"/>
        <v>15.6</v>
      </c>
      <c r="J14" s="3" t="str">
        <f t="shared" si="2"/>
        <v>A</v>
      </c>
    </row>
    <row r="15" spans="1:14" ht="57.6" x14ac:dyDescent="0.3">
      <c r="A15" s="3">
        <v>9</v>
      </c>
      <c r="B15" s="3" t="s">
        <v>26</v>
      </c>
      <c r="C15" s="3">
        <v>22</v>
      </c>
      <c r="D15" s="3">
        <v>13</v>
      </c>
      <c r="E15" s="3">
        <v>8</v>
      </c>
      <c r="F15" s="3">
        <v>12</v>
      </c>
      <c r="G15" s="3">
        <v>19</v>
      </c>
      <c r="H15" s="3">
        <f t="shared" si="0"/>
        <v>74</v>
      </c>
      <c r="I15" s="3">
        <f t="shared" si="1"/>
        <v>14.8</v>
      </c>
      <c r="J15" s="3" t="str">
        <f t="shared" si="2"/>
        <v>B</v>
      </c>
      <c r="L15" s="4" t="s">
        <v>7</v>
      </c>
      <c r="M15" s="5">
        <f>COUNTIF(C7:C16, "&gt;20") + COUNTIF(D7:D16, "&lt;15")</f>
        <v>10</v>
      </c>
    </row>
    <row r="16" spans="1:14" x14ac:dyDescent="0.3">
      <c r="A16" s="3">
        <v>10</v>
      </c>
      <c r="B16" s="3" t="s">
        <v>27</v>
      </c>
      <c r="C16" s="3">
        <v>26</v>
      </c>
      <c r="D16" s="3">
        <v>12</v>
      </c>
      <c r="E16" s="3">
        <v>10</v>
      </c>
      <c r="F16" s="3">
        <v>11</v>
      </c>
      <c r="G16" s="3">
        <v>27</v>
      </c>
      <c r="H16" s="3">
        <f t="shared" si="0"/>
        <v>86</v>
      </c>
      <c r="I16" s="3">
        <f t="shared" si="1"/>
        <v>17.2</v>
      </c>
      <c r="J16" s="3" t="str">
        <f t="shared" si="2"/>
        <v>A</v>
      </c>
    </row>
    <row r="18" spans="1:1" x14ac:dyDescent="0.3">
      <c r="A18" s="2" t="s">
        <v>2</v>
      </c>
    </row>
    <row r="19" spans="1:1" x14ac:dyDescent="0.3">
      <c r="A19" s="2" t="s">
        <v>3</v>
      </c>
    </row>
    <row r="20" spans="1:1" x14ac:dyDescent="0.3">
      <c r="A20" s="2" t="s">
        <v>4</v>
      </c>
    </row>
    <row r="21" spans="1:1" x14ac:dyDescent="0.3">
      <c r="A21" s="2" t="s">
        <v>5</v>
      </c>
    </row>
    <row r="22" spans="1:1" x14ac:dyDescent="0.3">
      <c r="A22" s="2" t="s">
        <v>6</v>
      </c>
    </row>
    <row r="23" spans="1:1" x14ac:dyDescent="0.3">
      <c r="A23" s="2" t="s">
        <v>7</v>
      </c>
    </row>
  </sheetData>
  <mergeCells count="1">
    <mergeCell ref="L2:L3"/>
  </mergeCells>
  <hyperlinks>
    <hyperlink ref="L2:L3" location="'LIST OF SHEET'!A1" display="LIST OF SHEET" xr:uid="{ADB4E8DA-193D-48BF-B695-67B4BE6FBE5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7DE2-AF91-4814-B93F-C9A87F657BCF}">
  <dimension ref="A2:J21"/>
  <sheetViews>
    <sheetView workbookViewId="0">
      <selection activeCell="I2" sqref="I2:I3"/>
    </sheetView>
  </sheetViews>
  <sheetFormatPr defaultRowHeight="14.4" x14ac:dyDescent="0.3"/>
  <cols>
    <col min="2" max="2" width="17.33203125" customWidth="1"/>
    <col min="6" max="6" width="10.109375" customWidth="1"/>
    <col min="9" max="9" width="31" customWidth="1"/>
  </cols>
  <sheetData>
    <row r="2" spans="1:10" ht="25.8" x14ac:dyDescent="0.5">
      <c r="A2" s="15" t="s">
        <v>80</v>
      </c>
      <c r="I2" s="126" t="s">
        <v>955</v>
      </c>
    </row>
    <row r="3" spans="1:10" ht="18" x14ac:dyDescent="0.35">
      <c r="A3" s="48" t="s">
        <v>31</v>
      </c>
      <c r="I3" s="126"/>
    </row>
    <row r="4" spans="1:10" ht="25.8" x14ac:dyDescent="0.5">
      <c r="A4" s="15"/>
    </row>
    <row r="5" spans="1:10" x14ac:dyDescent="0.3">
      <c r="A5" s="16" t="s">
        <v>37</v>
      </c>
      <c r="B5" s="16" t="s">
        <v>38</v>
      </c>
      <c r="C5" s="16" t="s">
        <v>39</v>
      </c>
      <c r="D5" s="16" t="s">
        <v>40</v>
      </c>
      <c r="E5" s="16" t="s">
        <v>41</v>
      </c>
      <c r="F5" s="16" t="s">
        <v>42</v>
      </c>
    </row>
    <row r="6" spans="1:10" ht="15.6" x14ac:dyDescent="0.3">
      <c r="A6" s="3">
        <v>1</v>
      </c>
      <c r="B6" s="3" t="s">
        <v>43</v>
      </c>
      <c r="C6" s="3">
        <v>20</v>
      </c>
      <c r="D6" s="3">
        <v>40000</v>
      </c>
      <c r="E6" s="3">
        <f>C6*D6</f>
        <v>800000</v>
      </c>
      <c r="F6" s="3" t="str">
        <f>IF(E6&gt;500000, "Expensive", "Lets Buy it")</f>
        <v>Expensive</v>
      </c>
      <c r="I6" s="10" t="s">
        <v>33</v>
      </c>
      <c r="J6" s="5">
        <f>COUNTA(B6:B15)</f>
        <v>10</v>
      </c>
    </row>
    <row r="7" spans="1:10" x14ac:dyDescent="0.3">
      <c r="A7" s="3">
        <v>2</v>
      </c>
      <c r="B7" s="3" t="s">
        <v>44</v>
      </c>
      <c r="C7" s="3">
        <v>30</v>
      </c>
      <c r="D7" s="3">
        <v>20000</v>
      </c>
      <c r="E7" s="3">
        <f t="shared" ref="E7:E15" si="0">C7*D7</f>
        <v>600000</v>
      </c>
      <c r="F7" s="3" t="str">
        <f t="shared" ref="F7:F15" si="1">IF(E7&gt;500000, "Expensive", "Lets Buy it")</f>
        <v>Expensive</v>
      </c>
    </row>
    <row r="8" spans="1:10" ht="46.8" x14ac:dyDescent="0.3">
      <c r="A8" s="3">
        <v>3</v>
      </c>
      <c r="B8" s="3" t="s">
        <v>45</v>
      </c>
      <c r="C8" s="3">
        <v>15</v>
      </c>
      <c r="D8" s="3">
        <v>10000</v>
      </c>
      <c r="E8" s="3">
        <f t="shared" si="0"/>
        <v>150000</v>
      </c>
      <c r="F8" s="3" t="str">
        <f t="shared" si="1"/>
        <v>Lets Buy it</v>
      </c>
      <c r="I8" s="11" t="s">
        <v>34</v>
      </c>
      <c r="J8" s="5">
        <f>COUNTIF(C6:C15, "&gt;20") + COUNTIF(C6:C15, "&lt;20")</f>
        <v>9</v>
      </c>
    </row>
    <row r="9" spans="1:10" x14ac:dyDescent="0.3">
      <c r="A9" s="3">
        <v>4</v>
      </c>
      <c r="B9" s="3" t="s">
        <v>46</v>
      </c>
      <c r="C9" s="3">
        <v>14</v>
      </c>
      <c r="D9" s="3">
        <v>15000</v>
      </c>
      <c r="E9" s="3">
        <f t="shared" si="0"/>
        <v>210000</v>
      </c>
      <c r="F9" s="3" t="str">
        <f t="shared" si="1"/>
        <v>Lets Buy it</v>
      </c>
    </row>
    <row r="10" spans="1:10" ht="46.8" x14ac:dyDescent="0.3">
      <c r="A10" s="3">
        <v>5</v>
      </c>
      <c r="B10" s="3" t="s">
        <v>47</v>
      </c>
      <c r="C10" s="3">
        <v>18</v>
      </c>
      <c r="D10" s="3">
        <v>20000</v>
      </c>
      <c r="E10" s="3">
        <f t="shared" si="0"/>
        <v>360000</v>
      </c>
      <c r="F10" s="3" t="str">
        <f t="shared" si="1"/>
        <v>Lets Buy it</v>
      </c>
      <c r="I10" s="11" t="s">
        <v>35</v>
      </c>
      <c r="J10" s="5">
        <f>SUMIF(B6:B15, "Computer", C6:C15) + SUMIF(B6:B15, "Computer", D6:D15) + SUMIF(B6:B15, "Computer", E6:E15)</f>
        <v>275010</v>
      </c>
    </row>
    <row r="11" spans="1:10" x14ac:dyDescent="0.3">
      <c r="A11" s="3">
        <v>6</v>
      </c>
      <c r="B11" s="3" t="s">
        <v>48</v>
      </c>
      <c r="C11" s="3">
        <v>17</v>
      </c>
      <c r="D11" s="3">
        <v>2000</v>
      </c>
      <c r="E11" s="3">
        <f t="shared" si="0"/>
        <v>34000</v>
      </c>
      <c r="F11" s="3" t="str">
        <f t="shared" si="1"/>
        <v>Lets Buy it</v>
      </c>
    </row>
    <row r="12" spans="1:10" x14ac:dyDescent="0.3">
      <c r="A12" s="3">
        <v>7</v>
      </c>
      <c r="B12" s="3" t="s">
        <v>49</v>
      </c>
      <c r="C12" s="3">
        <v>10</v>
      </c>
      <c r="D12" s="3">
        <v>25000</v>
      </c>
      <c r="E12" s="3">
        <f t="shared" si="0"/>
        <v>250000</v>
      </c>
      <c r="F12" s="3" t="str">
        <f t="shared" si="1"/>
        <v>Lets Buy it</v>
      </c>
    </row>
    <row r="13" spans="1:10" x14ac:dyDescent="0.3">
      <c r="A13" s="3">
        <v>8</v>
      </c>
      <c r="B13" s="3" t="s">
        <v>50</v>
      </c>
      <c r="C13" s="3">
        <v>5</v>
      </c>
      <c r="D13" s="3">
        <v>250</v>
      </c>
      <c r="E13" s="3">
        <f t="shared" si="0"/>
        <v>1250</v>
      </c>
      <c r="F13" s="3" t="str">
        <f t="shared" si="1"/>
        <v>Lets Buy it</v>
      </c>
    </row>
    <row r="14" spans="1:10" x14ac:dyDescent="0.3">
      <c r="A14" s="3">
        <v>9</v>
      </c>
      <c r="B14" s="3" t="s">
        <v>51</v>
      </c>
      <c r="C14" s="3">
        <v>25</v>
      </c>
      <c r="D14" s="3">
        <v>100</v>
      </c>
      <c r="E14" s="3">
        <f t="shared" si="0"/>
        <v>2500</v>
      </c>
      <c r="F14" s="3" t="str">
        <f t="shared" si="1"/>
        <v>Lets Buy it</v>
      </c>
    </row>
    <row r="15" spans="1:10" x14ac:dyDescent="0.3">
      <c r="A15" s="3">
        <v>10</v>
      </c>
      <c r="B15" s="3" t="s">
        <v>52</v>
      </c>
      <c r="C15" s="3">
        <v>30</v>
      </c>
      <c r="D15" s="3">
        <v>12000</v>
      </c>
      <c r="E15" s="3">
        <f t="shared" si="0"/>
        <v>360000</v>
      </c>
      <c r="F15" s="3" t="str">
        <f t="shared" si="1"/>
        <v>Lets Buy it</v>
      </c>
    </row>
    <row r="17" spans="1:1" ht="18" x14ac:dyDescent="0.3">
      <c r="A17" s="9" t="s">
        <v>32</v>
      </c>
    </row>
    <row r="18" spans="1:1" ht="18" x14ac:dyDescent="0.3">
      <c r="A18" s="9" t="s">
        <v>33</v>
      </c>
    </row>
    <row r="19" spans="1:1" ht="18" x14ac:dyDescent="0.3">
      <c r="A19" s="9" t="s">
        <v>34</v>
      </c>
    </row>
    <row r="20" spans="1:1" ht="18" x14ac:dyDescent="0.3">
      <c r="A20" s="9" t="s">
        <v>35</v>
      </c>
    </row>
    <row r="21" spans="1:1" ht="18" x14ac:dyDescent="0.3">
      <c r="A21" s="9" t="s">
        <v>36</v>
      </c>
    </row>
  </sheetData>
  <mergeCells count="1">
    <mergeCell ref="I2:I3"/>
  </mergeCells>
  <hyperlinks>
    <hyperlink ref="I2:I3" location="'LIST OF SHEET'!A1" display="LIST OF SHEET" xr:uid="{74890880-FC82-4C20-8BDB-3C49A0C530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BC47-BB52-400B-BC90-CA23261C4E32}">
  <dimension ref="A2:L20"/>
  <sheetViews>
    <sheetView workbookViewId="0">
      <selection activeCell="J2" sqref="J2:J3"/>
    </sheetView>
  </sheetViews>
  <sheetFormatPr defaultRowHeight="14.4" x14ac:dyDescent="0.3"/>
  <cols>
    <col min="1" max="1" width="11.44140625" customWidth="1"/>
    <col min="2" max="2" width="12.44140625" customWidth="1"/>
    <col min="10" max="10" width="26.6640625" customWidth="1"/>
  </cols>
  <sheetData>
    <row r="2" spans="1:12" ht="25.8" x14ac:dyDescent="0.5">
      <c r="A2" s="15" t="s">
        <v>78</v>
      </c>
      <c r="J2" s="126" t="s">
        <v>955</v>
      </c>
    </row>
    <row r="3" spans="1:12" ht="21" x14ac:dyDescent="0.4">
      <c r="A3" s="49" t="s">
        <v>53</v>
      </c>
      <c r="J3" s="126"/>
    </row>
    <row r="4" spans="1:12" ht="25.8" x14ac:dyDescent="0.5">
      <c r="A4" s="15"/>
    </row>
    <row r="5" spans="1:12" x14ac:dyDescent="0.3">
      <c r="A5" s="16" t="s">
        <v>59</v>
      </c>
      <c r="B5" s="16" t="s">
        <v>60</v>
      </c>
      <c r="C5" s="16" t="s">
        <v>61</v>
      </c>
      <c r="D5" s="16" t="s">
        <v>62</v>
      </c>
      <c r="E5" s="16" t="s">
        <v>63</v>
      </c>
      <c r="F5" s="16" t="s">
        <v>64</v>
      </c>
      <c r="G5" s="16" t="s">
        <v>42</v>
      </c>
    </row>
    <row r="6" spans="1:12" ht="28.8" x14ac:dyDescent="0.3">
      <c r="A6" s="3" t="s">
        <v>65</v>
      </c>
      <c r="B6" s="3">
        <v>20</v>
      </c>
      <c r="C6" s="3">
        <v>15</v>
      </c>
      <c r="D6" s="3">
        <v>20</v>
      </c>
      <c r="E6" s="3">
        <f>SUM(B6:D6)</f>
        <v>55</v>
      </c>
      <c r="F6" s="3">
        <f>AVERAGE(B6:D6)</f>
        <v>18.333333333333332</v>
      </c>
      <c r="G6" s="3" t="str">
        <f>IF(F6&gt;20, "A", IF(F6&gt;15, "B", "C"))</f>
        <v>B</v>
      </c>
      <c r="J6" s="4" t="s">
        <v>74</v>
      </c>
      <c r="K6" s="3">
        <f>COUNTA(A6:A14)</f>
        <v>9</v>
      </c>
    </row>
    <row r="7" spans="1:12" x14ac:dyDescent="0.3">
      <c r="A7" s="3" t="s">
        <v>66</v>
      </c>
      <c r="B7" s="3">
        <v>30</v>
      </c>
      <c r="C7" s="3">
        <v>12</v>
      </c>
      <c r="D7" s="3">
        <v>15</v>
      </c>
      <c r="E7" s="3">
        <f t="shared" ref="E7:E14" si="0">SUM(B7:D7)</f>
        <v>57</v>
      </c>
      <c r="F7" s="3">
        <f t="shared" ref="F7:F14" si="1">AVERAGE(B7:D7)</f>
        <v>19</v>
      </c>
      <c r="G7" s="3" t="str">
        <f t="shared" ref="G7:G14" si="2">IF(F7&gt;20, "A", IF(F7&gt;15, "B", "C"))</f>
        <v>B</v>
      </c>
    </row>
    <row r="8" spans="1:12" ht="43.8" customHeight="1" x14ac:dyDescent="0.3">
      <c r="A8" s="3" t="s">
        <v>67</v>
      </c>
      <c r="B8" s="3">
        <v>15</v>
      </c>
      <c r="C8" s="3">
        <v>14</v>
      </c>
      <c r="D8" s="3">
        <v>14</v>
      </c>
      <c r="E8" s="3">
        <f t="shared" si="0"/>
        <v>43</v>
      </c>
      <c r="F8" s="3">
        <f t="shared" si="1"/>
        <v>14.333333333333334</v>
      </c>
      <c r="G8" s="3" t="str">
        <f t="shared" si="2"/>
        <v>C</v>
      </c>
      <c r="J8" s="4" t="s">
        <v>75</v>
      </c>
      <c r="K8" s="3">
        <f>COUNTIF(B6:B14, "&gt;20")</f>
        <v>1</v>
      </c>
    </row>
    <row r="9" spans="1:12" x14ac:dyDescent="0.3">
      <c r="A9" s="3" t="s">
        <v>68</v>
      </c>
      <c r="B9" s="3">
        <v>12</v>
      </c>
      <c r="C9" s="3">
        <v>17</v>
      </c>
      <c r="D9" s="3">
        <v>17</v>
      </c>
      <c r="E9" s="3">
        <f t="shared" si="0"/>
        <v>46</v>
      </c>
      <c r="F9" s="3">
        <f t="shared" si="1"/>
        <v>15.333333333333334</v>
      </c>
      <c r="G9" s="3" t="str">
        <f t="shared" si="2"/>
        <v>B</v>
      </c>
    </row>
    <row r="10" spans="1:12" ht="43.2" x14ac:dyDescent="0.3">
      <c r="A10" s="3" t="s">
        <v>69</v>
      </c>
      <c r="B10" s="3">
        <v>14</v>
      </c>
      <c r="C10" s="3">
        <v>18</v>
      </c>
      <c r="D10" s="3">
        <v>18</v>
      </c>
      <c r="E10" s="3">
        <f t="shared" si="0"/>
        <v>50</v>
      </c>
      <c r="F10" s="3">
        <f t="shared" si="1"/>
        <v>16.666666666666668</v>
      </c>
      <c r="G10" s="3" t="str">
        <f t="shared" si="2"/>
        <v>B</v>
      </c>
      <c r="J10" s="4" t="s">
        <v>76</v>
      </c>
      <c r="K10" s="3" t="s">
        <v>63</v>
      </c>
      <c r="L10" s="3" t="s">
        <v>42</v>
      </c>
    </row>
    <row r="11" spans="1:12" x14ac:dyDescent="0.3">
      <c r="A11" s="3" t="s">
        <v>70</v>
      </c>
      <c r="B11" s="3">
        <v>16</v>
      </c>
      <c r="C11" s="3">
        <v>25</v>
      </c>
      <c r="D11" s="3">
        <v>20</v>
      </c>
      <c r="E11" s="3">
        <f t="shared" si="0"/>
        <v>61</v>
      </c>
      <c r="F11" s="3">
        <f t="shared" si="1"/>
        <v>20.333333333333332</v>
      </c>
      <c r="G11" s="3" t="str">
        <f t="shared" si="2"/>
        <v>A</v>
      </c>
      <c r="J11" s="3" t="s">
        <v>65</v>
      </c>
      <c r="K11" s="3">
        <f>VLOOKUP(J11,A5:G14,5,0)</f>
        <v>55</v>
      </c>
      <c r="L11" s="3" t="str">
        <f>VLOOKUP(J11,A5:G14,7,0)</f>
        <v>B</v>
      </c>
    </row>
    <row r="12" spans="1:12" x14ac:dyDescent="0.3">
      <c r="A12" s="3" t="s">
        <v>71</v>
      </c>
      <c r="B12" s="3">
        <v>18</v>
      </c>
      <c r="C12" s="3">
        <v>21</v>
      </c>
      <c r="D12" s="3">
        <v>22</v>
      </c>
      <c r="E12" s="3">
        <f t="shared" si="0"/>
        <v>61</v>
      </c>
      <c r="F12" s="3">
        <f t="shared" si="1"/>
        <v>20.333333333333332</v>
      </c>
      <c r="G12" s="3" t="str">
        <f t="shared" si="2"/>
        <v>A</v>
      </c>
      <c r="J12" s="4" t="s">
        <v>67</v>
      </c>
      <c r="K12" s="3">
        <f>VLOOKUP(J12,A5:G14,5,0)</f>
        <v>43</v>
      </c>
      <c r="L12" s="3" t="str">
        <f>VLOOKUP(J12,A6:G15,7,0)</f>
        <v>C</v>
      </c>
    </row>
    <row r="13" spans="1:12" x14ac:dyDescent="0.3">
      <c r="A13" s="3" t="s">
        <v>72</v>
      </c>
      <c r="B13" s="3">
        <v>17</v>
      </c>
      <c r="C13" s="3">
        <v>23</v>
      </c>
      <c r="D13" s="3">
        <v>13</v>
      </c>
      <c r="E13" s="3">
        <f t="shared" si="0"/>
        <v>53</v>
      </c>
      <c r="F13" s="3">
        <f t="shared" si="1"/>
        <v>17.666666666666668</v>
      </c>
      <c r="G13" s="3" t="str">
        <f t="shared" si="2"/>
        <v>B</v>
      </c>
      <c r="J13" s="3" t="s">
        <v>66</v>
      </c>
      <c r="K13" s="3">
        <f>VLOOKUP(J13,A5:G14,5,0)</f>
        <v>57</v>
      </c>
      <c r="L13" s="3" t="str">
        <f t="shared" ref="L13" si="3">VLOOKUP(J13,A7:G16,7,0)</f>
        <v>B</v>
      </c>
    </row>
    <row r="14" spans="1:12" x14ac:dyDescent="0.3">
      <c r="A14" s="3" t="s">
        <v>73</v>
      </c>
      <c r="B14" s="3">
        <v>20</v>
      </c>
      <c r="C14" s="3">
        <v>25</v>
      </c>
      <c r="D14" s="3">
        <v>25</v>
      </c>
      <c r="E14" s="3">
        <f t="shared" si="0"/>
        <v>70</v>
      </c>
      <c r="F14" s="3">
        <f t="shared" si="1"/>
        <v>23.333333333333332</v>
      </c>
      <c r="G14" s="3" t="str">
        <f t="shared" si="2"/>
        <v>A</v>
      </c>
    </row>
    <row r="15" spans="1:12" ht="43.2" x14ac:dyDescent="0.3">
      <c r="J15" s="14" t="s">
        <v>77</v>
      </c>
      <c r="K15" s="5" t="s">
        <v>63</v>
      </c>
      <c r="L15" s="6" t="s">
        <v>64</v>
      </c>
    </row>
    <row r="16" spans="1:12" x14ac:dyDescent="0.3">
      <c r="A16" s="13" t="s">
        <v>54</v>
      </c>
      <c r="J16" s="3" t="s">
        <v>68</v>
      </c>
      <c r="K16" s="3">
        <f>VLOOKUP(J16,A5:G14,5,0)</f>
        <v>46</v>
      </c>
      <c r="L16" s="3">
        <f>VLOOKUP(J16,A5:G14,6,0)</f>
        <v>15.333333333333334</v>
      </c>
    </row>
    <row r="17" spans="1:12" x14ac:dyDescent="0.3">
      <c r="A17" s="13" t="s">
        <v>55</v>
      </c>
      <c r="J17" s="3" t="s">
        <v>67</v>
      </c>
      <c r="K17" s="3">
        <f>VLOOKUP(J17,A5:G14,5,0)</f>
        <v>43</v>
      </c>
      <c r="L17" s="3">
        <f>VLOOKUP(J17,A5:G14,6,0)</f>
        <v>14.333333333333334</v>
      </c>
    </row>
    <row r="18" spans="1:12" x14ac:dyDescent="0.3">
      <c r="A18" s="13" t="s">
        <v>56</v>
      </c>
      <c r="J18" s="3" t="s">
        <v>66</v>
      </c>
      <c r="K18" s="3">
        <f>VLOOKUP(J18,A5:G14,5,0)</f>
        <v>57</v>
      </c>
      <c r="L18" s="3">
        <f>VLOOKUP(J18,A5:G14,6,0)</f>
        <v>19</v>
      </c>
    </row>
    <row r="19" spans="1:12" x14ac:dyDescent="0.3">
      <c r="A19" s="13" t="s">
        <v>57</v>
      </c>
    </row>
    <row r="20" spans="1:12" x14ac:dyDescent="0.3">
      <c r="A20" s="12" t="s">
        <v>58</v>
      </c>
    </row>
  </sheetData>
  <mergeCells count="1">
    <mergeCell ref="J2:J3"/>
  </mergeCells>
  <hyperlinks>
    <hyperlink ref="J2:J3" location="'LIST OF SHEET'!A1" display="LIST OF SHEET" xr:uid="{C27CB62A-0788-435D-BA87-42BA774E6E47}"/>
  </hyperlinks>
  <pageMargins left="0.7" right="0.7" top="0.75" bottom="0.75" header="0.3" footer="0.3"/>
  <ignoredErrors>
    <ignoredError sqref="K17:L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A5E0-8AF7-46E7-9DF1-E2BA0E8CD1D4}">
  <dimension ref="A2:N29"/>
  <sheetViews>
    <sheetView workbookViewId="0">
      <selection activeCell="K2" sqref="K2:K3"/>
    </sheetView>
  </sheetViews>
  <sheetFormatPr defaultRowHeight="14.4" x14ac:dyDescent="0.3"/>
  <cols>
    <col min="2" max="2" width="12.77734375" customWidth="1"/>
    <col min="3" max="3" width="12.88671875" customWidth="1"/>
    <col min="10" max="10" width="11.5546875" customWidth="1"/>
    <col min="11" max="11" width="45.109375" customWidth="1"/>
    <col min="12" max="12" width="10.88671875" customWidth="1"/>
    <col min="13" max="13" width="9.109375" customWidth="1"/>
    <col min="14" max="14" width="10.77734375" customWidth="1"/>
  </cols>
  <sheetData>
    <row r="2" spans="1:14" ht="25.8" x14ac:dyDescent="0.5">
      <c r="A2" s="15" t="s">
        <v>91</v>
      </c>
      <c r="K2" s="126" t="s">
        <v>955</v>
      </c>
    </row>
    <row r="3" spans="1:14" ht="25.8" x14ac:dyDescent="0.5">
      <c r="A3" s="15" t="s">
        <v>53</v>
      </c>
      <c r="K3" s="126"/>
    </row>
    <row r="4" spans="1:14" ht="25.8" x14ac:dyDescent="0.5">
      <c r="A4" s="15"/>
    </row>
    <row r="5" spans="1:14" x14ac:dyDescent="0.3">
      <c r="A5" s="16" t="s">
        <v>92</v>
      </c>
      <c r="B5" s="16" t="s">
        <v>93</v>
      </c>
      <c r="C5" s="16" t="s">
        <v>94</v>
      </c>
      <c r="D5" s="16" t="s">
        <v>95</v>
      </c>
      <c r="E5" s="16" t="s">
        <v>96</v>
      </c>
      <c r="F5" s="16" t="s">
        <v>97</v>
      </c>
      <c r="G5" s="16" t="s">
        <v>98</v>
      </c>
      <c r="H5" s="16" t="s">
        <v>63</v>
      </c>
      <c r="I5" s="16" t="s">
        <v>42</v>
      </c>
      <c r="K5" s="129" t="s">
        <v>112</v>
      </c>
      <c r="L5" s="18" t="s">
        <v>49</v>
      </c>
      <c r="M5" s="18" t="s">
        <v>105</v>
      </c>
      <c r="N5" s="18" t="s">
        <v>104</v>
      </c>
    </row>
    <row r="6" spans="1:14" x14ac:dyDescent="0.3">
      <c r="A6" s="3" t="s">
        <v>18</v>
      </c>
      <c r="B6" s="3" t="s">
        <v>49</v>
      </c>
      <c r="C6" s="3" t="s">
        <v>106</v>
      </c>
      <c r="D6" s="3">
        <v>5000</v>
      </c>
      <c r="E6" s="3">
        <f>D6*2.5%</f>
        <v>125</v>
      </c>
      <c r="F6" s="3">
        <f>D6*3.5%</f>
        <v>175.00000000000003</v>
      </c>
      <c r="G6" s="3">
        <f>D6*1.5%</f>
        <v>75</v>
      </c>
      <c r="H6" s="3">
        <f>((D6)+(E6)+(F6))-G6</f>
        <v>5225</v>
      </c>
      <c r="I6" s="3" t="str">
        <f>IF(H6&gt;20000, "A", IF(H6&gt;10000, "B", "C"))</f>
        <v>C</v>
      </c>
      <c r="K6" s="129"/>
      <c r="L6" s="3">
        <f>COUNTIF(B5:B13, "COMPUTER")</f>
        <v>3</v>
      </c>
      <c r="M6" s="3">
        <f>COUNTIF(B5:B13, "FINANCE")</f>
        <v>2</v>
      </c>
      <c r="N6" s="3">
        <f>COUNTIF(B5:B13, "ELECTRICAL")</f>
        <v>3</v>
      </c>
    </row>
    <row r="7" spans="1:14" x14ac:dyDescent="0.3">
      <c r="A7" s="3" t="s">
        <v>99</v>
      </c>
      <c r="B7" s="3" t="s">
        <v>49</v>
      </c>
      <c r="C7" s="3" t="s">
        <v>107</v>
      </c>
      <c r="D7" s="3">
        <v>8000</v>
      </c>
      <c r="E7" s="3">
        <f t="shared" ref="E7:E13" si="0">D7*2.5%</f>
        <v>200</v>
      </c>
      <c r="F7" s="3">
        <f t="shared" ref="F7:F13" si="1">D7*3.5%</f>
        <v>280</v>
      </c>
      <c r="G7" s="3">
        <f t="shared" ref="G7:G13" si="2">D7*1.5%</f>
        <v>120</v>
      </c>
      <c r="H7" s="3">
        <f t="shared" ref="H7:H13" si="3">((D7)+(E7)+(F7))-G7</f>
        <v>8360</v>
      </c>
      <c r="I7" s="3" t="str">
        <f t="shared" ref="I7:I13" si="4">IF(H7&gt;20000, "A", IF(H7&gt;10000, "B", "C"))</f>
        <v>C</v>
      </c>
    </row>
    <row r="8" spans="1:14" x14ac:dyDescent="0.3">
      <c r="A8" s="3" t="s">
        <v>20</v>
      </c>
      <c r="B8" s="3" t="s">
        <v>49</v>
      </c>
      <c r="C8" s="3" t="s">
        <v>108</v>
      </c>
      <c r="D8" s="3">
        <v>3000</v>
      </c>
      <c r="E8" s="3">
        <f t="shared" si="0"/>
        <v>75</v>
      </c>
      <c r="F8" s="3">
        <f t="shared" si="1"/>
        <v>105.00000000000001</v>
      </c>
      <c r="G8" s="3">
        <f t="shared" si="2"/>
        <v>45</v>
      </c>
      <c r="H8" s="3">
        <f t="shared" si="3"/>
        <v>3135</v>
      </c>
      <c r="I8" s="3" t="str">
        <f t="shared" si="4"/>
        <v>C</v>
      </c>
      <c r="K8" s="128" t="s">
        <v>113</v>
      </c>
      <c r="L8" s="18" t="s">
        <v>49</v>
      </c>
    </row>
    <row r="9" spans="1:14" x14ac:dyDescent="0.3">
      <c r="A9" s="3" t="s">
        <v>23</v>
      </c>
      <c r="B9" s="3" t="s">
        <v>104</v>
      </c>
      <c r="C9" s="3" t="s">
        <v>109</v>
      </c>
      <c r="D9" s="3">
        <v>6000</v>
      </c>
      <c r="E9" s="3">
        <f t="shared" si="0"/>
        <v>150</v>
      </c>
      <c r="F9" s="3">
        <f t="shared" si="1"/>
        <v>210.00000000000003</v>
      </c>
      <c r="G9" s="3">
        <f t="shared" si="2"/>
        <v>90</v>
      </c>
      <c r="H9" s="3">
        <f t="shared" si="3"/>
        <v>6270</v>
      </c>
      <c r="I9" s="3" t="str">
        <f t="shared" si="4"/>
        <v>C</v>
      </c>
      <c r="K9" s="128"/>
      <c r="L9" s="3">
        <f>SUMIF(B5:B13, "COMPUTER",D5:D13)</f>
        <v>16000</v>
      </c>
    </row>
    <row r="10" spans="1:14" x14ac:dyDescent="0.3">
      <c r="A10" s="3" t="s">
        <v>100</v>
      </c>
      <c r="B10" s="3" t="s">
        <v>104</v>
      </c>
      <c r="C10" s="3" t="s">
        <v>110</v>
      </c>
      <c r="D10" s="3">
        <v>8000</v>
      </c>
      <c r="E10" s="3">
        <f t="shared" si="0"/>
        <v>200</v>
      </c>
      <c r="F10" s="3">
        <f t="shared" si="1"/>
        <v>280</v>
      </c>
      <c r="G10" s="3">
        <f t="shared" si="2"/>
        <v>120</v>
      </c>
      <c r="H10" s="3">
        <f t="shared" si="3"/>
        <v>8360</v>
      </c>
      <c r="I10" s="3" t="str">
        <f t="shared" si="4"/>
        <v>C</v>
      </c>
    </row>
    <row r="11" spans="1:14" x14ac:dyDescent="0.3">
      <c r="A11" s="3" t="s">
        <v>101</v>
      </c>
      <c r="B11" s="3" t="s">
        <v>104</v>
      </c>
      <c r="C11" s="3" t="s">
        <v>111</v>
      </c>
      <c r="D11" s="3">
        <v>9000</v>
      </c>
      <c r="E11" s="3">
        <f t="shared" si="0"/>
        <v>225</v>
      </c>
      <c r="F11" s="3">
        <f t="shared" si="1"/>
        <v>315.00000000000006</v>
      </c>
      <c r="G11" s="3">
        <f t="shared" si="2"/>
        <v>135</v>
      </c>
      <c r="H11" s="3">
        <f t="shared" si="3"/>
        <v>9405</v>
      </c>
      <c r="I11" s="3" t="str">
        <f t="shared" si="4"/>
        <v>C</v>
      </c>
      <c r="K11" s="127" t="s">
        <v>114</v>
      </c>
      <c r="L11" s="127" t="s">
        <v>20</v>
      </c>
      <c r="M11" s="127" t="s">
        <v>102</v>
      </c>
    </row>
    <row r="12" spans="1:14" x14ac:dyDescent="0.3">
      <c r="A12" s="3" t="s">
        <v>102</v>
      </c>
      <c r="B12" s="3" t="s">
        <v>105</v>
      </c>
      <c r="C12" s="3" t="s">
        <v>106</v>
      </c>
      <c r="D12" s="3">
        <v>10000</v>
      </c>
      <c r="E12" s="3">
        <f t="shared" si="0"/>
        <v>250</v>
      </c>
      <c r="F12" s="3">
        <f t="shared" si="1"/>
        <v>350.00000000000006</v>
      </c>
      <c r="G12" s="3">
        <f t="shared" si="2"/>
        <v>150</v>
      </c>
      <c r="H12" s="3">
        <f t="shared" si="3"/>
        <v>10450</v>
      </c>
      <c r="I12" s="3" t="str">
        <f t="shared" si="4"/>
        <v>B</v>
      </c>
      <c r="K12" s="127"/>
      <c r="L12" s="127"/>
      <c r="M12" s="127"/>
    </row>
    <row r="13" spans="1:14" x14ac:dyDescent="0.3">
      <c r="A13" s="3" t="s">
        <v>103</v>
      </c>
      <c r="B13" s="3" t="s">
        <v>105</v>
      </c>
      <c r="C13" s="3" t="s">
        <v>109</v>
      </c>
      <c r="D13" s="3">
        <v>5000</v>
      </c>
      <c r="E13" s="3">
        <f t="shared" si="0"/>
        <v>125</v>
      </c>
      <c r="F13" s="3">
        <f t="shared" si="1"/>
        <v>175.00000000000003</v>
      </c>
      <c r="G13" s="3">
        <f t="shared" si="2"/>
        <v>75</v>
      </c>
      <c r="H13" s="3">
        <f t="shared" si="3"/>
        <v>5225</v>
      </c>
      <c r="I13" s="3" t="str">
        <f t="shared" si="4"/>
        <v>C</v>
      </c>
      <c r="K13" s="7" t="s">
        <v>94</v>
      </c>
      <c r="L13" s="3" t="str">
        <f>VLOOKUP(L11,A5:I13,3,0)</f>
        <v>PION</v>
      </c>
      <c r="M13" s="3" t="str">
        <f>VLOOKUP(M11,A5:I13,3,0)</f>
        <v>MANAGER</v>
      </c>
    </row>
    <row r="14" spans="1:14" x14ac:dyDescent="0.3">
      <c r="K14" s="7" t="s">
        <v>42</v>
      </c>
      <c r="L14" s="3" t="str">
        <f>VLOOKUP(L11,A5:I13,9,0)</f>
        <v>C</v>
      </c>
      <c r="M14" s="3" t="str">
        <f>VLOOKUP(M11,A5:I13,9,0)</f>
        <v>B</v>
      </c>
    </row>
    <row r="16" spans="1:14" x14ac:dyDescent="0.3">
      <c r="A16" s="13" t="s">
        <v>81</v>
      </c>
      <c r="K16" s="128" t="s">
        <v>115</v>
      </c>
      <c r="L16" s="3" t="s">
        <v>106</v>
      </c>
      <c r="M16" s="3" t="s">
        <v>109</v>
      </c>
    </row>
    <row r="17" spans="1:13" x14ac:dyDescent="0.3">
      <c r="A17" s="2" t="s">
        <v>82</v>
      </c>
      <c r="K17" s="128"/>
      <c r="L17" s="3">
        <f>COUNTIF(C5:C13, "MANAGER")</f>
        <v>2</v>
      </c>
      <c r="M17" s="3">
        <f>COUNTIF(C5:C13, "GUARD")</f>
        <v>2</v>
      </c>
    </row>
    <row r="19" spans="1:13" x14ac:dyDescent="0.3">
      <c r="A19" s="13" t="s">
        <v>83</v>
      </c>
    </row>
    <row r="20" spans="1:13" x14ac:dyDescent="0.3">
      <c r="A20" s="13" t="s">
        <v>84</v>
      </c>
    </row>
    <row r="22" spans="1:13" x14ac:dyDescent="0.3">
      <c r="A22" s="13" t="s">
        <v>85</v>
      </c>
    </row>
    <row r="23" spans="1:13" x14ac:dyDescent="0.3">
      <c r="A23" s="2" t="s">
        <v>86</v>
      </c>
    </row>
    <row r="25" spans="1:13" x14ac:dyDescent="0.3">
      <c r="A25" s="13" t="s">
        <v>87</v>
      </c>
    </row>
    <row r="26" spans="1:13" x14ac:dyDescent="0.3">
      <c r="A26" s="13" t="s">
        <v>88</v>
      </c>
    </row>
    <row r="28" spans="1:13" x14ac:dyDescent="0.3">
      <c r="A28" s="13" t="s">
        <v>89</v>
      </c>
    </row>
    <row r="29" spans="1:13" x14ac:dyDescent="0.3">
      <c r="A29" s="2" t="s">
        <v>90</v>
      </c>
    </row>
  </sheetData>
  <mergeCells count="7">
    <mergeCell ref="K2:K3"/>
    <mergeCell ref="M11:M12"/>
    <mergeCell ref="K16:K17"/>
    <mergeCell ref="K5:K6"/>
    <mergeCell ref="K8:K9"/>
    <mergeCell ref="K11:K12"/>
    <mergeCell ref="L11:L12"/>
  </mergeCells>
  <hyperlinks>
    <hyperlink ref="K2:K3" location="'LIST OF SHEET'!A1" display="LIST OF SHEET" xr:uid="{285D2800-7B24-40B9-962B-8DCA9D5053FD}"/>
  </hyperlinks>
  <pageMargins left="0.7" right="0.7" top="0.75" bottom="0.75" header="0.3" footer="0.3"/>
  <ignoredErrors>
    <ignoredError sqref="M6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F41D-08E3-423B-9E28-9BCD4B507FB4}">
  <dimension ref="A1:J39"/>
  <sheetViews>
    <sheetView workbookViewId="0">
      <selection activeCell="I2" sqref="I2:I3"/>
    </sheetView>
  </sheetViews>
  <sheetFormatPr defaultRowHeight="14.4" x14ac:dyDescent="0.3"/>
  <cols>
    <col min="1" max="1" width="12.33203125" customWidth="1"/>
    <col min="2" max="2" width="13.109375" customWidth="1"/>
    <col min="3" max="3" width="11.88671875" customWidth="1"/>
    <col min="4" max="4" width="12.33203125" customWidth="1"/>
    <col min="5" max="5" width="12.21875" customWidth="1"/>
    <col min="6" max="6" width="36.109375" customWidth="1"/>
    <col min="7" max="7" width="10.77734375" customWidth="1"/>
    <col min="8" max="8" width="10.88671875" customWidth="1"/>
    <col min="9" max="9" width="16.5546875" customWidth="1"/>
    <col min="10" max="10" width="11.33203125" customWidth="1"/>
    <col min="11" max="11" width="12.44140625" customWidth="1"/>
    <col min="12" max="12" width="11.21875" customWidth="1"/>
    <col min="13" max="13" width="12.21875" customWidth="1"/>
    <col min="14" max="14" width="11.77734375" customWidth="1"/>
    <col min="15" max="15" width="11.44140625" customWidth="1"/>
    <col min="16" max="16" width="11.33203125" customWidth="1"/>
    <col min="17" max="17" width="11.109375" customWidth="1"/>
    <col min="18" max="18" width="11.5546875" customWidth="1"/>
    <col min="19" max="19" width="10.88671875" customWidth="1"/>
    <col min="20" max="20" width="12.5546875" customWidth="1"/>
  </cols>
  <sheetData>
    <row r="1" spans="1:10" ht="23.4" x14ac:dyDescent="0.45">
      <c r="A1" s="20" t="s">
        <v>125</v>
      </c>
    </row>
    <row r="2" spans="1:10" ht="23.4" x14ac:dyDescent="0.45">
      <c r="A2" s="20" t="s">
        <v>116</v>
      </c>
      <c r="I2" s="126" t="s">
        <v>955</v>
      </c>
    </row>
    <row r="3" spans="1:10" ht="23.4" x14ac:dyDescent="0.45">
      <c r="A3" s="20" t="s">
        <v>117</v>
      </c>
      <c r="I3" s="126"/>
    </row>
    <row r="4" spans="1:10" ht="23.4" x14ac:dyDescent="0.45">
      <c r="A4" s="20"/>
    </row>
    <row r="5" spans="1:10" ht="23.4" x14ac:dyDescent="0.45">
      <c r="A5" s="20"/>
    </row>
    <row r="6" spans="1:10" x14ac:dyDescent="0.3">
      <c r="A6" s="24" t="s">
        <v>126</v>
      </c>
      <c r="B6" s="22" t="s">
        <v>127</v>
      </c>
      <c r="C6" s="24" t="s">
        <v>128</v>
      </c>
    </row>
    <row r="7" spans="1:10" x14ac:dyDescent="0.3">
      <c r="A7" s="7" t="s">
        <v>129</v>
      </c>
      <c r="B7" s="23">
        <v>42370</v>
      </c>
      <c r="C7" s="25">
        <v>800</v>
      </c>
      <c r="F7" s="128" t="s">
        <v>134</v>
      </c>
      <c r="G7" s="131">
        <f>COUNTA(A7:A25)</f>
        <v>19</v>
      </c>
    </row>
    <row r="8" spans="1:10" x14ac:dyDescent="0.3">
      <c r="A8" s="7" t="s">
        <v>130</v>
      </c>
      <c r="B8" s="23">
        <v>42502</v>
      </c>
      <c r="C8" s="25">
        <v>2000</v>
      </c>
      <c r="F8" s="128"/>
      <c r="G8" s="131"/>
    </row>
    <row r="9" spans="1:10" x14ac:dyDescent="0.3">
      <c r="A9" s="7" t="s">
        <v>129</v>
      </c>
      <c r="B9" s="23">
        <v>42508</v>
      </c>
      <c r="C9" s="25">
        <v>500</v>
      </c>
    </row>
    <row r="10" spans="1:10" ht="14.4" customHeight="1" x14ac:dyDescent="0.3">
      <c r="A10" s="7" t="s">
        <v>131</v>
      </c>
      <c r="B10" s="23">
        <v>42510</v>
      </c>
      <c r="C10" s="25">
        <v>800</v>
      </c>
      <c r="F10" s="128" t="s">
        <v>136</v>
      </c>
      <c r="G10" s="30" t="s">
        <v>129</v>
      </c>
      <c r="H10" s="3" t="s">
        <v>132</v>
      </c>
      <c r="I10" s="3" t="s">
        <v>130</v>
      </c>
    </row>
    <row r="11" spans="1:10" x14ac:dyDescent="0.3">
      <c r="A11" s="7" t="s">
        <v>131</v>
      </c>
      <c r="B11" s="23">
        <v>42410</v>
      </c>
      <c r="C11" s="25">
        <v>1000</v>
      </c>
      <c r="F11" s="128"/>
      <c r="G11" s="131">
        <f>COUNTIF(A6:A25, "BRAKES")</f>
        <v>4</v>
      </c>
      <c r="H11" s="131">
        <f>COUNTIF(A6:A25, "WINDOW")</f>
        <v>5</v>
      </c>
      <c r="I11" s="131">
        <f>COUNTIF(A6:A25, "TYRES")</f>
        <v>5</v>
      </c>
    </row>
    <row r="12" spans="1:10" x14ac:dyDescent="0.3">
      <c r="A12" s="7" t="s">
        <v>132</v>
      </c>
      <c r="B12" s="23">
        <v>42498</v>
      </c>
      <c r="C12" s="25">
        <v>1000</v>
      </c>
      <c r="F12" s="128"/>
      <c r="G12" s="131"/>
      <c r="H12" s="131"/>
      <c r="I12" s="131"/>
    </row>
    <row r="13" spans="1:10" ht="14.4" customHeight="1" x14ac:dyDescent="0.3">
      <c r="A13" s="7" t="s">
        <v>130</v>
      </c>
      <c r="B13" s="23">
        <v>42500</v>
      </c>
      <c r="C13" s="25">
        <v>1200</v>
      </c>
      <c r="F13" s="26"/>
      <c r="G13" s="28"/>
    </row>
    <row r="14" spans="1:10" x14ac:dyDescent="0.3">
      <c r="A14" s="7" t="s">
        <v>130</v>
      </c>
      <c r="B14" s="23">
        <v>42515</v>
      </c>
      <c r="C14" s="25">
        <v>1500</v>
      </c>
      <c r="F14" s="128" t="s">
        <v>138</v>
      </c>
      <c r="G14" s="131" t="s">
        <v>139</v>
      </c>
      <c r="H14" s="131" t="s">
        <v>140</v>
      </c>
      <c r="I14" s="128" t="s">
        <v>141</v>
      </c>
      <c r="J14" s="130">
        <f>COUNTIF(C7:C25,"&gt;1000")+COUNTIF(C7:C25,"&lt;=1000")</f>
        <v>19</v>
      </c>
    </row>
    <row r="15" spans="1:10" x14ac:dyDescent="0.3">
      <c r="A15" s="7" t="s">
        <v>133</v>
      </c>
      <c r="B15" s="23">
        <v>42561</v>
      </c>
      <c r="C15" s="25">
        <v>1800</v>
      </c>
      <c r="F15" s="128"/>
      <c r="G15" s="131"/>
      <c r="H15" s="131"/>
      <c r="I15" s="128"/>
      <c r="J15" s="131"/>
    </row>
    <row r="16" spans="1:10" ht="14.4" customHeight="1" x14ac:dyDescent="0.3">
      <c r="A16" s="7" t="s">
        <v>130</v>
      </c>
      <c r="B16" s="23">
        <v>42379</v>
      </c>
      <c r="C16" s="25">
        <v>2000</v>
      </c>
      <c r="F16" s="128"/>
      <c r="G16" s="131"/>
      <c r="H16" s="131"/>
      <c r="I16" s="128"/>
      <c r="J16" s="131"/>
    </row>
    <row r="17" spans="1:10" x14ac:dyDescent="0.3">
      <c r="A17" s="7" t="s">
        <v>133</v>
      </c>
      <c r="B17" s="23">
        <v>42536</v>
      </c>
      <c r="C17" s="25">
        <v>1500</v>
      </c>
      <c r="F17" s="128"/>
      <c r="G17" s="3">
        <f>COUNTIF(C7:C25, "&gt;1000")</f>
        <v>12</v>
      </c>
      <c r="H17" s="3">
        <f>COUNTIF(C7:C25, "&lt;=1000")</f>
        <v>7</v>
      </c>
      <c r="I17" s="128"/>
      <c r="J17" s="131"/>
    </row>
    <row r="18" spans="1:10" x14ac:dyDescent="0.3">
      <c r="A18" s="7" t="s">
        <v>133</v>
      </c>
      <c r="B18" s="23">
        <v>42381</v>
      </c>
      <c r="C18" s="25">
        <v>1000</v>
      </c>
    </row>
    <row r="19" spans="1:10" x14ac:dyDescent="0.3">
      <c r="A19" s="7" t="s">
        <v>132</v>
      </c>
      <c r="B19" s="23">
        <v>42370</v>
      </c>
      <c r="C19" s="25">
        <v>1200</v>
      </c>
      <c r="F19" s="128" t="s">
        <v>146</v>
      </c>
      <c r="G19" s="131">
        <f>SUMIF(A7:A25, "WINDOW",C7:C25) + SUMIF(A7:A25, "BRAKES",C7:C25)</f>
        <v>10800</v>
      </c>
    </row>
    <row r="20" spans="1:10" x14ac:dyDescent="0.3">
      <c r="A20" s="7" t="s">
        <v>132</v>
      </c>
      <c r="B20" s="23">
        <v>42500</v>
      </c>
      <c r="C20" s="25">
        <v>1500</v>
      </c>
      <c r="F20" s="128"/>
      <c r="G20" s="131"/>
    </row>
    <row r="21" spans="1:10" x14ac:dyDescent="0.3">
      <c r="A21" s="7" t="s">
        <v>132</v>
      </c>
      <c r="B21" s="23">
        <v>42500</v>
      </c>
      <c r="C21" s="25">
        <v>1800</v>
      </c>
    </row>
    <row r="22" spans="1:10" x14ac:dyDescent="0.3">
      <c r="A22" s="7" t="s">
        <v>129</v>
      </c>
      <c r="B22" s="23">
        <v>42500</v>
      </c>
      <c r="C22" s="25">
        <v>1000</v>
      </c>
      <c r="F22" s="128" t="s">
        <v>163</v>
      </c>
    </row>
    <row r="23" spans="1:10" x14ac:dyDescent="0.3">
      <c r="A23" s="7" t="s">
        <v>129</v>
      </c>
      <c r="B23" s="23">
        <v>42596</v>
      </c>
      <c r="C23" s="25">
        <v>1200</v>
      </c>
      <c r="F23" s="128"/>
    </row>
    <row r="24" spans="1:10" x14ac:dyDescent="0.3">
      <c r="A24" s="7" t="s">
        <v>130</v>
      </c>
      <c r="B24" s="23">
        <v>42597</v>
      </c>
      <c r="C24" s="25">
        <v>1500</v>
      </c>
    </row>
    <row r="25" spans="1:10" x14ac:dyDescent="0.3">
      <c r="A25" s="7" t="s">
        <v>132</v>
      </c>
      <c r="B25" s="23">
        <v>42602</v>
      </c>
      <c r="C25" s="25">
        <v>1800</v>
      </c>
    </row>
    <row r="27" spans="1:10" x14ac:dyDescent="0.3">
      <c r="A27" t="s">
        <v>118</v>
      </c>
    </row>
    <row r="28" spans="1:10" x14ac:dyDescent="0.3">
      <c r="A28" t="s">
        <v>119</v>
      </c>
    </row>
    <row r="29" spans="1:10" x14ac:dyDescent="0.3">
      <c r="A29" t="s">
        <v>135</v>
      </c>
    </row>
    <row r="30" spans="1:10" x14ac:dyDescent="0.3">
      <c r="A30" t="s">
        <v>90</v>
      </c>
    </row>
    <row r="31" spans="1:10" x14ac:dyDescent="0.3">
      <c r="A31" t="s">
        <v>137</v>
      </c>
    </row>
    <row r="32" spans="1:10" x14ac:dyDescent="0.3">
      <c r="A32" t="s">
        <v>90</v>
      </c>
    </row>
    <row r="33" spans="1:1" x14ac:dyDescent="0.3">
      <c r="A33" t="s">
        <v>142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143</v>
      </c>
    </row>
    <row r="37" spans="1:1" x14ac:dyDescent="0.3">
      <c r="A37" t="s">
        <v>122</v>
      </c>
    </row>
    <row r="38" spans="1:1" x14ac:dyDescent="0.3">
      <c r="A38" t="s">
        <v>123</v>
      </c>
    </row>
    <row r="39" spans="1:1" x14ac:dyDescent="0.3">
      <c r="A39" t="s">
        <v>124</v>
      </c>
    </row>
  </sheetData>
  <mergeCells count="15">
    <mergeCell ref="I2:I3"/>
    <mergeCell ref="J14:J17"/>
    <mergeCell ref="F7:F8"/>
    <mergeCell ref="G7:G8"/>
    <mergeCell ref="F22:F23"/>
    <mergeCell ref="F10:F12"/>
    <mergeCell ref="F14:F17"/>
    <mergeCell ref="G14:G16"/>
    <mergeCell ref="H14:H16"/>
    <mergeCell ref="G11:G12"/>
    <mergeCell ref="H11:H12"/>
    <mergeCell ref="I11:I12"/>
    <mergeCell ref="F19:F20"/>
    <mergeCell ref="G19:G20"/>
    <mergeCell ref="I14:I17"/>
  </mergeCells>
  <conditionalFormatting sqref="A7:A25">
    <cfRule type="containsText" dxfId="2" priority="2" operator="containsText" text="TYRES">
      <formula>NOT(ISERROR(SEARCH("TYRES",A7)))</formula>
    </cfRule>
  </conditionalFormatting>
  <conditionalFormatting sqref="C7:C25">
    <cfRule type="cellIs" dxfId="1" priority="1" operator="between">
      <formula>500</formula>
      <formula>2000</formula>
    </cfRule>
  </conditionalFormatting>
  <hyperlinks>
    <hyperlink ref="I2:I3" location="'LIST OF SHEET'!A1" display="LIST OF SHEET" xr:uid="{5835E001-87EB-40DC-BC02-D331F557FD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DE30-2C24-4860-8173-46C10AD0EEBB}">
  <dimension ref="A2:T17"/>
  <sheetViews>
    <sheetView workbookViewId="0">
      <selection activeCell="J2" sqref="J2:J3"/>
    </sheetView>
  </sheetViews>
  <sheetFormatPr defaultRowHeight="14.4" x14ac:dyDescent="0.3"/>
  <cols>
    <col min="1" max="1" width="5.5546875" bestFit="1" customWidth="1"/>
    <col min="2" max="9" width="10.33203125" bestFit="1" customWidth="1"/>
    <col min="10" max="10" width="13.88671875" customWidth="1"/>
    <col min="11" max="20" width="10.33203125" bestFit="1" customWidth="1"/>
  </cols>
  <sheetData>
    <row r="2" spans="1:20" x14ac:dyDescent="0.3">
      <c r="J2" s="126" t="s">
        <v>955</v>
      </c>
    </row>
    <row r="3" spans="1:20" ht="23.4" x14ac:dyDescent="0.45">
      <c r="A3" s="20" t="s">
        <v>311</v>
      </c>
      <c r="J3" s="126"/>
    </row>
    <row r="5" spans="1:20" x14ac:dyDescent="0.3">
      <c r="A5" s="21" t="s">
        <v>144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</row>
    <row r="6" spans="1:20" x14ac:dyDescent="0.3">
      <c r="A6" s="24" t="s">
        <v>126</v>
      </c>
      <c r="B6" s="7" t="s">
        <v>129</v>
      </c>
      <c r="C6" s="7" t="s">
        <v>130</v>
      </c>
      <c r="D6" s="7" t="s">
        <v>129</v>
      </c>
      <c r="E6" s="7" t="s">
        <v>131</v>
      </c>
      <c r="F6" s="7" t="s">
        <v>131</v>
      </c>
      <c r="G6" s="7" t="s">
        <v>132</v>
      </c>
      <c r="H6" s="7" t="s">
        <v>130</v>
      </c>
      <c r="I6" s="7" t="s">
        <v>130</v>
      </c>
      <c r="J6" s="7" t="s">
        <v>133</v>
      </c>
      <c r="K6" s="7" t="s">
        <v>130</v>
      </c>
      <c r="L6" s="7" t="s">
        <v>133</v>
      </c>
      <c r="M6" s="7" t="s">
        <v>133</v>
      </c>
      <c r="N6" s="7" t="s">
        <v>132</v>
      </c>
      <c r="O6" s="7" t="s">
        <v>132</v>
      </c>
      <c r="P6" s="7" t="s">
        <v>132</v>
      </c>
      <c r="Q6" s="7" t="s">
        <v>129</v>
      </c>
      <c r="R6" s="7" t="s">
        <v>129</v>
      </c>
      <c r="S6" s="7" t="s">
        <v>130</v>
      </c>
      <c r="T6" s="7" t="s">
        <v>132</v>
      </c>
    </row>
    <row r="7" spans="1:20" x14ac:dyDescent="0.3">
      <c r="A7" s="22" t="s">
        <v>127</v>
      </c>
      <c r="B7" s="23">
        <v>42370</v>
      </c>
      <c r="C7" s="23">
        <v>42502</v>
      </c>
      <c r="D7" s="23">
        <v>42508</v>
      </c>
      <c r="E7" s="23">
        <v>42510</v>
      </c>
      <c r="F7" s="23">
        <v>42410</v>
      </c>
      <c r="G7" s="23">
        <v>42498</v>
      </c>
      <c r="H7" s="23">
        <v>42500</v>
      </c>
      <c r="I7" s="23">
        <v>42515</v>
      </c>
      <c r="J7" s="23">
        <v>42561</v>
      </c>
      <c r="K7" s="23">
        <v>42379</v>
      </c>
      <c r="L7" s="23">
        <v>42536</v>
      </c>
      <c r="M7" s="23">
        <v>42381</v>
      </c>
      <c r="N7" s="23">
        <v>42370</v>
      </c>
      <c r="O7" s="23">
        <v>42500</v>
      </c>
      <c r="P7" s="23">
        <v>42500</v>
      </c>
      <c r="Q7" s="23">
        <v>42500</v>
      </c>
      <c r="R7" s="23">
        <v>42596</v>
      </c>
      <c r="S7" s="23">
        <v>42597</v>
      </c>
      <c r="T7" s="23">
        <v>42602</v>
      </c>
    </row>
    <row r="8" spans="1:20" x14ac:dyDescent="0.3">
      <c r="A8" s="24" t="s">
        <v>128</v>
      </c>
      <c r="B8" s="25">
        <v>800</v>
      </c>
      <c r="C8" s="25">
        <v>2000</v>
      </c>
      <c r="D8" s="25">
        <v>500</v>
      </c>
      <c r="E8" s="25">
        <v>800</v>
      </c>
      <c r="F8" s="25">
        <v>1000</v>
      </c>
      <c r="G8" s="25">
        <v>1000</v>
      </c>
      <c r="H8" s="25">
        <v>1200</v>
      </c>
      <c r="I8" s="25">
        <v>1500</v>
      </c>
      <c r="J8" s="25">
        <v>1800</v>
      </c>
      <c r="K8" s="25">
        <v>2000</v>
      </c>
      <c r="L8" s="25">
        <v>1500</v>
      </c>
      <c r="M8" s="25">
        <v>1000</v>
      </c>
      <c r="N8" s="25">
        <v>1200</v>
      </c>
      <c r="O8" s="25">
        <v>1500</v>
      </c>
      <c r="P8" s="25">
        <v>1800</v>
      </c>
      <c r="Q8" s="25">
        <v>1000</v>
      </c>
      <c r="R8" s="25">
        <v>1200</v>
      </c>
      <c r="S8" s="25">
        <v>1500</v>
      </c>
      <c r="T8" s="25">
        <v>1800</v>
      </c>
    </row>
    <row r="12" spans="1:20" x14ac:dyDescent="0.3">
      <c r="D12" s="128" t="s">
        <v>145</v>
      </c>
      <c r="E12" s="128"/>
      <c r="F12" s="128"/>
    </row>
    <row r="13" spans="1:20" x14ac:dyDescent="0.3">
      <c r="D13" s="128"/>
      <c r="E13" s="128"/>
      <c r="F13" s="128"/>
    </row>
    <row r="14" spans="1:20" x14ac:dyDescent="0.3">
      <c r="D14" s="128"/>
      <c r="E14" s="128"/>
      <c r="F14" s="128"/>
    </row>
    <row r="15" spans="1:20" x14ac:dyDescent="0.3">
      <c r="D15" s="29">
        <v>15</v>
      </c>
      <c r="E15" s="131" t="str">
        <f>HLOOKUP(D15,A5:T8,2,0)</f>
        <v>WINDOW</v>
      </c>
      <c r="F15" s="131"/>
    </row>
    <row r="16" spans="1:20" x14ac:dyDescent="0.3">
      <c r="D16" s="3">
        <v>18</v>
      </c>
      <c r="E16" s="131" t="str">
        <f>HLOOKUP(D16,A5:T8,2,0)</f>
        <v>TYRES</v>
      </c>
      <c r="F16" s="131"/>
    </row>
    <row r="17" spans="4:6" x14ac:dyDescent="0.3">
      <c r="D17" s="3">
        <v>20</v>
      </c>
      <c r="E17" s="131" t="e">
        <f>HLOOKUP(D17,A5:T8,2,0)</f>
        <v>#N/A</v>
      </c>
      <c r="F17" s="131"/>
    </row>
  </sheetData>
  <mergeCells count="5">
    <mergeCell ref="J2:J3"/>
    <mergeCell ref="D12:F14"/>
    <mergeCell ref="E15:F15"/>
    <mergeCell ref="E16:F16"/>
    <mergeCell ref="E17:F17"/>
  </mergeCells>
  <hyperlinks>
    <hyperlink ref="J2:J3" location="'LIST OF SHEET'!A1" display="LIST OF SHEET" xr:uid="{B958DF32-AD1C-4EA2-B401-16FD5A52A7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D4C9-7C26-4AC4-B5BE-F46AE0ADEF01}">
  <dimension ref="A2:K21"/>
  <sheetViews>
    <sheetView workbookViewId="0">
      <selection activeCell="K2" sqref="K2:K3"/>
    </sheetView>
  </sheetViews>
  <sheetFormatPr defaultRowHeight="14.4" x14ac:dyDescent="0.3"/>
  <cols>
    <col min="1" max="1" width="10.109375" customWidth="1"/>
    <col min="2" max="2" width="11.33203125" bestFit="1" customWidth="1"/>
    <col min="8" max="8" width="12.5546875" bestFit="1" customWidth="1"/>
    <col min="9" max="9" width="11.6640625" bestFit="1" customWidth="1"/>
    <col min="11" max="11" width="18.77734375" customWidth="1"/>
  </cols>
  <sheetData>
    <row r="2" spans="1:11" x14ac:dyDescent="0.3">
      <c r="K2" s="126" t="s">
        <v>955</v>
      </c>
    </row>
    <row r="3" spans="1:11" ht="23.4" x14ac:dyDescent="0.45">
      <c r="A3" s="20" t="s">
        <v>306</v>
      </c>
      <c r="K3" s="126"/>
    </row>
    <row r="4" spans="1:11" ht="23.4" x14ac:dyDescent="0.45">
      <c r="A4" s="20" t="s">
        <v>147</v>
      </c>
      <c r="H4" s="32" t="s">
        <v>151</v>
      </c>
      <c r="I4" t="s">
        <v>167</v>
      </c>
    </row>
    <row r="6" spans="1:11" x14ac:dyDescent="0.3">
      <c r="A6" s="24" t="s">
        <v>148</v>
      </c>
      <c r="B6" s="24" t="s">
        <v>149</v>
      </c>
      <c r="C6" s="24" t="s">
        <v>150</v>
      </c>
      <c r="D6" s="24" t="s">
        <v>151</v>
      </c>
      <c r="H6" s="32" t="s">
        <v>164</v>
      </c>
      <c r="I6" t="s">
        <v>166</v>
      </c>
    </row>
    <row r="7" spans="1:11" x14ac:dyDescent="0.3">
      <c r="A7" s="7" t="s">
        <v>152</v>
      </c>
      <c r="B7" s="31">
        <v>16735</v>
      </c>
      <c r="C7" s="7" t="s">
        <v>157</v>
      </c>
      <c r="D7" s="7" t="s">
        <v>159</v>
      </c>
      <c r="H7" s="33" t="s">
        <v>156</v>
      </c>
      <c r="I7" s="35">
        <v>8120</v>
      </c>
    </row>
    <row r="8" spans="1:11" x14ac:dyDescent="0.3">
      <c r="A8" s="7" t="s">
        <v>153</v>
      </c>
      <c r="B8" s="31">
        <v>14808</v>
      </c>
      <c r="C8" s="7" t="s">
        <v>158</v>
      </c>
      <c r="D8" s="7" t="s">
        <v>161</v>
      </c>
      <c r="H8" s="34" t="s">
        <v>158</v>
      </c>
      <c r="I8" s="35">
        <v>8120</v>
      </c>
    </row>
    <row r="9" spans="1:11" x14ac:dyDescent="0.3">
      <c r="A9" s="7" t="s">
        <v>154</v>
      </c>
      <c r="B9" s="31">
        <v>10644</v>
      </c>
      <c r="C9" s="7" t="s">
        <v>157</v>
      </c>
      <c r="D9" s="7" t="s">
        <v>160</v>
      </c>
      <c r="H9" s="33" t="s">
        <v>153</v>
      </c>
      <c r="I9" s="35">
        <v>24147</v>
      </c>
    </row>
    <row r="10" spans="1:11" x14ac:dyDescent="0.3">
      <c r="A10" s="7" t="s">
        <v>155</v>
      </c>
      <c r="B10" s="31">
        <v>1390</v>
      </c>
      <c r="C10" s="7" t="s">
        <v>158</v>
      </c>
      <c r="D10" s="7" t="s">
        <v>159</v>
      </c>
      <c r="H10" s="34" t="s">
        <v>157</v>
      </c>
      <c r="I10" s="35">
        <v>9339</v>
      </c>
    </row>
    <row r="11" spans="1:11" x14ac:dyDescent="0.3">
      <c r="A11" s="7" t="s">
        <v>156</v>
      </c>
      <c r="B11" s="31">
        <v>4865</v>
      </c>
      <c r="C11" s="7" t="s">
        <v>158</v>
      </c>
      <c r="D11" s="7" t="s">
        <v>161</v>
      </c>
      <c r="H11" s="34" t="s">
        <v>158</v>
      </c>
      <c r="I11" s="35">
        <v>14808</v>
      </c>
    </row>
    <row r="12" spans="1:11" x14ac:dyDescent="0.3">
      <c r="A12" s="7" t="s">
        <v>154</v>
      </c>
      <c r="B12" s="31">
        <v>12438</v>
      </c>
      <c r="C12" s="7" t="s">
        <v>157</v>
      </c>
      <c r="D12" s="7" t="s">
        <v>162</v>
      </c>
      <c r="H12" s="33" t="s">
        <v>155</v>
      </c>
      <c r="I12" s="35">
        <v>18036</v>
      </c>
    </row>
    <row r="13" spans="1:11" x14ac:dyDescent="0.3">
      <c r="A13" s="7" t="s">
        <v>153</v>
      </c>
      <c r="B13" s="31">
        <v>9339</v>
      </c>
      <c r="C13" s="7" t="s">
        <v>157</v>
      </c>
      <c r="D13" s="7" t="s">
        <v>160</v>
      </c>
      <c r="H13" s="34" t="s">
        <v>157</v>
      </c>
      <c r="I13" s="35">
        <v>7433</v>
      </c>
    </row>
    <row r="14" spans="1:11" x14ac:dyDescent="0.3">
      <c r="A14" s="7" t="s">
        <v>152</v>
      </c>
      <c r="B14" s="31">
        <v>18919</v>
      </c>
      <c r="C14" s="7" t="s">
        <v>158</v>
      </c>
      <c r="D14" s="7" t="s">
        <v>159</v>
      </c>
      <c r="H14" s="34" t="s">
        <v>158</v>
      </c>
      <c r="I14" s="35">
        <v>10603</v>
      </c>
    </row>
    <row r="15" spans="1:11" x14ac:dyDescent="0.3">
      <c r="A15" s="7" t="s">
        <v>155</v>
      </c>
      <c r="B15" s="31">
        <v>9213</v>
      </c>
      <c r="C15" s="7" t="s">
        <v>158</v>
      </c>
      <c r="D15" s="7" t="s">
        <v>161</v>
      </c>
      <c r="H15" s="33" t="s">
        <v>152</v>
      </c>
      <c r="I15" s="35">
        <v>45352</v>
      </c>
    </row>
    <row r="16" spans="1:11" x14ac:dyDescent="0.3">
      <c r="A16" s="7" t="s">
        <v>155</v>
      </c>
      <c r="B16" s="31">
        <v>7433</v>
      </c>
      <c r="C16" s="7" t="s">
        <v>157</v>
      </c>
      <c r="D16" s="7" t="s">
        <v>162</v>
      </c>
      <c r="H16" s="34" t="s">
        <v>157</v>
      </c>
      <c r="I16" s="35">
        <v>16735</v>
      </c>
    </row>
    <row r="17" spans="1:9" x14ac:dyDescent="0.3">
      <c r="A17" s="7" t="s">
        <v>156</v>
      </c>
      <c r="B17" s="31">
        <v>3255</v>
      </c>
      <c r="C17" s="7" t="s">
        <v>158</v>
      </c>
      <c r="D17" s="7" t="s">
        <v>160</v>
      </c>
      <c r="H17" s="34" t="s">
        <v>158</v>
      </c>
      <c r="I17" s="35">
        <v>28617</v>
      </c>
    </row>
    <row r="18" spans="1:9" x14ac:dyDescent="0.3">
      <c r="A18" s="7" t="s">
        <v>154</v>
      </c>
      <c r="B18" s="31">
        <v>14857</v>
      </c>
      <c r="C18" s="7" t="s">
        <v>158</v>
      </c>
      <c r="D18" s="7" t="s">
        <v>159</v>
      </c>
      <c r="H18" s="33" t="s">
        <v>154</v>
      </c>
      <c r="I18" s="35">
        <v>57241</v>
      </c>
    </row>
    <row r="19" spans="1:9" x14ac:dyDescent="0.3">
      <c r="A19" s="7" t="s">
        <v>154</v>
      </c>
      <c r="B19" s="31">
        <v>19302</v>
      </c>
      <c r="C19" s="7" t="s">
        <v>157</v>
      </c>
      <c r="D19" s="7" t="s">
        <v>161</v>
      </c>
      <c r="H19" s="34" t="s">
        <v>157</v>
      </c>
      <c r="I19" s="35">
        <v>42384</v>
      </c>
    </row>
    <row r="20" spans="1:9" x14ac:dyDescent="0.3">
      <c r="A20" s="7" t="s">
        <v>152</v>
      </c>
      <c r="B20" s="31">
        <v>9698</v>
      </c>
      <c r="C20" s="7" t="s">
        <v>158</v>
      </c>
      <c r="D20" s="7" t="s">
        <v>162</v>
      </c>
      <c r="H20" s="34" t="s">
        <v>158</v>
      </c>
      <c r="I20" s="35">
        <v>14857</v>
      </c>
    </row>
    <row r="21" spans="1:9" x14ac:dyDescent="0.3">
      <c r="H21" s="33" t="s">
        <v>165</v>
      </c>
      <c r="I21" s="35">
        <v>152896</v>
      </c>
    </row>
  </sheetData>
  <mergeCells count="1">
    <mergeCell ref="K2:K3"/>
  </mergeCells>
  <phoneticPr fontId="11" type="noConversion"/>
  <hyperlinks>
    <hyperlink ref="K2:K3" location="'LIST OF SHEET'!A1" display="LIST OF SHEET" xr:uid="{3F56BAF7-F749-418C-B742-EBE9F69DAA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19A-3D52-4B85-B633-0A626D9D4160}">
  <dimension ref="A1:L35"/>
  <sheetViews>
    <sheetView workbookViewId="0">
      <selection activeCell="I2" sqref="I2:I3"/>
    </sheetView>
  </sheetViews>
  <sheetFormatPr defaultRowHeight="14.4" x14ac:dyDescent="0.3"/>
  <cols>
    <col min="2" max="2" width="11.77734375" customWidth="1"/>
    <col min="3" max="4" width="12" customWidth="1"/>
    <col min="9" max="9" width="14.77734375" customWidth="1"/>
  </cols>
  <sheetData>
    <row r="1" spans="1:9" ht="23.4" x14ac:dyDescent="0.45">
      <c r="A1" s="20" t="s">
        <v>307</v>
      </c>
    </row>
    <row r="2" spans="1:9" ht="23.4" x14ac:dyDescent="0.45">
      <c r="A2" s="20" t="s">
        <v>168</v>
      </c>
      <c r="I2" s="126" t="s">
        <v>955</v>
      </c>
    </row>
    <row r="3" spans="1:9" x14ac:dyDescent="0.3">
      <c r="I3" s="126"/>
    </row>
    <row r="4" spans="1:9" x14ac:dyDescent="0.3">
      <c r="A4" s="54" t="s">
        <v>169</v>
      </c>
      <c r="B4" s="54" t="s">
        <v>171</v>
      </c>
      <c r="C4" s="54" t="s">
        <v>172</v>
      </c>
      <c r="D4" s="54" t="s">
        <v>173</v>
      </c>
      <c r="E4" s="54" t="s">
        <v>174</v>
      </c>
      <c r="F4" s="54" t="s">
        <v>175</v>
      </c>
      <c r="G4" s="54" t="s">
        <v>176</v>
      </c>
    </row>
    <row r="5" spans="1:9" x14ac:dyDescent="0.3">
      <c r="A5" s="54" t="s">
        <v>170</v>
      </c>
      <c r="B5" s="3">
        <v>240</v>
      </c>
      <c r="C5" s="3">
        <v>180</v>
      </c>
      <c r="D5" s="3">
        <v>310</v>
      </c>
      <c r="E5" s="3">
        <v>445</v>
      </c>
      <c r="F5" s="3">
        <v>650</v>
      </c>
      <c r="G5" s="3">
        <v>700</v>
      </c>
    </row>
    <row r="7" spans="1:9" x14ac:dyDescent="0.3">
      <c r="A7" s="54" t="s">
        <v>169</v>
      </c>
      <c r="B7" s="54" t="s">
        <v>174</v>
      </c>
    </row>
    <row r="8" spans="1:9" x14ac:dyDescent="0.3">
      <c r="A8" s="54" t="s">
        <v>170</v>
      </c>
      <c r="B8" s="3">
        <f>HLOOKUP(B7,A4:G5,2,0)</f>
        <v>445</v>
      </c>
    </row>
    <row r="10" spans="1:9" x14ac:dyDescent="0.3">
      <c r="A10" s="54" t="s">
        <v>177</v>
      </c>
      <c r="B10" s="54" t="s">
        <v>180</v>
      </c>
      <c r="C10" s="54" t="s">
        <v>181</v>
      </c>
      <c r="D10" s="54" t="s">
        <v>182</v>
      </c>
      <c r="E10" s="54" t="s">
        <v>183</v>
      </c>
      <c r="F10" s="54" t="s">
        <v>184</v>
      </c>
      <c r="G10" s="54" t="s">
        <v>185</v>
      </c>
    </row>
    <row r="11" spans="1:9" x14ac:dyDescent="0.3">
      <c r="A11" s="54" t="s">
        <v>178</v>
      </c>
      <c r="B11" s="3">
        <v>36</v>
      </c>
      <c r="C11" s="3">
        <v>45</v>
      </c>
      <c r="D11" s="3">
        <v>52</v>
      </c>
      <c r="E11" s="3">
        <v>66</v>
      </c>
      <c r="F11" s="3">
        <v>75</v>
      </c>
      <c r="G11" s="3">
        <v>40</v>
      </c>
    </row>
    <row r="12" spans="1:9" x14ac:dyDescent="0.3">
      <c r="A12" s="54" t="s">
        <v>11</v>
      </c>
      <c r="B12" s="3">
        <v>82</v>
      </c>
      <c r="C12" s="3">
        <v>71</v>
      </c>
      <c r="D12" s="3">
        <v>56</v>
      </c>
      <c r="E12" s="3">
        <v>32</v>
      </c>
      <c r="F12" s="3">
        <v>81</v>
      </c>
      <c r="G12" s="3">
        <v>66</v>
      </c>
    </row>
    <row r="13" spans="1:9" x14ac:dyDescent="0.3">
      <c r="A13" s="54" t="s">
        <v>179</v>
      </c>
      <c r="B13" s="3">
        <v>32</v>
      </c>
      <c r="C13" s="3">
        <v>45</v>
      </c>
      <c r="D13" s="3">
        <v>52</v>
      </c>
      <c r="E13" s="3">
        <v>51</v>
      </c>
      <c r="F13" s="3">
        <v>71</v>
      </c>
      <c r="G13" s="3">
        <v>74</v>
      </c>
    </row>
    <row r="15" spans="1:9" x14ac:dyDescent="0.3">
      <c r="A15" s="132" t="s">
        <v>186</v>
      </c>
      <c r="B15" s="132"/>
      <c r="C15" s="54" t="s">
        <v>183</v>
      </c>
      <c r="D15" s="3">
        <f>HLOOKUP(C15,A10:G13,3,0)</f>
        <v>32</v>
      </c>
    </row>
    <row r="17" spans="1:12" x14ac:dyDescent="0.3">
      <c r="A17" s="54" t="s">
        <v>177</v>
      </c>
      <c r="B17" s="54" t="s">
        <v>180</v>
      </c>
      <c r="C17" s="54" t="s">
        <v>181</v>
      </c>
      <c r="D17" s="54" t="s">
        <v>182</v>
      </c>
      <c r="E17" s="54" t="s">
        <v>183</v>
      </c>
      <c r="F17" s="54" t="s">
        <v>184</v>
      </c>
      <c r="G17" s="54" t="s">
        <v>185</v>
      </c>
    </row>
    <row r="18" spans="1:12" x14ac:dyDescent="0.3">
      <c r="A18" s="54" t="s">
        <v>178</v>
      </c>
      <c r="B18" s="3">
        <v>36</v>
      </c>
      <c r="C18" s="3">
        <v>45</v>
      </c>
      <c r="D18" s="3">
        <v>52</v>
      </c>
      <c r="E18" s="3">
        <v>66</v>
      </c>
      <c r="F18" s="3">
        <v>75</v>
      </c>
      <c r="G18" s="3">
        <v>40</v>
      </c>
    </row>
    <row r="19" spans="1:12" x14ac:dyDescent="0.3">
      <c r="A19" s="54" t="s">
        <v>11</v>
      </c>
      <c r="B19" s="3">
        <v>82</v>
      </c>
      <c r="C19" s="3">
        <v>71</v>
      </c>
      <c r="D19" s="3">
        <v>56</v>
      </c>
      <c r="E19" s="3">
        <v>32</v>
      </c>
      <c r="F19" s="3">
        <v>81</v>
      </c>
      <c r="G19" s="3">
        <v>66</v>
      </c>
    </row>
    <row r="20" spans="1:12" x14ac:dyDescent="0.3">
      <c r="A20" s="54" t="s">
        <v>179</v>
      </c>
      <c r="B20" s="3">
        <v>32</v>
      </c>
      <c r="C20" s="3">
        <v>45</v>
      </c>
      <c r="D20" s="3">
        <v>52</v>
      </c>
      <c r="E20" s="3">
        <v>51</v>
      </c>
      <c r="F20" s="3">
        <v>71</v>
      </c>
      <c r="G20" s="3">
        <v>74</v>
      </c>
    </row>
    <row r="22" spans="1:12" x14ac:dyDescent="0.3">
      <c r="A22" s="132" t="s">
        <v>187</v>
      </c>
      <c r="B22" s="132"/>
      <c r="C22" s="54" t="s">
        <v>183</v>
      </c>
      <c r="D22" s="3">
        <f>HLOOKUP(C22,A17:G20,4,0)</f>
        <v>51</v>
      </c>
    </row>
    <row r="24" spans="1:12" ht="23.4" x14ac:dyDescent="0.45">
      <c r="A24" s="133" t="s">
        <v>124</v>
      </c>
      <c r="B24" s="134"/>
      <c r="C24" s="134"/>
    </row>
    <row r="26" spans="1:12" ht="14.4" customHeight="1" x14ac:dyDescent="0.3">
      <c r="A26" s="24" t="s">
        <v>188</v>
      </c>
      <c r="B26" s="24" t="s">
        <v>189</v>
      </c>
      <c r="C26" s="24" t="s">
        <v>190</v>
      </c>
      <c r="E26" s="135" t="s">
        <v>203</v>
      </c>
      <c r="F26" s="135"/>
      <c r="G26" s="136" t="s">
        <v>202</v>
      </c>
      <c r="H26" s="127">
        <f>SUMIF(A27:A34, "Ben", C27:C34)</f>
        <v>24383</v>
      </c>
      <c r="I26" s="27"/>
      <c r="J26" s="138" t="s">
        <v>205</v>
      </c>
      <c r="K26" s="138"/>
      <c r="L26" s="127">
        <f>SUMIF(A27:A34, "Jenny", C27:C34)</f>
        <v>11224</v>
      </c>
    </row>
    <row r="27" spans="1:12" x14ac:dyDescent="0.3">
      <c r="A27" s="7" t="s">
        <v>191</v>
      </c>
      <c r="B27" s="7" t="s">
        <v>194</v>
      </c>
      <c r="C27" s="7">
        <v>4615</v>
      </c>
      <c r="E27" s="135"/>
      <c r="F27" s="135"/>
      <c r="G27" s="136"/>
      <c r="H27" s="127"/>
      <c r="I27" s="27"/>
      <c r="J27" s="138"/>
      <c r="K27" s="138"/>
      <c r="L27" s="127"/>
    </row>
    <row r="28" spans="1:12" x14ac:dyDescent="0.3">
      <c r="A28" s="7" t="s">
        <v>192</v>
      </c>
      <c r="B28" s="7" t="s">
        <v>195</v>
      </c>
      <c r="C28" s="7">
        <v>2345</v>
      </c>
    </row>
    <row r="29" spans="1:12" x14ac:dyDescent="0.3">
      <c r="A29" s="7" t="s">
        <v>191</v>
      </c>
      <c r="B29" s="7" t="s">
        <v>196</v>
      </c>
      <c r="C29" s="7">
        <v>11282</v>
      </c>
    </row>
    <row r="30" spans="1:12" ht="14.4" customHeight="1" x14ac:dyDescent="0.3">
      <c r="A30" s="7" t="s">
        <v>192</v>
      </c>
      <c r="B30" s="7" t="s">
        <v>197</v>
      </c>
      <c r="C30" s="7">
        <v>4159</v>
      </c>
      <c r="E30" s="135" t="s">
        <v>203</v>
      </c>
      <c r="F30" s="135"/>
      <c r="G30" s="137" t="s">
        <v>204</v>
      </c>
      <c r="H30" s="127">
        <f>SUMIF(A27:A34, "Ben", C27:C34) + SUMIF(A27:A34, "Jenny", C27:C34)</f>
        <v>35607</v>
      </c>
      <c r="J30" s="138" t="s">
        <v>206</v>
      </c>
      <c r="K30" s="138"/>
      <c r="L30" s="127">
        <f>SUMIF(A27:A34, "Ben", C27:C34) + SUMIF(A27:A34, "Jenny", C27:C34)</f>
        <v>35607</v>
      </c>
    </row>
    <row r="31" spans="1:12" x14ac:dyDescent="0.3">
      <c r="A31" s="7" t="s">
        <v>193</v>
      </c>
      <c r="B31" s="7" t="s">
        <v>198</v>
      </c>
      <c r="C31" s="7">
        <v>7802</v>
      </c>
      <c r="E31" s="135"/>
      <c r="F31" s="135"/>
      <c r="G31" s="137"/>
      <c r="H31" s="127"/>
      <c r="J31" s="138"/>
      <c r="K31" s="138"/>
      <c r="L31" s="127"/>
    </row>
    <row r="32" spans="1:12" x14ac:dyDescent="0.3">
      <c r="A32" s="7" t="s">
        <v>191</v>
      </c>
      <c r="B32" s="7" t="s">
        <v>199</v>
      </c>
      <c r="C32" s="7">
        <v>8486</v>
      </c>
    </row>
    <row r="33" spans="1:12" x14ac:dyDescent="0.3">
      <c r="A33" s="7" t="s">
        <v>192</v>
      </c>
      <c r="B33" s="7" t="s">
        <v>200</v>
      </c>
      <c r="C33" s="7">
        <v>3384</v>
      </c>
    </row>
    <row r="34" spans="1:12" x14ac:dyDescent="0.3">
      <c r="A34" s="7" t="s">
        <v>193</v>
      </c>
      <c r="B34" s="7" t="s">
        <v>201</v>
      </c>
      <c r="C34" s="7">
        <v>3422</v>
      </c>
      <c r="E34" s="135" t="s">
        <v>203</v>
      </c>
      <c r="F34" s="135"/>
      <c r="G34" s="137" t="s">
        <v>204</v>
      </c>
      <c r="H34" s="127">
        <f>SUMIF(A27:A34, "Ben", C27:C34) + SUMIF(A27:A34, "Jenny", C27:C34)</f>
        <v>35607</v>
      </c>
      <c r="J34" s="138" t="s">
        <v>207</v>
      </c>
      <c r="K34" s="138"/>
      <c r="L34" s="127">
        <f>SUMIF(A27:A34, "Jeff", C27:C34) + SUMIF(A27:A34, "Jenny", C27:C34)</f>
        <v>21112</v>
      </c>
    </row>
    <row r="35" spans="1:12" x14ac:dyDescent="0.3">
      <c r="E35" s="135"/>
      <c r="F35" s="135"/>
      <c r="G35" s="137"/>
      <c r="H35" s="127"/>
      <c r="J35" s="138"/>
      <c r="K35" s="138"/>
      <c r="L35" s="127"/>
    </row>
  </sheetData>
  <mergeCells count="19">
    <mergeCell ref="L26:L27"/>
    <mergeCell ref="J30:K31"/>
    <mergeCell ref="L30:L31"/>
    <mergeCell ref="J34:K35"/>
    <mergeCell ref="L34:L35"/>
    <mergeCell ref="J26:K27"/>
    <mergeCell ref="E30:F31"/>
    <mergeCell ref="G30:G31"/>
    <mergeCell ref="H30:H31"/>
    <mergeCell ref="E34:F35"/>
    <mergeCell ref="G34:G35"/>
    <mergeCell ref="H34:H35"/>
    <mergeCell ref="I2:I3"/>
    <mergeCell ref="A15:B15"/>
    <mergeCell ref="A22:B22"/>
    <mergeCell ref="A24:C24"/>
    <mergeCell ref="E26:F27"/>
    <mergeCell ref="G26:G27"/>
    <mergeCell ref="H26:H27"/>
  </mergeCells>
  <phoneticPr fontId="11" type="noConversion"/>
  <hyperlinks>
    <hyperlink ref="I2:I3" location="'LIST OF SHEET'!A1" display="LIST OF SHEET" xr:uid="{AB3E5DC8-F913-489B-8B06-66D6C267C0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B4F5-AF4F-4777-88D6-2002E5240464}">
  <dimension ref="A1:L11"/>
  <sheetViews>
    <sheetView workbookViewId="0">
      <selection activeCell="L2" sqref="L2:L3"/>
    </sheetView>
  </sheetViews>
  <sheetFormatPr defaultRowHeight="14.4" x14ac:dyDescent="0.3"/>
  <cols>
    <col min="2" max="2" width="10.44140625" customWidth="1"/>
    <col min="12" max="12" width="18.6640625" customWidth="1"/>
  </cols>
  <sheetData>
    <row r="1" spans="1:12" ht="23.4" x14ac:dyDescent="0.45">
      <c r="A1" s="20" t="s">
        <v>308</v>
      </c>
    </row>
    <row r="2" spans="1:12" ht="23.4" x14ac:dyDescent="0.45">
      <c r="A2" s="20" t="s">
        <v>208</v>
      </c>
      <c r="L2" s="126" t="s">
        <v>955</v>
      </c>
    </row>
    <row r="3" spans="1:12" ht="23.4" x14ac:dyDescent="0.45">
      <c r="A3" s="20" t="s">
        <v>209</v>
      </c>
      <c r="L3" s="126"/>
    </row>
    <row r="5" spans="1:12" ht="28.8" x14ac:dyDescent="0.3">
      <c r="A5" s="37" t="s">
        <v>210</v>
      </c>
      <c r="B5" s="37" t="s">
        <v>211</v>
      </c>
      <c r="C5" s="37" t="s">
        <v>212</v>
      </c>
      <c r="D5" s="37" t="s">
        <v>213</v>
      </c>
      <c r="E5" s="37" t="s">
        <v>214</v>
      </c>
      <c r="F5" s="37" t="s">
        <v>17</v>
      </c>
      <c r="H5" s="38" t="s">
        <v>223</v>
      </c>
      <c r="I5" s="37" t="s">
        <v>214</v>
      </c>
      <c r="J5" s="37" t="s">
        <v>17</v>
      </c>
    </row>
    <row r="6" spans="1:12" x14ac:dyDescent="0.3">
      <c r="A6" s="3">
        <v>1</v>
      </c>
      <c r="B6" s="3" t="s">
        <v>215</v>
      </c>
      <c r="C6" s="3" t="s">
        <v>149</v>
      </c>
      <c r="D6" s="36">
        <v>15625</v>
      </c>
      <c r="E6" s="40">
        <f>VLOOKUP(D6,$H$5:$J$11,2,TRUE)</f>
        <v>0.2</v>
      </c>
      <c r="F6" s="3" t="str">
        <f>VLOOKUP(D6,$H$5:$J$11,3,1)</f>
        <v>D</v>
      </c>
      <c r="H6" s="3">
        <v>1</v>
      </c>
      <c r="I6" s="39">
        <v>0.05</v>
      </c>
      <c r="J6" s="3" t="s">
        <v>224</v>
      </c>
    </row>
    <row r="7" spans="1:12" x14ac:dyDescent="0.3">
      <c r="A7" s="3">
        <v>2</v>
      </c>
      <c r="B7" s="3" t="s">
        <v>216</v>
      </c>
      <c r="C7" s="3" t="s">
        <v>149</v>
      </c>
      <c r="D7" s="36">
        <v>12500</v>
      </c>
      <c r="E7" s="40">
        <f t="shared" ref="E7:E11" si="0">VLOOKUP(D7,$H$5:$J$11,2,TRUE)</f>
        <v>0.15</v>
      </c>
      <c r="F7" s="3" t="str">
        <f t="shared" ref="F7:F11" si="1">VLOOKUP(D7,$H$5:$J$11,3,1)</f>
        <v>C</v>
      </c>
      <c r="H7" s="3">
        <v>5001</v>
      </c>
      <c r="I7" s="39">
        <v>0.1</v>
      </c>
      <c r="J7" s="3" t="s">
        <v>225</v>
      </c>
    </row>
    <row r="8" spans="1:12" x14ac:dyDescent="0.3">
      <c r="A8" s="3">
        <v>3</v>
      </c>
      <c r="B8" s="3" t="s">
        <v>217</v>
      </c>
      <c r="C8" s="3" t="s">
        <v>221</v>
      </c>
      <c r="D8" s="36">
        <v>8750</v>
      </c>
      <c r="E8" s="40">
        <f t="shared" si="0"/>
        <v>0.1</v>
      </c>
      <c r="F8" s="3" t="str">
        <f t="shared" si="1"/>
        <v>B</v>
      </c>
      <c r="H8" s="3">
        <v>10001</v>
      </c>
      <c r="I8" s="39">
        <v>0.15</v>
      </c>
      <c r="J8" s="3" t="s">
        <v>226</v>
      </c>
    </row>
    <row r="9" spans="1:12" x14ac:dyDescent="0.3">
      <c r="A9" s="3">
        <v>4</v>
      </c>
      <c r="B9" s="3" t="s">
        <v>218</v>
      </c>
      <c r="C9" s="3" t="s">
        <v>222</v>
      </c>
      <c r="D9" s="36">
        <v>15000</v>
      </c>
      <c r="E9" s="40">
        <f t="shared" si="0"/>
        <v>0.15</v>
      </c>
      <c r="F9" s="3" t="str">
        <f t="shared" si="1"/>
        <v>C</v>
      </c>
      <c r="H9" s="3">
        <v>15001</v>
      </c>
      <c r="I9" s="39">
        <v>0.2</v>
      </c>
      <c r="J9" s="3" t="s">
        <v>227</v>
      </c>
    </row>
    <row r="10" spans="1:12" x14ac:dyDescent="0.3">
      <c r="A10" s="3">
        <v>5</v>
      </c>
      <c r="B10" s="3" t="s">
        <v>219</v>
      </c>
      <c r="C10" s="3" t="s">
        <v>222</v>
      </c>
      <c r="D10" s="36">
        <v>8875</v>
      </c>
      <c r="E10" s="40">
        <f>VLOOKUP(D10,$H$5:$J$11,2,TRUE)</f>
        <v>0.1</v>
      </c>
      <c r="F10" s="3" t="str">
        <f t="shared" si="1"/>
        <v>B</v>
      </c>
      <c r="H10" s="3">
        <v>20001</v>
      </c>
      <c r="I10" s="39">
        <v>0.25</v>
      </c>
      <c r="J10" s="3" t="s">
        <v>228</v>
      </c>
    </row>
    <row r="11" spans="1:12" x14ac:dyDescent="0.3">
      <c r="A11" s="3">
        <v>6</v>
      </c>
      <c r="B11" s="3" t="s">
        <v>220</v>
      </c>
      <c r="C11" s="3" t="s">
        <v>222</v>
      </c>
      <c r="D11" s="36">
        <v>8875</v>
      </c>
      <c r="E11" s="40">
        <f t="shared" si="0"/>
        <v>0.1</v>
      </c>
      <c r="F11" s="3" t="str">
        <f t="shared" si="1"/>
        <v>B</v>
      </c>
      <c r="H11" s="3">
        <v>25001</v>
      </c>
      <c r="I11" s="39">
        <v>0.3</v>
      </c>
      <c r="J11" s="3" t="s">
        <v>121</v>
      </c>
    </row>
  </sheetData>
  <mergeCells count="1">
    <mergeCell ref="L2:L3"/>
  </mergeCells>
  <hyperlinks>
    <hyperlink ref="L2:L3" location="'LIST OF SHEET'!A1" display="LIST OF SHEET" xr:uid="{35D3D150-BEE7-4CC3-B793-0EE42D47611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9979-D7E1-451B-9C63-D3BB451826B1}">
  <dimension ref="A2:G62"/>
  <sheetViews>
    <sheetView workbookViewId="0">
      <selection activeCell="G2" sqref="G2:G3"/>
    </sheetView>
  </sheetViews>
  <sheetFormatPr defaultRowHeight="14.4" x14ac:dyDescent="0.3"/>
  <cols>
    <col min="1" max="1" width="15.33203125" customWidth="1"/>
    <col min="2" max="2" width="22" customWidth="1"/>
    <col min="3" max="3" width="13.21875" customWidth="1"/>
    <col min="7" max="7" width="17.109375" customWidth="1"/>
  </cols>
  <sheetData>
    <row r="2" spans="1:7" ht="31.2" x14ac:dyDescent="0.3">
      <c r="A2" s="41" t="s">
        <v>309</v>
      </c>
      <c r="G2" s="126" t="s">
        <v>955</v>
      </c>
    </row>
    <row r="3" spans="1:7" x14ac:dyDescent="0.3">
      <c r="G3" s="126"/>
    </row>
    <row r="4" spans="1:7" ht="22.2" customHeight="1" x14ac:dyDescent="0.3">
      <c r="B4" s="42" t="s">
        <v>235</v>
      </c>
    </row>
    <row r="5" spans="1:7" ht="29.4" customHeight="1" x14ac:dyDescent="0.3">
      <c r="A5" s="51" t="s">
        <v>229</v>
      </c>
      <c r="B5" s="52" t="s">
        <v>230</v>
      </c>
      <c r="C5" s="51" t="s">
        <v>231</v>
      </c>
    </row>
    <row r="6" spans="1:7" x14ac:dyDescent="0.3">
      <c r="A6" s="5" t="s">
        <v>232</v>
      </c>
      <c r="B6" s="5">
        <v>1</v>
      </c>
      <c r="C6" s="5" t="str">
        <f>LEFT(A6,B6)</f>
        <v>A</v>
      </c>
    </row>
    <row r="7" spans="1:7" x14ac:dyDescent="0.3">
      <c r="A7" s="5" t="s">
        <v>232</v>
      </c>
      <c r="B7" s="5">
        <v>2</v>
      </c>
      <c r="C7" s="5" t="str">
        <f t="shared" ref="C7:C10" si="0">LEFT(A7,B7)</f>
        <v>Al</v>
      </c>
    </row>
    <row r="8" spans="1:7" x14ac:dyDescent="0.3">
      <c r="A8" s="5" t="s">
        <v>232</v>
      </c>
      <c r="B8" s="5">
        <v>3</v>
      </c>
      <c r="C8" s="5" t="str">
        <f t="shared" si="0"/>
        <v>Ala</v>
      </c>
    </row>
    <row r="9" spans="1:7" x14ac:dyDescent="0.3">
      <c r="A9" s="5" t="s">
        <v>233</v>
      </c>
      <c r="B9" s="5">
        <v>6</v>
      </c>
      <c r="C9" s="5" t="str">
        <f t="shared" si="0"/>
        <v>Cardif</v>
      </c>
    </row>
    <row r="10" spans="1:7" x14ac:dyDescent="0.3">
      <c r="A10" s="5" t="s">
        <v>234</v>
      </c>
      <c r="B10" s="5">
        <v>4</v>
      </c>
      <c r="C10" s="5" t="str">
        <f t="shared" si="0"/>
        <v xml:space="preserve">ABC </v>
      </c>
    </row>
    <row r="12" spans="1:7" x14ac:dyDescent="0.3">
      <c r="B12" s="42" t="s">
        <v>236</v>
      </c>
    </row>
    <row r="13" spans="1:7" x14ac:dyDescent="0.3">
      <c r="A13" s="51" t="s">
        <v>237</v>
      </c>
      <c r="B13" s="51" t="s">
        <v>238</v>
      </c>
    </row>
    <row r="14" spans="1:7" x14ac:dyDescent="0.3">
      <c r="A14" s="5" t="s">
        <v>232</v>
      </c>
      <c r="B14" s="5" t="str">
        <f>LEFT(A14, FIND(" ",A14) -1)</f>
        <v>Alan</v>
      </c>
    </row>
    <row r="15" spans="1:7" x14ac:dyDescent="0.3">
      <c r="A15" s="5" t="s">
        <v>239</v>
      </c>
      <c r="B15" s="5" t="str">
        <f t="shared" ref="B15:B16" si="1">LEFT(A15, FIND(" ",A15) -1)</f>
        <v>Bob</v>
      </c>
    </row>
    <row r="16" spans="1:7" x14ac:dyDescent="0.3">
      <c r="A16" s="5" t="s">
        <v>240</v>
      </c>
      <c r="B16" s="5" t="str">
        <f t="shared" si="1"/>
        <v>Carol</v>
      </c>
    </row>
    <row r="18" spans="1:2" x14ac:dyDescent="0.3">
      <c r="B18" s="42" t="s">
        <v>241</v>
      </c>
    </row>
    <row r="19" spans="1:2" x14ac:dyDescent="0.3">
      <c r="A19" s="53" t="s">
        <v>229</v>
      </c>
      <c r="B19" s="53" t="s">
        <v>242</v>
      </c>
    </row>
    <row r="20" spans="1:2" x14ac:dyDescent="0.3">
      <c r="A20" s="7" t="s">
        <v>232</v>
      </c>
      <c r="B20" s="7">
        <f>LEN(A20)</f>
        <v>10</v>
      </c>
    </row>
    <row r="21" spans="1:2" x14ac:dyDescent="0.3">
      <c r="A21" s="7" t="s">
        <v>239</v>
      </c>
      <c r="B21" s="7">
        <f t="shared" ref="B21:B24" si="2">LEN(A21)</f>
        <v>9</v>
      </c>
    </row>
    <row r="22" spans="1:2" x14ac:dyDescent="0.3">
      <c r="A22" s="7" t="s">
        <v>240</v>
      </c>
      <c r="B22" s="7">
        <f t="shared" si="2"/>
        <v>14</v>
      </c>
    </row>
    <row r="23" spans="1:2" x14ac:dyDescent="0.3">
      <c r="A23" s="7" t="s">
        <v>233</v>
      </c>
      <c r="B23" s="7">
        <f t="shared" si="2"/>
        <v>7</v>
      </c>
    </row>
    <row r="24" spans="1:2" x14ac:dyDescent="0.3">
      <c r="A24" s="7" t="s">
        <v>234</v>
      </c>
      <c r="B24" s="7">
        <f t="shared" si="2"/>
        <v>7</v>
      </c>
    </row>
    <row r="26" spans="1:2" x14ac:dyDescent="0.3">
      <c r="B26" s="42" t="s">
        <v>243</v>
      </c>
    </row>
    <row r="27" spans="1:2" x14ac:dyDescent="0.3">
      <c r="A27" s="53" t="s">
        <v>244</v>
      </c>
      <c r="B27" s="53" t="s">
        <v>245</v>
      </c>
    </row>
    <row r="28" spans="1:2" x14ac:dyDescent="0.3">
      <c r="A28" s="7" t="s">
        <v>246</v>
      </c>
      <c r="B28" s="7" t="str">
        <f>LOWER(A28)</f>
        <v>alan jones</v>
      </c>
    </row>
    <row r="29" spans="1:2" x14ac:dyDescent="0.3">
      <c r="A29" s="7" t="s">
        <v>247</v>
      </c>
      <c r="B29" s="7" t="str">
        <f t="shared" ref="B29:B32" si="3">LOWER(A29)</f>
        <v>bob smith</v>
      </c>
    </row>
    <row r="30" spans="1:2" x14ac:dyDescent="0.3">
      <c r="A30" s="7" t="s">
        <v>248</v>
      </c>
      <c r="B30" s="7" t="str">
        <f t="shared" si="3"/>
        <v>carol williams</v>
      </c>
    </row>
    <row r="31" spans="1:2" x14ac:dyDescent="0.3">
      <c r="A31" s="7" t="s">
        <v>249</v>
      </c>
      <c r="B31" s="7" t="str">
        <f t="shared" si="3"/>
        <v>cardiff</v>
      </c>
    </row>
    <row r="32" spans="1:2" x14ac:dyDescent="0.3">
      <c r="A32" s="7" t="s">
        <v>234</v>
      </c>
      <c r="B32" s="7" t="str">
        <f t="shared" si="3"/>
        <v>abc 123</v>
      </c>
    </row>
    <row r="35" spans="1:3" x14ac:dyDescent="0.3">
      <c r="B35" s="42" t="s">
        <v>250</v>
      </c>
    </row>
    <row r="36" spans="1:3" x14ac:dyDescent="0.3">
      <c r="A36" s="53" t="s">
        <v>251</v>
      </c>
      <c r="B36" s="53" t="s">
        <v>252</v>
      </c>
      <c r="C36" s="53" t="s">
        <v>253</v>
      </c>
    </row>
    <row r="37" spans="1:3" x14ac:dyDescent="0.3">
      <c r="A37" s="7">
        <v>3</v>
      </c>
      <c r="B37" s="7">
        <v>2</v>
      </c>
      <c r="C37" s="7">
        <f>POWER(A37,B37)</f>
        <v>9</v>
      </c>
    </row>
    <row r="38" spans="1:3" x14ac:dyDescent="0.3">
      <c r="A38" s="7">
        <v>3</v>
      </c>
      <c r="B38" s="7">
        <v>4</v>
      </c>
      <c r="C38" s="7">
        <f t="shared" ref="C38:C40" si="4">POWER(A38,B38)</f>
        <v>81</v>
      </c>
    </row>
    <row r="39" spans="1:3" x14ac:dyDescent="0.3">
      <c r="A39" s="7">
        <v>5</v>
      </c>
      <c r="B39" s="7">
        <v>2</v>
      </c>
      <c r="C39" s="7">
        <f t="shared" si="4"/>
        <v>25</v>
      </c>
    </row>
    <row r="40" spans="1:3" x14ac:dyDescent="0.3">
      <c r="A40" s="7">
        <v>5</v>
      </c>
      <c r="B40" s="7">
        <v>4</v>
      </c>
      <c r="C40" s="7">
        <f t="shared" si="4"/>
        <v>625</v>
      </c>
    </row>
    <row r="42" spans="1:3" x14ac:dyDescent="0.3">
      <c r="B42" s="42" t="s">
        <v>254</v>
      </c>
    </row>
    <row r="43" spans="1:3" x14ac:dyDescent="0.3">
      <c r="A43" s="132" t="s">
        <v>255</v>
      </c>
      <c r="B43" s="132"/>
      <c r="C43" s="53" t="s">
        <v>256</v>
      </c>
    </row>
    <row r="44" spans="1:3" x14ac:dyDescent="0.3">
      <c r="A44" s="7">
        <v>2</v>
      </c>
      <c r="B44" s="7">
        <v>3</v>
      </c>
      <c r="C44" s="7">
        <f>PRODUCT(A44,B44)</f>
        <v>6</v>
      </c>
    </row>
    <row r="45" spans="1:3" x14ac:dyDescent="0.3">
      <c r="A45" s="7">
        <v>5</v>
      </c>
      <c r="B45" s="7">
        <v>10</v>
      </c>
      <c r="C45" s="7">
        <f t="shared" ref="C45:C46" si="5">PRODUCT(A45,B45)</f>
        <v>50</v>
      </c>
    </row>
    <row r="46" spans="1:3" x14ac:dyDescent="0.3">
      <c r="A46" s="7">
        <v>3</v>
      </c>
      <c r="B46" s="7">
        <v>7</v>
      </c>
      <c r="C46" s="7">
        <f t="shared" si="5"/>
        <v>21</v>
      </c>
    </row>
    <row r="47" spans="1:3" x14ac:dyDescent="0.3">
      <c r="A47" s="19"/>
      <c r="B47" s="19"/>
      <c r="C47" s="7">
        <f>PRODUCT(C44:C46)</f>
        <v>6300</v>
      </c>
    </row>
    <row r="49" spans="1:3" x14ac:dyDescent="0.3">
      <c r="B49" s="42" t="s">
        <v>257</v>
      </c>
    </row>
    <row r="50" spans="1:3" x14ac:dyDescent="0.3">
      <c r="A50" s="53" t="s">
        <v>258</v>
      </c>
      <c r="B50" s="53" t="s">
        <v>259</v>
      </c>
    </row>
    <row r="51" spans="1:3" x14ac:dyDescent="0.3">
      <c r="A51" s="7" t="s">
        <v>260</v>
      </c>
      <c r="B51" s="7" t="str">
        <f>PROPER(A51)</f>
        <v>Alan Jones</v>
      </c>
    </row>
    <row r="52" spans="1:3" x14ac:dyDescent="0.3">
      <c r="A52" s="7" t="s">
        <v>261</v>
      </c>
      <c r="B52" s="7" t="str">
        <f t="shared" ref="B52:B55" si="6">PROPER(A52)</f>
        <v>Bob Smith</v>
      </c>
    </row>
    <row r="53" spans="1:3" x14ac:dyDescent="0.3">
      <c r="A53" s="7" t="s">
        <v>262</v>
      </c>
      <c r="B53" s="7" t="str">
        <f t="shared" si="6"/>
        <v>Carol Williams</v>
      </c>
    </row>
    <row r="54" spans="1:3" x14ac:dyDescent="0.3">
      <c r="A54" s="7" t="s">
        <v>263</v>
      </c>
      <c r="B54" s="7" t="str">
        <f t="shared" si="6"/>
        <v>Cardiff</v>
      </c>
    </row>
    <row r="55" spans="1:3" x14ac:dyDescent="0.3">
      <c r="A55" s="7" t="s">
        <v>234</v>
      </c>
      <c r="B55" s="7" t="str">
        <f t="shared" si="6"/>
        <v>Abc 123</v>
      </c>
    </row>
    <row r="57" spans="1:3" x14ac:dyDescent="0.3">
      <c r="B57" s="42" t="s">
        <v>264</v>
      </c>
    </row>
    <row r="58" spans="1:3" x14ac:dyDescent="0.3">
      <c r="A58" s="53" t="s">
        <v>265</v>
      </c>
      <c r="B58" s="53" t="s">
        <v>266</v>
      </c>
      <c r="C58" s="53" t="s">
        <v>267</v>
      </c>
    </row>
    <row r="59" spans="1:3" x14ac:dyDescent="0.3">
      <c r="A59" s="7" t="s">
        <v>224</v>
      </c>
      <c r="B59" s="7">
        <v>3</v>
      </c>
      <c r="C59" s="7" t="str">
        <f>REPT(A59,B59)</f>
        <v>AAA</v>
      </c>
    </row>
    <row r="60" spans="1:3" x14ac:dyDescent="0.3">
      <c r="A60" s="7" t="s">
        <v>268</v>
      </c>
      <c r="B60" s="7">
        <v>3</v>
      </c>
      <c r="C60" s="7" t="str">
        <f t="shared" ref="C60:C62" si="7">REPT(A60,B60)</f>
        <v>ABABAB</v>
      </c>
    </row>
    <row r="61" spans="1:3" x14ac:dyDescent="0.3">
      <c r="A61" s="7" t="s">
        <v>269</v>
      </c>
      <c r="B61" s="7">
        <v>10</v>
      </c>
      <c r="C61" s="7" t="str">
        <f t="shared" si="7"/>
        <v>----------</v>
      </c>
    </row>
    <row r="62" spans="1:3" x14ac:dyDescent="0.3">
      <c r="A62" s="7" t="s">
        <v>270</v>
      </c>
      <c r="B62" s="7">
        <v>10</v>
      </c>
      <c r="C62" s="7" t="str">
        <f t="shared" si="7"/>
        <v>||||||||||</v>
      </c>
    </row>
  </sheetData>
  <mergeCells count="2">
    <mergeCell ref="A43:B43"/>
    <mergeCell ref="G2:G3"/>
  </mergeCells>
  <hyperlinks>
    <hyperlink ref="G2:G3" location="'LIST OF SHEET'!A1" display="LIST OF SHEET" xr:uid="{FBF68B51-AB08-4908-A097-B0274DD0C8E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AD48-F7E8-4D15-A501-2AA3DFCBE889}">
  <dimension ref="A2:S55"/>
  <sheetViews>
    <sheetView zoomScale="103" workbookViewId="0">
      <selection activeCell="M2" sqref="M2:M3"/>
    </sheetView>
  </sheetViews>
  <sheetFormatPr defaultRowHeight="14.4" x14ac:dyDescent="0.3"/>
  <cols>
    <col min="2" max="2" width="11.109375" customWidth="1"/>
    <col min="3" max="3" width="12.6640625" customWidth="1"/>
    <col min="11" max="11" width="12.6640625" customWidth="1"/>
    <col min="13" max="13" width="15.21875" customWidth="1"/>
    <col min="15" max="15" width="14.5546875" customWidth="1"/>
    <col min="16" max="16" width="12.44140625" customWidth="1"/>
  </cols>
  <sheetData>
    <row r="2" spans="2:19" ht="27.6" x14ac:dyDescent="0.45">
      <c r="B2" s="43" t="s">
        <v>310</v>
      </c>
      <c r="M2" s="126" t="s">
        <v>955</v>
      </c>
    </row>
    <row r="3" spans="2:19" ht="27.6" x14ac:dyDescent="0.45">
      <c r="B3" s="43"/>
      <c r="M3" s="126"/>
    </row>
    <row r="5" spans="2:19" ht="14.4" customHeight="1" x14ac:dyDescent="0.3">
      <c r="B5" s="44" t="s">
        <v>271</v>
      </c>
      <c r="C5" s="44" t="s">
        <v>272</v>
      </c>
      <c r="D5" s="44" t="s">
        <v>273</v>
      </c>
      <c r="E5" s="44" t="s">
        <v>274</v>
      </c>
      <c r="F5" s="44" t="s">
        <v>275</v>
      </c>
      <c r="G5" s="44" t="s">
        <v>276</v>
      </c>
      <c r="H5" s="44" t="s">
        <v>277</v>
      </c>
      <c r="I5" s="44" t="s">
        <v>278</v>
      </c>
      <c r="J5" s="44" t="s">
        <v>279</v>
      </c>
      <c r="K5" s="44" t="s">
        <v>280</v>
      </c>
      <c r="M5" s="139" t="s">
        <v>287</v>
      </c>
      <c r="N5" s="127"/>
      <c r="O5" s="127"/>
      <c r="P5" s="139" t="s">
        <v>288</v>
      </c>
      <c r="Q5" s="127" t="s">
        <v>282</v>
      </c>
      <c r="R5" s="127"/>
    </row>
    <row r="6" spans="2:19" x14ac:dyDescent="0.3">
      <c r="B6" s="3" t="s">
        <v>281</v>
      </c>
      <c r="C6" s="3">
        <v>2000</v>
      </c>
      <c r="D6" s="3">
        <v>1500</v>
      </c>
      <c r="E6" s="3">
        <v>300</v>
      </c>
      <c r="F6" s="3">
        <v>1400</v>
      </c>
      <c r="G6" s="3">
        <v>1000</v>
      </c>
      <c r="H6" s="3">
        <v>1400</v>
      </c>
      <c r="I6" s="3">
        <f>SUM(C6:H6)</f>
        <v>7600</v>
      </c>
      <c r="J6" s="3">
        <v>10000</v>
      </c>
      <c r="K6" s="3" t="str">
        <f>IF(I6&gt;J6, "ACHIVED", "NOT ACHIVED")</f>
        <v>NOT ACHIVED</v>
      </c>
      <c r="M6" s="127"/>
      <c r="N6" s="127"/>
      <c r="O6" s="127"/>
      <c r="P6" s="139"/>
      <c r="Q6" s="6" t="s">
        <v>279</v>
      </c>
      <c r="R6" s="6" t="s">
        <v>280</v>
      </c>
    </row>
    <row r="7" spans="2:19" ht="14.4" customHeight="1" x14ac:dyDescent="0.3">
      <c r="B7" s="3" t="s">
        <v>101</v>
      </c>
      <c r="C7" s="3">
        <v>5000</v>
      </c>
      <c r="D7" s="3">
        <v>1200</v>
      </c>
      <c r="E7" s="3">
        <v>500</v>
      </c>
      <c r="F7" s="3">
        <v>1200</v>
      </c>
      <c r="G7" s="3">
        <v>1200</v>
      </c>
      <c r="H7" s="3">
        <v>2800</v>
      </c>
      <c r="I7" s="3">
        <f t="shared" ref="I7:I16" si="0">SUM(C7:H7)</f>
        <v>11900</v>
      </c>
      <c r="J7" s="3">
        <v>12000</v>
      </c>
      <c r="K7" s="3" t="str">
        <f t="shared" ref="K7:K16" si="1">IF(I7&gt;J7, "ACHIVED", "NOT ACHIVED")</f>
        <v>NOT ACHIVED</v>
      </c>
      <c r="M7" s="127"/>
      <c r="N7" s="127"/>
      <c r="O7" s="127"/>
      <c r="P7" s="139">
        <f>COUNTA(B6:B16)</f>
        <v>11</v>
      </c>
      <c r="Q7" s="127">
        <f>VLOOKUP(Q5,B5:K16,9,0)</f>
        <v>12000</v>
      </c>
      <c r="R7" s="139" t="str">
        <f>VLOOKUP(Q5,B5:K16,10,0)</f>
        <v>ACHIVED</v>
      </c>
    </row>
    <row r="8" spans="2:19" x14ac:dyDescent="0.3">
      <c r="B8" s="3" t="s">
        <v>100</v>
      </c>
      <c r="C8" s="3">
        <v>3000</v>
      </c>
      <c r="D8" s="3">
        <v>800</v>
      </c>
      <c r="E8" s="3">
        <v>1200</v>
      </c>
      <c r="F8" s="3">
        <v>3000</v>
      </c>
      <c r="G8" s="3">
        <v>1500</v>
      </c>
      <c r="H8" s="3">
        <v>3500</v>
      </c>
      <c r="I8" s="3">
        <f t="shared" si="0"/>
        <v>13000</v>
      </c>
      <c r="J8" s="3">
        <v>18000</v>
      </c>
      <c r="K8" s="3" t="str">
        <f t="shared" si="1"/>
        <v>NOT ACHIVED</v>
      </c>
      <c r="M8" s="127"/>
      <c r="N8" s="127"/>
      <c r="O8" s="127"/>
      <c r="P8" s="139"/>
      <c r="Q8" s="127"/>
      <c r="R8" s="139"/>
    </row>
    <row r="9" spans="2:19" x14ac:dyDescent="0.3">
      <c r="B9" s="3" t="s">
        <v>23</v>
      </c>
      <c r="C9" s="3">
        <v>1000</v>
      </c>
      <c r="D9" s="3">
        <v>900</v>
      </c>
      <c r="E9" s="3">
        <v>1800</v>
      </c>
      <c r="F9" s="3">
        <v>5000</v>
      </c>
      <c r="G9" s="3">
        <v>1400</v>
      </c>
      <c r="H9" s="3">
        <v>1200</v>
      </c>
      <c r="I9" s="3">
        <f t="shared" si="0"/>
        <v>11300</v>
      </c>
      <c r="J9" s="3">
        <v>10000</v>
      </c>
      <c r="K9" s="3" t="str">
        <f t="shared" si="1"/>
        <v>ACHIVED</v>
      </c>
    </row>
    <row r="10" spans="2:19" ht="14.4" customHeight="1" x14ac:dyDescent="0.3">
      <c r="B10" s="3" t="s">
        <v>20</v>
      </c>
      <c r="C10" s="3">
        <v>500</v>
      </c>
      <c r="D10" s="3">
        <v>1000</v>
      </c>
      <c r="E10" s="3">
        <v>2300</v>
      </c>
      <c r="F10" s="3">
        <v>8000</v>
      </c>
      <c r="G10" s="3">
        <v>1700</v>
      </c>
      <c r="H10" s="3">
        <v>1400</v>
      </c>
      <c r="I10" s="3">
        <f t="shared" si="0"/>
        <v>14900</v>
      </c>
      <c r="J10" s="3">
        <v>12000</v>
      </c>
      <c r="K10" s="3" t="str">
        <f t="shared" si="1"/>
        <v>ACHIVED</v>
      </c>
      <c r="M10" s="139" t="s">
        <v>289</v>
      </c>
      <c r="N10" s="127"/>
      <c r="O10" s="127"/>
      <c r="P10" s="127" t="s">
        <v>279</v>
      </c>
      <c r="Q10" s="3" t="s">
        <v>100</v>
      </c>
      <c r="R10" s="3" t="s">
        <v>23</v>
      </c>
      <c r="S10" s="3" t="s">
        <v>19</v>
      </c>
    </row>
    <row r="11" spans="2:19" x14ac:dyDescent="0.3">
      <c r="B11" s="3" t="s">
        <v>19</v>
      </c>
      <c r="C11" s="3">
        <v>800</v>
      </c>
      <c r="D11" s="3">
        <v>500</v>
      </c>
      <c r="E11" s="3">
        <v>2400</v>
      </c>
      <c r="F11" s="3">
        <v>1900</v>
      </c>
      <c r="G11" s="3">
        <v>1800</v>
      </c>
      <c r="H11" s="3">
        <v>1800</v>
      </c>
      <c r="I11" s="3">
        <f t="shared" si="0"/>
        <v>9200</v>
      </c>
      <c r="J11" s="3">
        <v>10000</v>
      </c>
      <c r="K11" s="3" t="str">
        <f t="shared" si="1"/>
        <v>NOT ACHIVED</v>
      </c>
      <c r="M11" s="127"/>
      <c r="N11" s="127"/>
      <c r="O11" s="127"/>
      <c r="P11" s="127"/>
      <c r="Q11" s="127">
        <f>VLOOKUP(Q10,$B$5:$K$16,9,0)</f>
        <v>18000</v>
      </c>
      <c r="R11" s="127">
        <f t="shared" ref="R11:S11" si="2">VLOOKUP(R10,$B$5:$K$16,9,0)</f>
        <v>10000</v>
      </c>
      <c r="S11" s="127">
        <f t="shared" si="2"/>
        <v>10000</v>
      </c>
    </row>
    <row r="12" spans="2:19" x14ac:dyDescent="0.3">
      <c r="B12" s="3" t="s">
        <v>282</v>
      </c>
      <c r="C12" s="3">
        <v>1200</v>
      </c>
      <c r="D12" s="3">
        <v>1400</v>
      </c>
      <c r="E12" s="3">
        <v>1500</v>
      </c>
      <c r="F12" s="3">
        <v>700</v>
      </c>
      <c r="G12" s="3">
        <v>2500</v>
      </c>
      <c r="H12" s="3">
        <v>7000</v>
      </c>
      <c r="I12" s="3">
        <f t="shared" si="0"/>
        <v>14300</v>
      </c>
      <c r="J12" s="3">
        <v>12000</v>
      </c>
      <c r="K12" s="3" t="str">
        <f t="shared" si="1"/>
        <v>ACHIVED</v>
      </c>
      <c r="M12" s="127"/>
      <c r="N12" s="127"/>
      <c r="O12" s="127"/>
      <c r="P12" s="127"/>
      <c r="Q12" s="127"/>
      <c r="R12" s="127"/>
      <c r="S12" s="127"/>
    </row>
    <row r="13" spans="2:19" x14ac:dyDescent="0.3">
      <c r="B13" s="3" t="s">
        <v>283</v>
      </c>
      <c r="C13" s="3">
        <v>1500</v>
      </c>
      <c r="D13" s="3">
        <v>1800</v>
      </c>
      <c r="E13" s="3">
        <v>1800</v>
      </c>
      <c r="F13" s="3">
        <v>1800</v>
      </c>
      <c r="G13" s="3">
        <v>300</v>
      </c>
      <c r="H13" s="3">
        <v>1500</v>
      </c>
      <c r="I13" s="3">
        <f t="shared" si="0"/>
        <v>8700</v>
      </c>
      <c r="J13" s="3">
        <v>10000</v>
      </c>
      <c r="K13" s="3" t="str">
        <f t="shared" si="1"/>
        <v>NOT ACHIVED</v>
      </c>
      <c r="M13" s="127"/>
      <c r="N13" s="127"/>
      <c r="O13" s="127"/>
      <c r="P13" s="127" t="s">
        <v>280</v>
      </c>
      <c r="Q13" s="139" t="str">
        <f>VLOOKUP(Q10,$B$5:$K$16,10,0)</f>
        <v>NOT ACHIVED</v>
      </c>
      <c r="R13" s="139" t="str">
        <f t="shared" ref="R13:S13" si="3">VLOOKUP(R10,$B$5:$K$16,10,0)</f>
        <v>ACHIVED</v>
      </c>
      <c r="S13" s="139" t="str">
        <f t="shared" si="3"/>
        <v>NOT ACHIVED</v>
      </c>
    </row>
    <row r="14" spans="2:19" x14ac:dyDescent="0.3">
      <c r="B14" s="3" t="s">
        <v>284</v>
      </c>
      <c r="C14" s="3">
        <v>1800</v>
      </c>
      <c r="D14" s="3">
        <v>2500</v>
      </c>
      <c r="E14" s="3">
        <v>1700</v>
      </c>
      <c r="F14" s="3">
        <v>1500</v>
      </c>
      <c r="G14" s="3">
        <v>2800</v>
      </c>
      <c r="H14" s="3">
        <v>1800</v>
      </c>
      <c r="I14" s="3">
        <f t="shared" si="0"/>
        <v>12100</v>
      </c>
      <c r="J14" s="3">
        <v>12000</v>
      </c>
      <c r="K14" s="3" t="str">
        <f t="shared" si="1"/>
        <v>ACHIVED</v>
      </c>
      <c r="M14" s="127"/>
      <c r="N14" s="127"/>
      <c r="O14" s="127"/>
      <c r="P14" s="127"/>
      <c r="Q14" s="139"/>
      <c r="R14" s="139"/>
      <c r="S14" s="139"/>
    </row>
    <row r="15" spans="2:19" x14ac:dyDescent="0.3">
      <c r="B15" s="3" t="s">
        <v>285</v>
      </c>
      <c r="C15" s="3">
        <v>200</v>
      </c>
      <c r="D15" s="3">
        <v>3000</v>
      </c>
      <c r="E15" s="3">
        <v>1900</v>
      </c>
      <c r="F15" s="3">
        <v>1200</v>
      </c>
      <c r="G15" s="3">
        <v>1500</v>
      </c>
      <c r="H15" s="3">
        <v>3000</v>
      </c>
      <c r="I15" s="3">
        <f t="shared" si="0"/>
        <v>10800</v>
      </c>
      <c r="J15" s="3">
        <v>10000</v>
      </c>
      <c r="K15" s="3" t="str">
        <f t="shared" si="1"/>
        <v>ACHIVED</v>
      </c>
    </row>
    <row r="16" spans="2:19" x14ac:dyDescent="0.3">
      <c r="B16" s="3" t="s">
        <v>286</v>
      </c>
      <c r="C16" s="3">
        <v>1600</v>
      </c>
      <c r="D16" s="3">
        <v>1200</v>
      </c>
      <c r="E16" s="3">
        <v>2000</v>
      </c>
      <c r="F16" s="3">
        <v>800</v>
      </c>
      <c r="G16" s="3">
        <v>1700</v>
      </c>
      <c r="H16" s="3">
        <v>800</v>
      </c>
      <c r="I16" s="3">
        <f t="shared" si="0"/>
        <v>8100</v>
      </c>
      <c r="J16" s="3">
        <v>10000</v>
      </c>
      <c r="K16" s="3" t="str">
        <f t="shared" si="1"/>
        <v>NOT ACHIVED</v>
      </c>
      <c r="M16" s="128" t="s">
        <v>290</v>
      </c>
      <c r="N16" s="131"/>
      <c r="O16" s="131"/>
      <c r="P16" s="131">
        <f>COUNTIF(K6:K16, "ACHIVED")</f>
        <v>5</v>
      </c>
    </row>
    <row r="17" spans="1:17" x14ac:dyDescent="0.3">
      <c r="M17" s="131"/>
      <c r="N17" s="131"/>
      <c r="O17" s="131"/>
      <c r="P17" s="131"/>
    </row>
    <row r="18" spans="1:17" x14ac:dyDescent="0.3">
      <c r="A18" t="s">
        <v>924</v>
      </c>
      <c r="M18" s="131"/>
      <c r="N18" s="131"/>
      <c r="O18" s="131"/>
      <c r="P18" s="131"/>
    </row>
    <row r="19" spans="1:17" x14ac:dyDescent="0.3">
      <c r="A19" t="s">
        <v>925</v>
      </c>
    </row>
    <row r="20" spans="1:17" ht="14.4" customHeight="1" x14ac:dyDescent="0.3">
      <c r="A20" t="s">
        <v>926</v>
      </c>
      <c r="M20" s="139" t="s">
        <v>291</v>
      </c>
      <c r="N20" s="127"/>
      <c r="O20" s="127"/>
      <c r="P20" s="5" t="s">
        <v>272</v>
      </c>
      <c r="Q20" s="5" t="s">
        <v>273</v>
      </c>
    </row>
    <row r="21" spans="1:17" x14ac:dyDescent="0.3">
      <c r="A21" t="s">
        <v>927</v>
      </c>
      <c r="M21" s="127"/>
      <c r="N21" s="127"/>
      <c r="O21" s="127"/>
      <c r="P21" s="5">
        <v>2000</v>
      </c>
      <c r="Q21" s="5">
        <v>2500</v>
      </c>
    </row>
    <row r="22" spans="1:17" x14ac:dyDescent="0.3">
      <c r="A22" t="s">
        <v>928</v>
      </c>
      <c r="M22" s="127"/>
      <c r="N22" s="127"/>
      <c r="O22" s="127"/>
      <c r="P22" s="5" t="str">
        <f>_xlfn.XLOOKUP(P21,C5:C16,B5:B16)</f>
        <v>RAMESH</v>
      </c>
      <c r="Q22" s="5" t="str">
        <f>_xlfn.XLOOKUP(Q21,D5:D16,B5:B16)</f>
        <v>AMRIT</v>
      </c>
    </row>
    <row r="23" spans="1:17" x14ac:dyDescent="0.3">
      <c r="A23" t="s">
        <v>929</v>
      </c>
    </row>
    <row r="24" spans="1:17" x14ac:dyDescent="0.3">
      <c r="A24" t="s">
        <v>930</v>
      </c>
      <c r="M24" s="128" t="s">
        <v>292</v>
      </c>
      <c r="N24" s="131"/>
      <c r="O24" s="131"/>
      <c r="P24" s="127">
        <f>COUNTIF(C5:C16, "&gt;2000") + COUNTIF(E5:E16, "&lt;=1500")</f>
        <v>6</v>
      </c>
    </row>
    <row r="25" spans="1:17" x14ac:dyDescent="0.3">
      <c r="A25" t="s">
        <v>931</v>
      </c>
      <c r="M25" s="131"/>
      <c r="N25" s="131"/>
      <c r="O25" s="131"/>
      <c r="P25" s="127"/>
    </row>
    <row r="26" spans="1:17" x14ac:dyDescent="0.3">
      <c r="M26" s="131"/>
      <c r="N26" s="131"/>
      <c r="O26" s="131"/>
      <c r="P26" s="127"/>
    </row>
    <row r="28" spans="1:17" ht="14.4" customHeight="1" x14ac:dyDescent="0.3">
      <c r="M28" s="128" t="s">
        <v>312</v>
      </c>
      <c r="N28" s="131"/>
      <c r="O28" s="131"/>
    </row>
    <row r="29" spans="1:17" x14ac:dyDescent="0.3">
      <c r="M29" s="131"/>
      <c r="N29" s="131"/>
      <c r="O29" s="131"/>
    </row>
    <row r="30" spans="1:17" x14ac:dyDescent="0.3">
      <c r="M30" s="131"/>
      <c r="N30" s="131"/>
      <c r="O30" s="131"/>
    </row>
    <row r="31" spans="1:17" x14ac:dyDescent="0.3">
      <c r="M31" s="131"/>
      <c r="N31" s="131"/>
      <c r="O31" s="131"/>
    </row>
    <row r="33" spans="1:16" s="45" customFormat="1" x14ac:dyDescent="0.3"/>
    <row r="35" spans="1:16" ht="28.8" x14ac:dyDescent="0.55000000000000004">
      <c r="A35" s="62"/>
    </row>
    <row r="37" spans="1:16" x14ac:dyDescent="0.3">
      <c r="C37" s="140" t="s">
        <v>293</v>
      </c>
      <c r="D37" s="140"/>
      <c r="E37" s="140"/>
    </row>
    <row r="38" spans="1:16" ht="28.8" x14ac:dyDescent="0.3">
      <c r="B38" s="44" t="s">
        <v>92</v>
      </c>
      <c r="C38" s="50" t="s">
        <v>294</v>
      </c>
      <c r="D38" s="44" t="s">
        <v>295</v>
      </c>
      <c r="E38" s="44" t="s">
        <v>296</v>
      </c>
      <c r="F38" s="44" t="s">
        <v>297</v>
      </c>
      <c r="G38" s="44" t="s">
        <v>303</v>
      </c>
    </row>
    <row r="39" spans="1:16" x14ac:dyDescent="0.3">
      <c r="B39" s="3" t="s">
        <v>281</v>
      </c>
      <c r="C39" s="46">
        <v>29356</v>
      </c>
      <c r="D39" s="3">
        <f ca="1">DATEDIF(C39, TODAY(), "MD")</f>
        <v>29</v>
      </c>
      <c r="E39" s="3">
        <f ca="1">DATEDIF(C39, TODAY(), "YM")</f>
        <v>11</v>
      </c>
      <c r="F39" s="3">
        <f ca="1">DATEDIF(C39, TODAY(), "Y")</f>
        <v>42</v>
      </c>
      <c r="G39" s="29" t="str">
        <f ca="1">IF(F39&gt;20, "ADULT", "CHILD")</f>
        <v>ADULT</v>
      </c>
      <c r="M39" s="131" t="s">
        <v>298</v>
      </c>
      <c r="N39" s="131"/>
      <c r="O39" s="131"/>
      <c r="P39" s="131">
        <f>COUNTA(B39:B49)</f>
        <v>11</v>
      </c>
    </row>
    <row r="40" spans="1:16" x14ac:dyDescent="0.3">
      <c r="B40" s="3" t="s">
        <v>101</v>
      </c>
      <c r="C40" s="46">
        <v>29818</v>
      </c>
      <c r="D40" s="3">
        <f t="shared" ref="D40:D49" ca="1" si="4">DATEDIF(C40, TODAY(), "MD")</f>
        <v>24</v>
      </c>
      <c r="E40" s="3">
        <f t="shared" ref="E40:E49" ca="1" si="5">DATEDIF(C40, TODAY(), "YM")</f>
        <v>8</v>
      </c>
      <c r="F40" s="3">
        <f t="shared" ref="F40:F49" ca="1" si="6">DATEDIF(C40, TODAY(), "Y")</f>
        <v>41</v>
      </c>
      <c r="G40" s="29" t="str">
        <f t="shared" ref="G40:G49" ca="1" si="7">IF(F40&gt;20, "ADULT", "CHILD")</f>
        <v>ADULT</v>
      </c>
      <c r="M40" s="131"/>
      <c r="N40" s="131"/>
      <c r="O40" s="131"/>
      <c r="P40" s="131"/>
    </row>
    <row r="41" spans="1:16" x14ac:dyDescent="0.3">
      <c r="B41" s="3" t="s">
        <v>100</v>
      </c>
      <c r="C41" s="46">
        <v>37909</v>
      </c>
      <c r="D41" s="3">
        <f t="shared" ca="1" si="4"/>
        <v>29</v>
      </c>
      <c r="E41" s="3">
        <f t="shared" ca="1" si="5"/>
        <v>6</v>
      </c>
      <c r="F41" s="3">
        <f t="shared" ca="1" si="6"/>
        <v>19</v>
      </c>
      <c r="G41" s="29" t="str">
        <f t="shared" ca="1" si="7"/>
        <v>CHILD</v>
      </c>
    </row>
    <row r="42" spans="1:16" ht="14.4" customHeight="1" x14ac:dyDescent="0.3">
      <c r="B42" s="3" t="s">
        <v>23</v>
      </c>
      <c r="C42" s="46">
        <v>33018</v>
      </c>
      <c r="D42" s="3">
        <f t="shared" ca="1" si="4"/>
        <v>19</v>
      </c>
      <c r="E42" s="3">
        <f t="shared" ca="1" si="5"/>
        <v>11</v>
      </c>
      <c r="F42" s="3">
        <f t="shared" ca="1" si="6"/>
        <v>32</v>
      </c>
      <c r="G42" s="29" t="str">
        <f t="shared" ca="1" si="7"/>
        <v>ADULT</v>
      </c>
      <c r="M42" s="128" t="s">
        <v>299</v>
      </c>
      <c r="N42" s="128"/>
      <c r="O42" s="128"/>
      <c r="P42" s="131">
        <f ca="1">SUMIF(B38:B49, "SURENDRA", F38:F49)</f>
        <v>12</v>
      </c>
    </row>
    <row r="43" spans="1:16" x14ac:dyDescent="0.3">
      <c r="B43" s="3" t="s">
        <v>20</v>
      </c>
      <c r="C43" s="46">
        <v>33840</v>
      </c>
      <c r="D43" s="3">
        <f t="shared" ca="1" si="4"/>
        <v>20</v>
      </c>
      <c r="E43" s="3">
        <f t="shared" ca="1" si="5"/>
        <v>8</v>
      </c>
      <c r="F43" s="3">
        <f t="shared" ca="1" si="6"/>
        <v>30</v>
      </c>
      <c r="G43" s="29" t="str">
        <f t="shared" ca="1" si="7"/>
        <v>ADULT</v>
      </c>
      <c r="M43" s="128"/>
      <c r="N43" s="128"/>
      <c r="O43" s="128"/>
      <c r="P43" s="131"/>
    </row>
    <row r="44" spans="1:16" x14ac:dyDescent="0.3">
      <c r="B44" s="3" t="s">
        <v>19</v>
      </c>
      <c r="C44" s="46">
        <v>36030</v>
      </c>
      <c r="D44" s="3">
        <f t="shared" ca="1" si="4"/>
        <v>21</v>
      </c>
      <c r="E44" s="3">
        <f t="shared" ca="1" si="5"/>
        <v>8</v>
      </c>
      <c r="F44" s="3">
        <f t="shared" ca="1" si="6"/>
        <v>24</v>
      </c>
      <c r="G44" s="29" t="str">
        <f t="shared" ca="1" si="7"/>
        <v>ADULT</v>
      </c>
    </row>
    <row r="45" spans="1:16" ht="14.4" customHeight="1" x14ac:dyDescent="0.3">
      <c r="B45" s="3" t="s">
        <v>282</v>
      </c>
      <c r="C45" s="46">
        <v>29353</v>
      </c>
      <c r="D45" s="3">
        <f t="shared" ca="1" si="4"/>
        <v>2</v>
      </c>
      <c r="E45" s="3">
        <f t="shared" ca="1" si="5"/>
        <v>0</v>
      </c>
      <c r="F45" s="3">
        <f t="shared" ca="1" si="6"/>
        <v>43</v>
      </c>
      <c r="G45" s="29" t="str">
        <f t="shared" ca="1" si="7"/>
        <v>ADULT</v>
      </c>
      <c r="M45" s="128" t="s">
        <v>300</v>
      </c>
      <c r="N45" s="128"/>
      <c r="O45" s="128"/>
      <c r="P45" s="131">
        <f ca="1">COUNTIF(F38:F49, "&gt;20")</f>
        <v>7</v>
      </c>
    </row>
    <row r="46" spans="1:16" x14ac:dyDescent="0.3">
      <c r="B46" s="3" t="s">
        <v>283</v>
      </c>
      <c r="C46" s="46">
        <v>38429</v>
      </c>
      <c r="D46" s="3">
        <f t="shared" ca="1" si="4"/>
        <v>26</v>
      </c>
      <c r="E46" s="3">
        <f t="shared" ca="1" si="5"/>
        <v>1</v>
      </c>
      <c r="F46" s="3">
        <f t="shared" ca="1" si="6"/>
        <v>18</v>
      </c>
      <c r="G46" s="29" t="str">
        <f t="shared" ca="1" si="7"/>
        <v>CHILD</v>
      </c>
      <c r="M46" s="128"/>
      <c r="N46" s="128"/>
      <c r="O46" s="128"/>
      <c r="P46" s="131"/>
    </row>
    <row r="47" spans="1:16" x14ac:dyDescent="0.3">
      <c r="B47" s="3" t="s">
        <v>284</v>
      </c>
      <c r="C47" s="46">
        <v>39309</v>
      </c>
      <c r="D47" s="3">
        <f t="shared" ca="1" si="4"/>
        <v>29</v>
      </c>
      <c r="E47" s="3">
        <f t="shared" ca="1" si="5"/>
        <v>8</v>
      </c>
      <c r="F47" s="3">
        <f t="shared" ca="1" si="6"/>
        <v>15</v>
      </c>
      <c r="G47" s="29" t="str">
        <f t="shared" ca="1" si="7"/>
        <v>CHILD</v>
      </c>
    </row>
    <row r="48" spans="1:16" ht="14.4" customHeight="1" x14ac:dyDescent="0.3">
      <c r="B48" s="3" t="s">
        <v>285</v>
      </c>
      <c r="C48" s="46">
        <v>40323</v>
      </c>
      <c r="D48" s="3">
        <f t="shared" ca="1" si="4"/>
        <v>19</v>
      </c>
      <c r="E48" s="3">
        <f t="shared" ca="1" si="5"/>
        <v>11</v>
      </c>
      <c r="F48" s="3">
        <f t="shared" ca="1" si="6"/>
        <v>12</v>
      </c>
      <c r="G48" s="29" t="str">
        <f t="shared" ca="1" si="7"/>
        <v>CHILD</v>
      </c>
      <c r="M48" s="139" t="s">
        <v>301</v>
      </c>
      <c r="N48" s="139"/>
      <c r="O48" s="139"/>
    </row>
    <row r="49" spans="1:16" x14ac:dyDescent="0.3">
      <c r="B49" s="3" t="s">
        <v>286</v>
      </c>
      <c r="C49" s="46">
        <v>34206</v>
      </c>
      <c r="D49" s="3">
        <f t="shared" ca="1" si="4"/>
        <v>19</v>
      </c>
      <c r="E49" s="3">
        <f t="shared" ca="1" si="5"/>
        <v>8</v>
      </c>
      <c r="F49" s="3">
        <f t="shared" ca="1" si="6"/>
        <v>29</v>
      </c>
      <c r="G49" s="29" t="str">
        <f t="shared" ca="1" si="7"/>
        <v>ADULT</v>
      </c>
      <c r="M49" s="139"/>
      <c r="N49" s="139"/>
      <c r="O49" s="139"/>
    </row>
    <row r="50" spans="1:16" x14ac:dyDescent="0.3">
      <c r="M50" s="139"/>
      <c r="N50" s="139"/>
      <c r="O50" s="139"/>
    </row>
    <row r="51" spans="1:16" x14ac:dyDescent="0.3">
      <c r="A51" t="s">
        <v>298</v>
      </c>
    </row>
    <row r="52" spans="1:16" ht="14.4" customHeight="1" x14ac:dyDescent="0.3">
      <c r="A52" t="s">
        <v>299</v>
      </c>
      <c r="M52" s="128" t="s">
        <v>302</v>
      </c>
      <c r="N52" s="128"/>
      <c r="O52" s="128"/>
      <c r="P52" s="131">
        <f ca="1">COUNTIF(F38:F49, "&gt;=25")</f>
        <v>6</v>
      </c>
    </row>
    <row r="53" spans="1:16" x14ac:dyDescent="0.3">
      <c r="A53" t="s">
        <v>921</v>
      </c>
      <c r="M53" s="128"/>
      <c r="N53" s="128"/>
      <c r="O53" s="128"/>
      <c r="P53" s="131"/>
    </row>
    <row r="54" spans="1:16" x14ac:dyDescent="0.3">
      <c r="A54" t="s">
        <v>922</v>
      </c>
    </row>
    <row r="55" spans="1:16" x14ac:dyDescent="0.3">
      <c r="A55" t="s">
        <v>923</v>
      </c>
    </row>
  </sheetData>
  <mergeCells count="32">
    <mergeCell ref="M48:O50"/>
    <mergeCell ref="M52:O53"/>
    <mergeCell ref="P52:P53"/>
    <mergeCell ref="M39:O40"/>
    <mergeCell ref="P39:P40"/>
    <mergeCell ref="M42:O43"/>
    <mergeCell ref="P42:P43"/>
    <mergeCell ref="M45:O46"/>
    <mergeCell ref="P45:P46"/>
    <mergeCell ref="Q5:R5"/>
    <mergeCell ref="P7:P8"/>
    <mergeCell ref="Q7:Q8"/>
    <mergeCell ref="R7:R8"/>
    <mergeCell ref="C37:E37"/>
    <mergeCell ref="R11:R12"/>
    <mergeCell ref="S11:S12"/>
    <mergeCell ref="Q13:Q14"/>
    <mergeCell ref="R13:R14"/>
    <mergeCell ref="S13:S14"/>
    <mergeCell ref="Q11:Q12"/>
    <mergeCell ref="M2:M3"/>
    <mergeCell ref="M20:O22"/>
    <mergeCell ref="M24:O26"/>
    <mergeCell ref="P24:P26"/>
    <mergeCell ref="M28:O31"/>
    <mergeCell ref="M16:O18"/>
    <mergeCell ref="P16:P18"/>
    <mergeCell ref="M10:O14"/>
    <mergeCell ref="P10:P12"/>
    <mergeCell ref="P13:P14"/>
    <mergeCell ref="M5:O8"/>
    <mergeCell ref="P5:P6"/>
  </mergeCells>
  <phoneticPr fontId="11" type="noConversion"/>
  <conditionalFormatting sqref="C5:J16">
    <cfRule type="cellIs" dxfId="0" priority="1" operator="between">
      <formula>2000</formula>
      <formula>5000</formula>
    </cfRule>
  </conditionalFormatting>
  <hyperlinks>
    <hyperlink ref="M2:M3" location="'LIST OF SHEET'!A1" display="LIST OF SHEET" xr:uid="{4C47528F-FDA0-4A94-9588-043FD7E39785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F760-DBCC-4687-A60A-8DEE70F2F935}">
  <dimension ref="A2:P25"/>
  <sheetViews>
    <sheetView workbookViewId="0">
      <selection activeCell="I2" sqref="I2:I3"/>
    </sheetView>
  </sheetViews>
  <sheetFormatPr defaultRowHeight="14.4" x14ac:dyDescent="0.3"/>
  <cols>
    <col min="6" max="6" width="13.21875" customWidth="1"/>
    <col min="9" max="9" width="16.6640625" customWidth="1"/>
  </cols>
  <sheetData>
    <row r="2" spans="1:16" ht="27.6" x14ac:dyDescent="0.45">
      <c r="A2" s="43" t="s">
        <v>893</v>
      </c>
      <c r="I2" s="126" t="s">
        <v>955</v>
      </c>
    </row>
    <row r="3" spans="1:16" x14ac:dyDescent="0.3">
      <c r="A3" s="59" t="s">
        <v>346</v>
      </c>
      <c r="I3" s="126"/>
    </row>
    <row r="4" spans="1:16" x14ac:dyDescent="0.3">
      <c r="A4" s="59"/>
    </row>
    <row r="5" spans="1:16" ht="28.8" x14ac:dyDescent="0.3">
      <c r="A5" s="56" t="s">
        <v>9</v>
      </c>
      <c r="B5" s="141" t="s">
        <v>337</v>
      </c>
      <c r="C5" s="141"/>
      <c r="D5" s="141"/>
      <c r="E5" s="141" t="s">
        <v>253</v>
      </c>
      <c r="F5" s="141"/>
      <c r="G5" s="141"/>
    </row>
    <row r="6" spans="1:16" x14ac:dyDescent="0.3">
      <c r="A6" s="3" t="s">
        <v>177</v>
      </c>
      <c r="B6" s="3" t="s">
        <v>179</v>
      </c>
      <c r="C6" s="6" t="s">
        <v>11</v>
      </c>
      <c r="D6" s="6" t="s">
        <v>13</v>
      </c>
      <c r="E6" s="6" t="s">
        <v>63</v>
      </c>
      <c r="F6" s="3" t="s">
        <v>325</v>
      </c>
      <c r="G6" s="3" t="s">
        <v>42</v>
      </c>
      <c r="J6" s="128" t="s">
        <v>338</v>
      </c>
      <c r="K6" s="128"/>
      <c r="L6" s="128"/>
      <c r="M6" s="128"/>
      <c r="N6" s="131">
        <f>COUNTA(A7:A16)</f>
        <v>10</v>
      </c>
      <c r="O6" s="131"/>
    </row>
    <row r="7" spans="1:16" x14ac:dyDescent="0.3">
      <c r="A7" s="3" t="s">
        <v>326</v>
      </c>
      <c r="B7" s="3">
        <v>80</v>
      </c>
      <c r="C7" s="3">
        <v>75</v>
      </c>
      <c r="D7" s="3">
        <v>85</v>
      </c>
      <c r="E7" s="3">
        <f>SUM(B7,C7,D7)</f>
        <v>240</v>
      </c>
      <c r="F7" s="58">
        <f>(E7/3)</f>
        <v>80</v>
      </c>
      <c r="G7" s="3" t="str">
        <f>IF(F7&gt;=70, "Excellent", IF(F7&gt;=50, "Good", "Bad"))</f>
        <v>Excellent</v>
      </c>
      <c r="J7" s="128"/>
      <c r="K7" s="128"/>
      <c r="L7" s="128"/>
      <c r="M7" s="128"/>
      <c r="N7" s="131"/>
      <c r="O7" s="131"/>
    </row>
    <row r="8" spans="1:16" x14ac:dyDescent="0.3">
      <c r="A8" s="3" t="s">
        <v>327</v>
      </c>
      <c r="B8" s="5">
        <v>50</v>
      </c>
      <c r="C8" s="5">
        <v>30</v>
      </c>
      <c r="D8" s="5">
        <v>40</v>
      </c>
      <c r="E8" s="3">
        <f t="shared" ref="E8:E16" si="0">SUM(B8,C8,D8)</f>
        <v>120</v>
      </c>
      <c r="F8" s="58">
        <f t="shared" ref="F8:F16" si="1">(E8/3)</f>
        <v>40</v>
      </c>
      <c r="G8" s="3" t="str">
        <f t="shared" ref="G8:G16" si="2">IF(F8&gt;=70, "Excellent", IF(F8&gt;=50, "Good", "Bad"))</f>
        <v>Bad</v>
      </c>
      <c r="J8" s="128"/>
      <c r="K8" s="128"/>
      <c r="L8" s="128"/>
      <c r="M8" s="128"/>
      <c r="N8" s="131"/>
      <c r="O8" s="131"/>
    </row>
    <row r="9" spans="1:16" x14ac:dyDescent="0.3">
      <c r="A9" s="3" t="s">
        <v>328</v>
      </c>
      <c r="B9" s="5">
        <v>60</v>
      </c>
      <c r="C9" s="5">
        <v>70</v>
      </c>
      <c r="D9" s="5" t="s">
        <v>340</v>
      </c>
      <c r="E9" s="3">
        <f t="shared" si="0"/>
        <v>130</v>
      </c>
      <c r="F9" s="57">
        <f t="shared" si="1"/>
        <v>43.333333333333336</v>
      </c>
      <c r="G9" s="3" t="str">
        <f t="shared" si="2"/>
        <v>Bad</v>
      </c>
    </row>
    <row r="10" spans="1:16" x14ac:dyDescent="0.3">
      <c r="A10" s="3" t="s">
        <v>329</v>
      </c>
      <c r="B10" s="5">
        <v>90</v>
      </c>
      <c r="C10" s="5">
        <v>85</v>
      </c>
      <c r="D10" s="5">
        <v>95</v>
      </c>
      <c r="E10" s="3">
        <f t="shared" si="0"/>
        <v>270</v>
      </c>
      <c r="F10" s="58">
        <f t="shared" si="1"/>
        <v>90</v>
      </c>
      <c r="G10" s="3" t="str">
        <f t="shared" si="2"/>
        <v>Excellent</v>
      </c>
      <c r="J10" s="139" t="s">
        <v>339</v>
      </c>
      <c r="K10" s="139"/>
      <c r="L10" s="139"/>
      <c r="M10" s="139"/>
      <c r="N10" s="127">
        <f>COUNTIF(F7:F16, "&gt;50")</f>
        <v>5</v>
      </c>
      <c r="O10" s="127"/>
    </row>
    <row r="11" spans="1:16" x14ac:dyDescent="0.3">
      <c r="A11" s="3" t="s">
        <v>330</v>
      </c>
      <c r="B11" s="5">
        <v>20</v>
      </c>
      <c r="C11" s="5">
        <v>30</v>
      </c>
      <c r="D11" s="5" t="s">
        <v>331</v>
      </c>
      <c r="E11" s="3">
        <f t="shared" si="0"/>
        <v>50</v>
      </c>
      <c r="F11" s="57">
        <f t="shared" si="1"/>
        <v>16.666666666666668</v>
      </c>
      <c r="G11" s="3" t="str">
        <f t="shared" si="2"/>
        <v>Bad</v>
      </c>
      <c r="J11" s="139"/>
      <c r="K11" s="139"/>
      <c r="L11" s="139"/>
      <c r="M11" s="139"/>
      <c r="N11" s="127"/>
      <c r="O11" s="127"/>
    </row>
    <row r="12" spans="1:16" x14ac:dyDescent="0.3">
      <c r="A12" s="3" t="s">
        <v>332</v>
      </c>
      <c r="B12" s="5">
        <v>40</v>
      </c>
      <c r="C12" s="5">
        <v>60</v>
      </c>
      <c r="D12" s="5">
        <v>80</v>
      </c>
      <c r="E12" s="3">
        <f t="shared" si="0"/>
        <v>180</v>
      </c>
      <c r="F12" s="58">
        <f t="shared" si="1"/>
        <v>60</v>
      </c>
      <c r="G12" s="3" t="str">
        <f t="shared" si="2"/>
        <v>Good</v>
      </c>
      <c r="J12" s="139"/>
      <c r="K12" s="139"/>
      <c r="L12" s="139"/>
      <c r="M12" s="139"/>
      <c r="N12" s="127"/>
      <c r="O12" s="127"/>
    </row>
    <row r="13" spans="1:16" x14ac:dyDescent="0.3">
      <c r="A13" s="3" t="s">
        <v>333</v>
      </c>
      <c r="B13" s="5">
        <v>10</v>
      </c>
      <c r="C13" s="5">
        <v>90</v>
      </c>
      <c r="D13" s="5">
        <v>80</v>
      </c>
      <c r="E13" s="3">
        <f t="shared" si="0"/>
        <v>180</v>
      </c>
      <c r="F13" s="58">
        <f t="shared" si="1"/>
        <v>60</v>
      </c>
      <c r="G13" s="3" t="str">
        <f t="shared" si="2"/>
        <v>Good</v>
      </c>
    </row>
    <row r="14" spans="1:16" x14ac:dyDescent="0.3">
      <c r="A14" s="3" t="s">
        <v>334</v>
      </c>
      <c r="B14" s="5">
        <v>80</v>
      </c>
      <c r="C14" s="5">
        <v>70</v>
      </c>
      <c r="D14" s="5">
        <v>60</v>
      </c>
      <c r="E14" s="3">
        <f t="shared" si="0"/>
        <v>210</v>
      </c>
      <c r="F14" s="58">
        <f t="shared" si="1"/>
        <v>70</v>
      </c>
      <c r="G14" s="3" t="str">
        <f t="shared" si="2"/>
        <v>Excellent</v>
      </c>
      <c r="J14" s="128" t="s">
        <v>341</v>
      </c>
      <c r="K14" s="128"/>
      <c r="L14" s="128"/>
      <c r="M14" s="128"/>
      <c r="N14" s="131" t="s">
        <v>327</v>
      </c>
      <c r="O14" s="131" t="s">
        <v>330</v>
      </c>
      <c r="P14" s="131">
        <f>SUMIF(A6:A16, "Bob",E6:E16)+SUMIF(A6:A16, "Eric",E6:E16)</f>
        <v>170</v>
      </c>
    </row>
    <row r="15" spans="1:16" x14ac:dyDescent="0.3">
      <c r="A15" s="3" t="s">
        <v>335</v>
      </c>
      <c r="B15" s="5">
        <v>30</v>
      </c>
      <c r="C15" s="5">
        <v>10</v>
      </c>
      <c r="D15" s="5">
        <v>20</v>
      </c>
      <c r="E15" s="3">
        <f t="shared" si="0"/>
        <v>60</v>
      </c>
      <c r="F15" s="58">
        <f t="shared" si="1"/>
        <v>20</v>
      </c>
      <c r="G15" s="3" t="str">
        <f t="shared" si="2"/>
        <v>Bad</v>
      </c>
      <c r="J15" s="128"/>
      <c r="K15" s="128"/>
      <c r="L15" s="128"/>
      <c r="M15" s="128"/>
      <c r="N15" s="131"/>
      <c r="O15" s="131"/>
      <c r="P15" s="131"/>
    </row>
    <row r="16" spans="1:16" x14ac:dyDescent="0.3">
      <c r="A16" s="3" t="s">
        <v>336</v>
      </c>
      <c r="B16" s="5">
        <v>10</v>
      </c>
      <c r="C16" s="5">
        <v>20</v>
      </c>
      <c r="D16" s="5">
        <v>30</v>
      </c>
      <c r="E16" s="3">
        <f t="shared" si="0"/>
        <v>60</v>
      </c>
      <c r="F16" s="58">
        <f t="shared" si="1"/>
        <v>20</v>
      </c>
      <c r="G16" s="3" t="str">
        <f t="shared" si="2"/>
        <v>Bad</v>
      </c>
      <c r="J16" s="128"/>
      <c r="K16" s="128"/>
      <c r="L16" s="128"/>
      <c r="M16" s="128"/>
      <c r="N16" s="3">
        <f>SUMIF(A6:A16, "Bob",E6:E16)</f>
        <v>120</v>
      </c>
      <c r="O16" s="3">
        <f>SUMIF(A6:A16, "Eric",E6:E16)</f>
        <v>50</v>
      </c>
      <c r="P16" s="131"/>
    </row>
    <row r="18" spans="1:15" x14ac:dyDescent="0.3">
      <c r="A18" t="s">
        <v>338</v>
      </c>
      <c r="J18" s="139" t="s">
        <v>342</v>
      </c>
      <c r="K18" s="139"/>
      <c r="L18" s="139"/>
      <c r="M18" s="139"/>
    </row>
    <row r="19" spans="1:15" x14ac:dyDescent="0.3">
      <c r="A19" t="s">
        <v>339</v>
      </c>
      <c r="J19" s="139"/>
      <c r="K19" s="139"/>
      <c r="L19" s="139"/>
      <c r="M19" s="139"/>
    </row>
    <row r="20" spans="1:15" x14ac:dyDescent="0.3">
      <c r="A20" t="s">
        <v>341</v>
      </c>
      <c r="J20" s="139"/>
      <c r="K20" s="139"/>
      <c r="L20" s="139"/>
      <c r="M20" s="139"/>
    </row>
    <row r="21" spans="1:15" x14ac:dyDescent="0.3">
      <c r="A21" t="s">
        <v>342</v>
      </c>
      <c r="J21" s="139"/>
      <c r="K21" s="139"/>
      <c r="L21" s="139"/>
      <c r="M21" s="139"/>
    </row>
    <row r="22" spans="1:15" x14ac:dyDescent="0.3">
      <c r="A22" t="s">
        <v>343</v>
      </c>
    </row>
    <row r="23" spans="1:15" x14ac:dyDescent="0.3">
      <c r="J23" s="139" t="s">
        <v>343</v>
      </c>
      <c r="K23" s="139"/>
      <c r="L23" s="139"/>
      <c r="M23" s="139"/>
      <c r="N23" s="127" t="s">
        <v>344</v>
      </c>
      <c r="O23" s="127" t="s">
        <v>345</v>
      </c>
    </row>
    <row r="24" spans="1:15" x14ac:dyDescent="0.3">
      <c r="J24" s="139"/>
      <c r="K24" s="139"/>
      <c r="L24" s="139"/>
      <c r="M24" s="139"/>
      <c r="N24" s="127"/>
      <c r="O24" s="127"/>
    </row>
    <row r="25" spans="1:15" x14ac:dyDescent="0.3">
      <c r="J25" s="139"/>
      <c r="K25" s="139"/>
      <c r="L25" s="139"/>
      <c r="M25" s="139"/>
      <c r="N25" s="3">
        <f>COUNTIF(G6:G16, "Good")</f>
        <v>2</v>
      </c>
      <c r="O25" s="3">
        <f>COUNTIF(G6:G16, "Bad")</f>
        <v>5</v>
      </c>
    </row>
  </sheetData>
  <mergeCells count="15">
    <mergeCell ref="J10:M12"/>
    <mergeCell ref="N10:O12"/>
    <mergeCell ref="P14:P16"/>
    <mergeCell ref="J18:M21"/>
    <mergeCell ref="J23:M25"/>
    <mergeCell ref="N23:N24"/>
    <mergeCell ref="O23:O24"/>
    <mergeCell ref="J14:M16"/>
    <mergeCell ref="N14:N15"/>
    <mergeCell ref="O14:O15"/>
    <mergeCell ref="I2:I3"/>
    <mergeCell ref="B5:D5"/>
    <mergeCell ref="E5:G5"/>
    <mergeCell ref="J6:M8"/>
    <mergeCell ref="N6:O8"/>
  </mergeCells>
  <hyperlinks>
    <hyperlink ref="I2:I3" location="'LIST OF SHEET'!A1" display="LIST OF SHEET" xr:uid="{D097E5EB-0C5E-4D19-90E5-1EBA7041D16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518-4AE2-4B16-BF07-8DB8CBD8CE92}">
  <dimension ref="A2:I20"/>
  <sheetViews>
    <sheetView workbookViewId="0">
      <selection activeCell="E2" sqref="E2:E3"/>
    </sheetView>
  </sheetViews>
  <sheetFormatPr defaultRowHeight="14.4" x14ac:dyDescent="0.3"/>
  <cols>
    <col min="1" max="1" width="13.33203125" bestFit="1" customWidth="1"/>
    <col min="2" max="2" width="12" bestFit="1" customWidth="1"/>
    <col min="3" max="3" width="12.109375" bestFit="1" customWidth="1"/>
    <col min="5" max="5" width="13.88671875" customWidth="1"/>
    <col min="7" max="7" width="12.5546875" bestFit="1" customWidth="1"/>
    <col min="16" max="16" width="10.77734375" customWidth="1"/>
  </cols>
  <sheetData>
    <row r="2" spans="1:9" ht="28.8" x14ac:dyDescent="0.55000000000000004">
      <c r="A2" s="62" t="s">
        <v>504</v>
      </c>
      <c r="E2" s="126" t="s">
        <v>955</v>
      </c>
    </row>
    <row r="3" spans="1:9" x14ac:dyDescent="0.3">
      <c r="A3" s="59" t="s">
        <v>375</v>
      </c>
      <c r="E3" s="126"/>
    </row>
    <row r="5" spans="1:9" x14ac:dyDescent="0.3">
      <c r="A5" s="55" t="s">
        <v>376</v>
      </c>
      <c r="B5" s="42"/>
      <c r="C5" s="42"/>
      <c r="D5" s="42"/>
      <c r="E5" s="42"/>
      <c r="F5" s="42"/>
      <c r="G5" s="42"/>
    </row>
    <row r="7" spans="1:9" x14ac:dyDescent="0.3">
      <c r="A7" t="s">
        <v>347</v>
      </c>
      <c r="B7" t="s">
        <v>148</v>
      </c>
      <c r="C7" t="s">
        <v>355</v>
      </c>
      <c r="F7" t="s">
        <v>347</v>
      </c>
      <c r="G7" t="s">
        <v>348</v>
      </c>
      <c r="H7" t="s">
        <v>349</v>
      </c>
      <c r="I7" t="s">
        <v>350</v>
      </c>
    </row>
    <row r="8" spans="1:9" x14ac:dyDescent="0.3">
      <c r="A8">
        <v>110608</v>
      </c>
      <c r="B8" t="s">
        <v>356</v>
      </c>
      <c r="C8" t="s">
        <v>357</v>
      </c>
      <c r="F8">
        <v>602693</v>
      </c>
      <c r="G8" s="61" t="s">
        <v>374</v>
      </c>
      <c r="H8" t="str" cm="1">
        <f t="array" ref="H8">_xlfn.XLOOKUP(Table017__Page_58[[#This Row],[Empoyee ID]],Table018__Page_5[[#All],[Empoyee ID]],Table018__Page_5[[#All],[First Name]],0)</f>
        <v>Micheal</v>
      </c>
      <c r="I8" t="str" cm="1">
        <f t="array" ref="I8">_xlfn.XLOOKUP(Table017__Page_58[[#This Row],[Empoyee ID]],Table018__Page_5[[#All],[Empoyee ID]],Table018__Page_5[[#All],[Last Name]],0)</f>
        <v>Vick</v>
      </c>
    </row>
    <row r="9" spans="1:9" x14ac:dyDescent="0.3">
      <c r="A9">
        <v>253072</v>
      </c>
      <c r="B9" t="s">
        <v>358</v>
      </c>
      <c r="C9" t="s">
        <v>359</v>
      </c>
      <c r="F9">
        <v>611810</v>
      </c>
      <c r="G9" s="60">
        <v>137670</v>
      </c>
      <c r="H9" t="str" cm="1">
        <f t="array" ref="H9">_xlfn.XLOOKUP(Table017__Page_58[[#This Row],[Empoyee ID]],Table018__Page_5[[#All],[Empoyee ID]],Table018__Page_5[[#All],[First Name]],0)</f>
        <v>Tiger</v>
      </c>
      <c r="I9" t="str" cm="1">
        <f t="array" ref="I9">_xlfn.XLOOKUP(Table017__Page_58[[#This Row],[Empoyee ID]],Table018__Page_5[[#All],[Empoyee ID]],Table018__Page_5[[#All],[Last Name]],0)</f>
        <v>Woods</v>
      </c>
    </row>
    <row r="10" spans="1:9" x14ac:dyDescent="0.3">
      <c r="A10">
        <v>352711</v>
      </c>
      <c r="B10" t="s">
        <v>152</v>
      </c>
      <c r="C10" t="s">
        <v>357</v>
      </c>
      <c r="F10">
        <v>549457</v>
      </c>
      <c r="G10" s="60">
        <v>190024</v>
      </c>
      <c r="H10" t="str" cm="1">
        <f t="array" ref="H10">_xlfn.XLOOKUP(Table017__Page_58[[#This Row],[Empoyee ID]],Table018__Page_5[[#All],[Empoyee ID]],Table018__Page_5[[#All],[First Name]],0)</f>
        <v>John</v>
      </c>
      <c r="I10" t="str" cm="1">
        <f t="array" ref="I10">_xlfn.XLOOKUP(Table017__Page_58[[#This Row],[Empoyee ID]],Table018__Page_5[[#All],[Empoyee ID]],Table018__Page_5[[#All],[Last Name]],0)</f>
        <v>Elway</v>
      </c>
    </row>
    <row r="11" spans="1:9" x14ac:dyDescent="0.3">
      <c r="A11">
        <v>391006</v>
      </c>
      <c r="B11" t="s">
        <v>360</v>
      </c>
      <c r="C11" t="s">
        <v>361</v>
      </c>
      <c r="F11">
        <v>612235</v>
      </c>
      <c r="G11" s="60">
        <v>122604</v>
      </c>
      <c r="H11" t="str" cm="1">
        <f t="array" ref="H11">_xlfn.XLOOKUP(Table017__Page_58[[#This Row],[Empoyee ID]],Table018__Page_5[[#All],[Empoyee ID]],Table018__Page_5[[#All],[First Name]],0)</f>
        <v>Micheal</v>
      </c>
      <c r="I11" t="str" cm="1">
        <f t="array" ref="I11">_xlfn.XLOOKUP(Table017__Page_58[[#This Row],[Empoyee ID]],Table018__Page_5[[#All],[Empoyee ID]],Table018__Page_5[[#All],[Last Name]],0)</f>
        <v>Jordan</v>
      </c>
    </row>
    <row r="12" spans="1:9" x14ac:dyDescent="0.3">
      <c r="A12">
        <v>392128</v>
      </c>
      <c r="B12" t="s">
        <v>362</v>
      </c>
      <c r="C12" t="s">
        <v>363</v>
      </c>
      <c r="F12">
        <v>580622</v>
      </c>
      <c r="G12" s="60">
        <v>111709</v>
      </c>
      <c r="H12" t="str" cm="1">
        <f t="array" ref="H12">_xlfn.XLOOKUP(Table017__Page_58[[#This Row],[Empoyee ID]],Table018__Page_5[[#All],[Empoyee ID]],Table018__Page_5[[#All],[First Name]],0)</f>
        <v>Eli</v>
      </c>
      <c r="I12" t="str" cm="1">
        <f t="array" ref="I12">_xlfn.XLOOKUP(Table017__Page_58[[#This Row],[Empoyee ID]],Table018__Page_5[[#All],[Empoyee ID]],Table018__Page_5[[#All],[Last Name]],0)</f>
        <v>Manning</v>
      </c>
    </row>
    <row r="13" spans="1:9" x14ac:dyDescent="0.3">
      <c r="A13">
        <v>549457</v>
      </c>
      <c r="B13" t="s">
        <v>364</v>
      </c>
      <c r="C13" t="s">
        <v>357</v>
      </c>
      <c r="F13">
        <v>830385</v>
      </c>
      <c r="G13" s="60">
        <v>85931</v>
      </c>
      <c r="H13" t="str" cm="1">
        <f t="array" ref="H13">_xlfn.XLOOKUP(Table017__Page_58[[#This Row],[Empoyee ID]],Table018__Page_5[[#All],[Empoyee ID]],Table018__Page_5[[#All],[First Name]],0)</f>
        <v>Prince</v>
      </c>
      <c r="I13" t="str" cm="1">
        <f t="array" ref="I13">_xlfn.XLOOKUP(Table017__Page_58[[#This Row],[Empoyee ID]],Table018__Page_5[[#All],[Empoyee ID]],Table018__Page_5[[#All],[Last Name]],0)</f>
        <v>Williams</v>
      </c>
    </row>
    <row r="14" spans="1:9" x14ac:dyDescent="0.3">
      <c r="A14">
        <v>580622</v>
      </c>
      <c r="B14" t="s">
        <v>365</v>
      </c>
      <c r="C14" t="s">
        <v>366</v>
      </c>
      <c r="F14">
        <v>253072</v>
      </c>
      <c r="G14" s="60">
        <v>168114</v>
      </c>
      <c r="H14" t="str" cm="1">
        <f t="array" ref="H14">_xlfn.XLOOKUP(Table017__Page_58[[#This Row],[Empoyee ID]],Table018__Page_5[[#All],[Empoyee ID]],Table018__Page_5[[#All],[First Name]],0)</f>
        <v>Andy</v>
      </c>
      <c r="I14" t="str" cm="1">
        <f t="array" ref="I14">_xlfn.XLOOKUP(Table017__Page_58[[#This Row],[Empoyee ID]],Table018__Page_5[[#All],[Empoyee ID]],Table018__Page_5[[#All],[Last Name]],0)</f>
        <v>Cline</v>
      </c>
    </row>
    <row r="15" spans="1:9" x14ac:dyDescent="0.3">
      <c r="A15">
        <v>602693</v>
      </c>
      <c r="B15" t="s">
        <v>352</v>
      </c>
      <c r="C15" t="s">
        <v>351</v>
      </c>
      <c r="F15">
        <v>391006</v>
      </c>
      <c r="G15" s="60">
        <v>89627</v>
      </c>
      <c r="H15" t="str" cm="1">
        <f t="array" ref="H15">_xlfn.XLOOKUP(Table017__Page_58[[#This Row],[Empoyee ID]],Table018__Page_5[[#All],[Empoyee ID]],Table018__Page_5[[#All],[First Name]],0)</f>
        <v>Peter</v>
      </c>
      <c r="I15" t="str" cm="1">
        <f t="array" ref="I15">_xlfn.XLOOKUP(Table017__Page_58[[#This Row],[Empoyee ID]],Table018__Page_5[[#All],[Empoyee ID]],Table018__Page_5[[#All],[Last Name]],0)</f>
        <v>Pan</v>
      </c>
    </row>
    <row r="16" spans="1:9" x14ac:dyDescent="0.3">
      <c r="A16">
        <v>611810</v>
      </c>
      <c r="B16" t="s">
        <v>367</v>
      </c>
      <c r="C16" t="s">
        <v>368</v>
      </c>
      <c r="F16">
        <v>990678</v>
      </c>
      <c r="G16" s="60">
        <v>149946</v>
      </c>
      <c r="H16" t="str" cm="1">
        <f t="array" ref="H16">_xlfn.XLOOKUP(Table017__Page_58[[#This Row],[Empoyee ID]],Table018__Page_5[[#All],[Empoyee ID]],Table018__Page_5[[#All],[First Name]],0)</f>
        <v>Brad</v>
      </c>
      <c r="I16" t="str" cm="1">
        <f t="array" ref="I16">_xlfn.XLOOKUP(Table017__Page_58[[#This Row],[Empoyee ID]],Table018__Page_5[[#All],[Empoyee ID]],Table018__Page_5[[#All],[Last Name]],0)</f>
        <v>Pitt</v>
      </c>
    </row>
    <row r="17" spans="1:9" x14ac:dyDescent="0.3">
      <c r="A17">
        <v>612235</v>
      </c>
      <c r="B17" t="s">
        <v>369</v>
      </c>
      <c r="C17" t="s">
        <v>351</v>
      </c>
      <c r="F17">
        <v>795574</v>
      </c>
      <c r="G17" s="60">
        <v>145893</v>
      </c>
      <c r="H17" t="str" cm="1">
        <f t="array" ref="H17">_xlfn.XLOOKUP(Table017__Page_58[[#This Row],[Empoyee ID]],Table018__Page_5[[#All],[Empoyee ID]],Table018__Page_5[[#All],[First Name]],0)</f>
        <v>Tony</v>
      </c>
      <c r="I17" t="str" cm="1">
        <f t="array" ref="I17">_xlfn.XLOOKUP(Table017__Page_58[[#This Row],[Empoyee ID]],Table018__Page_5[[#All],[Empoyee ID]],Table018__Page_5[[#All],[Last Name]],0)</f>
        <v>Stark</v>
      </c>
    </row>
    <row r="18" spans="1:9" x14ac:dyDescent="0.3">
      <c r="A18">
        <v>795574</v>
      </c>
      <c r="B18" t="s">
        <v>370</v>
      </c>
      <c r="C18" t="s">
        <v>371</v>
      </c>
      <c r="F18">
        <v>392128</v>
      </c>
      <c r="G18" s="60">
        <v>64757</v>
      </c>
      <c r="H18" t="str" cm="1">
        <f t="array" ref="H18">_xlfn.XLOOKUP(Table017__Page_58[[#This Row],[Empoyee ID]],Table018__Page_5[[#All],[Empoyee ID]],Table018__Page_5[[#All],[First Name]],0)</f>
        <v>Bret</v>
      </c>
      <c r="I18" t="str" cm="1">
        <f t="array" ref="I18">_xlfn.XLOOKUP(Table017__Page_58[[#This Row],[Empoyee ID]],Table018__Page_5[[#All],[Empoyee ID]],Table018__Page_5[[#All],[Last Name]],0)</f>
        <v>Favre</v>
      </c>
    </row>
    <row r="19" spans="1:9" x14ac:dyDescent="0.3">
      <c r="A19">
        <v>830385</v>
      </c>
      <c r="B19" t="s">
        <v>154</v>
      </c>
      <c r="C19" t="s">
        <v>372</v>
      </c>
      <c r="F19">
        <v>352711</v>
      </c>
      <c r="G19" s="60">
        <v>71478</v>
      </c>
      <c r="H19" t="str" cm="1">
        <f t="array" ref="H19">_xlfn.XLOOKUP(Table017__Page_58[[#This Row],[Empoyee ID]],Table018__Page_5[[#All],[Empoyee ID]],Table018__Page_5[[#All],[First Name]],0)</f>
        <v>John</v>
      </c>
      <c r="I19" t="str" cm="1">
        <f t="array" ref="I19">_xlfn.XLOOKUP(Table017__Page_58[[#This Row],[Empoyee ID]],Table018__Page_5[[#All],[Empoyee ID]],Table018__Page_5[[#All],[Last Name]],0)</f>
        <v>Smith</v>
      </c>
    </row>
    <row r="20" spans="1:9" x14ac:dyDescent="0.3">
      <c r="A20">
        <v>990678</v>
      </c>
      <c r="B20" t="s">
        <v>353</v>
      </c>
      <c r="C20" t="s">
        <v>354</v>
      </c>
      <c r="F20">
        <v>110608</v>
      </c>
      <c r="G20" s="60">
        <v>121444</v>
      </c>
      <c r="H20" t="str" cm="1">
        <f t="array" ref="H20">_xlfn.XLOOKUP(Table017__Page_58[[#This Row],[Empoyee ID]],Table018__Page_5[[#All],[Empoyee ID]],Table018__Page_5[[#All],[First Name]],0)</f>
        <v>John</v>
      </c>
      <c r="I20" t="str" cm="1">
        <f t="array" ref="I20">_xlfn.XLOOKUP(Table017__Page_58[[#This Row],[Empoyee ID]],Table018__Page_5[[#All],[Empoyee ID]],Table018__Page_5[[#All],[Last Name]],0)</f>
        <v>Doe</v>
      </c>
    </row>
  </sheetData>
  <mergeCells count="1">
    <mergeCell ref="E2:E3"/>
  </mergeCells>
  <hyperlinks>
    <hyperlink ref="E2:E3" location="'LIST OF SHEET'!A1" display="LIST OF SHEET" xr:uid="{2F3C7738-DF99-48AE-8DCE-286976F5F7A4}"/>
  </hyperlink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6FC2-AECC-49D9-9573-8CDE847C1BF5}">
  <dimension ref="A3:M31"/>
  <sheetViews>
    <sheetView workbookViewId="0">
      <selection activeCell="E3" sqref="E3:E4"/>
    </sheetView>
  </sheetViews>
  <sheetFormatPr defaultRowHeight="14.4" x14ac:dyDescent="0.3"/>
  <cols>
    <col min="1" max="1" width="13.77734375" bestFit="1" customWidth="1"/>
    <col min="2" max="2" width="17.77734375" customWidth="1"/>
    <col min="3" max="3" width="14" customWidth="1"/>
    <col min="4" max="4" width="13.33203125" bestFit="1" customWidth="1"/>
    <col min="5" max="5" width="14.44140625" customWidth="1"/>
    <col min="6" max="6" width="13.21875" customWidth="1"/>
    <col min="10" max="10" width="15.44140625" customWidth="1"/>
    <col min="11" max="11" width="10.33203125" customWidth="1"/>
    <col min="12" max="12" width="10.6640625" customWidth="1"/>
    <col min="16" max="16" width="10.109375" customWidth="1"/>
    <col min="17" max="17" width="11.88671875" bestFit="1" customWidth="1"/>
  </cols>
  <sheetData>
    <row r="3" spans="1:13" ht="25.8" x14ac:dyDescent="0.5">
      <c r="A3" s="15" t="s">
        <v>536</v>
      </c>
      <c r="E3" s="126" t="s">
        <v>955</v>
      </c>
    </row>
    <row r="4" spans="1:13" s="59" customFormat="1" x14ac:dyDescent="0.3">
      <c r="A4" s="59" t="s">
        <v>429</v>
      </c>
      <c r="E4" s="126"/>
    </row>
    <row r="6" spans="1:13" x14ac:dyDescent="0.3">
      <c r="A6" t="s">
        <v>373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H6" s="139" t="s">
        <v>430</v>
      </c>
      <c r="I6" s="139"/>
      <c r="J6" s="139"/>
      <c r="K6" s="127">
        <f>COUNTA(Table022__Page_612[Employee ID])</f>
        <v>14</v>
      </c>
      <c r="L6" s="127"/>
    </row>
    <row r="7" spans="1:13" x14ac:dyDescent="0.3">
      <c r="A7" s="3" t="s">
        <v>382</v>
      </c>
      <c r="B7" s="3" t="str">
        <f>VLOOKUP(Table021__Page_6[[#This Row],[Employee ID]],Table022__Page_612[#All],2,FALSE)</f>
        <v>Faith K. Macias</v>
      </c>
      <c r="C7" s="3" t="str">
        <f>VLOOKUP(Table021__Page_6[[#This Row],[Employee ID]],Table022__Page_612[#All],3,0)</f>
        <v>845-04-3962</v>
      </c>
      <c r="D7" s="3" t="str">
        <f>VLOOKUP(Table021__Page_6[[#This Row],[Employee ID]],Table022__Page_612[#All],4,0)</f>
        <v>Marketing</v>
      </c>
      <c r="E7" s="46">
        <f>VLOOKUP(Table021__Page_6[[#This Row],[Employee ID]],Table022__Page_612[#All],5,0)</f>
        <v>39474</v>
      </c>
      <c r="F7" s="64">
        <f>VLOOKUP(Table021__Page_6[[#This Row],[Employee ID]],Table022__Page_612[#All],6,0)</f>
        <v>73500</v>
      </c>
      <c r="H7" s="139"/>
      <c r="I7" s="139"/>
      <c r="J7" s="139"/>
      <c r="K7" s="127"/>
      <c r="L7" s="127"/>
    </row>
    <row r="8" spans="1:13" x14ac:dyDescent="0.3">
      <c r="A8" s="3" t="s">
        <v>383</v>
      </c>
      <c r="B8" s="3" t="str">
        <f>VLOOKUP(Table021__Page_6[[#This Row],[Employee ID]],Table022__Page_612[#All],2,FALSE)</f>
        <v>Lucian Q. Franklin</v>
      </c>
      <c r="C8" s="3" t="str">
        <f>VLOOKUP(Table021__Page_6[[#This Row],[Employee ID]],Table022__Page_612[#All],3,0)</f>
        <v>345-28-4935</v>
      </c>
      <c r="D8" s="3" t="str">
        <f>VLOOKUP(Table021__Page_6[[#This Row],[Employee ID]],Table022__Page_612[#All],4,0)</f>
        <v>IT/IS</v>
      </c>
      <c r="E8" s="46">
        <f>VLOOKUP(Table021__Page_6[[#This Row],[Employee ID]],Table022__Page_612[#All],5,0)</f>
        <v>39508</v>
      </c>
      <c r="F8" s="64">
        <f>VLOOKUP(Table021__Page_6[[#This Row],[Employee ID]],Table022__Page_612[#All],6,0)</f>
        <v>80000</v>
      </c>
      <c r="H8" s="139"/>
      <c r="I8" s="139"/>
      <c r="J8" s="139"/>
      <c r="K8" s="127"/>
      <c r="L8" s="127"/>
    </row>
    <row r="9" spans="1:13" x14ac:dyDescent="0.3">
      <c r="A9" s="3" t="s">
        <v>396</v>
      </c>
      <c r="B9" s="3" t="str">
        <f>VLOOKUP(Table021__Page_6[[#This Row],[Employee ID]],Table022__Page_612[#All],2,FALSE)</f>
        <v>Blossom K. Fox</v>
      </c>
      <c r="C9" s="3" t="str">
        <f>VLOOKUP(Table021__Page_6[[#This Row],[Employee ID]],Table022__Page_612[#All],3,0)</f>
        <v>245-18-5890</v>
      </c>
      <c r="D9" s="3" t="str">
        <f>VLOOKUP(Table021__Page_6[[#This Row],[Employee ID]],Table022__Page_612[#All],4,0)</f>
        <v>Engineering</v>
      </c>
      <c r="E9" s="46">
        <f>VLOOKUP(Table021__Page_6[[#This Row],[Employee ID]],Table022__Page_612[#All],5,0)</f>
        <v>39640</v>
      </c>
      <c r="F9" s="64">
        <f>VLOOKUP(Table021__Page_6[[#This Row],[Employee ID]],Table022__Page_612[#All],6,0)</f>
        <v>90000</v>
      </c>
    </row>
    <row r="10" spans="1:13" x14ac:dyDescent="0.3">
      <c r="H10" s="128" t="s">
        <v>431</v>
      </c>
      <c r="I10" s="128"/>
      <c r="J10" s="128"/>
      <c r="K10" s="131" t="s">
        <v>403</v>
      </c>
      <c r="L10" s="131" t="s">
        <v>387</v>
      </c>
      <c r="M10" s="131">
        <f>COUNTIF(Table022__Page_612[[#All],[Department]],"Finance")+COUNTIF(Table022__Page_612[[#All],[Department]],"Marketing")</f>
        <v>9</v>
      </c>
    </row>
    <row r="11" spans="1:13" x14ac:dyDescent="0.3">
      <c r="A11" t="s">
        <v>373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H11" s="128"/>
      <c r="I11" s="128"/>
      <c r="J11" s="128"/>
      <c r="K11" s="131"/>
      <c r="L11" s="131"/>
      <c r="M11" s="131"/>
    </row>
    <row r="12" spans="1:13" x14ac:dyDescent="0.3">
      <c r="A12" t="s">
        <v>382</v>
      </c>
      <c r="B12" t="s">
        <v>385</v>
      </c>
      <c r="C12" t="s">
        <v>386</v>
      </c>
      <c r="D12" t="s">
        <v>387</v>
      </c>
      <c r="E12" s="63">
        <v>39474</v>
      </c>
      <c r="F12" s="60">
        <v>73500</v>
      </c>
      <c r="H12" s="128"/>
      <c r="I12" s="128"/>
      <c r="J12" s="128"/>
      <c r="K12" s="3">
        <f>COUNTIF(Table022__Page_612[[#All],[Department]],"Finance")</f>
        <v>2</v>
      </c>
      <c r="L12" s="3">
        <f>COUNTIF(Table022__Page_612[[#All],[Department]],L10)</f>
        <v>7</v>
      </c>
      <c r="M12" s="131"/>
    </row>
    <row r="13" spans="1:13" x14ac:dyDescent="0.3">
      <c r="A13" t="s">
        <v>383</v>
      </c>
      <c r="B13" t="s">
        <v>388</v>
      </c>
      <c r="C13" t="s">
        <v>389</v>
      </c>
      <c r="D13" t="s">
        <v>390</v>
      </c>
      <c r="E13" s="63">
        <v>39508</v>
      </c>
      <c r="F13" s="60">
        <v>80000</v>
      </c>
    </row>
    <row r="14" spans="1:13" x14ac:dyDescent="0.3">
      <c r="A14" t="s">
        <v>384</v>
      </c>
      <c r="B14" t="s">
        <v>391</v>
      </c>
      <c r="C14" t="s">
        <v>392</v>
      </c>
      <c r="D14" t="s">
        <v>387</v>
      </c>
      <c r="E14" s="63">
        <v>39554</v>
      </c>
      <c r="F14" s="60">
        <v>95000</v>
      </c>
      <c r="H14" s="128" t="s">
        <v>432</v>
      </c>
      <c r="I14" s="128"/>
      <c r="J14" s="128"/>
      <c r="K14" s="131" t="s">
        <v>397</v>
      </c>
      <c r="L14" s="131"/>
    </row>
    <row r="15" spans="1:13" x14ac:dyDescent="0.3">
      <c r="A15" t="s">
        <v>393</v>
      </c>
      <c r="B15" t="s">
        <v>394</v>
      </c>
      <c r="C15" t="s">
        <v>395</v>
      </c>
      <c r="D15" t="s">
        <v>387</v>
      </c>
      <c r="E15" s="63">
        <v>39571</v>
      </c>
      <c r="F15" s="60">
        <v>105000</v>
      </c>
      <c r="H15" s="128"/>
      <c r="I15" s="128"/>
      <c r="J15" s="128"/>
      <c r="K15" s="3" t="s">
        <v>379</v>
      </c>
      <c r="L15" s="3" t="s">
        <v>433</v>
      </c>
    </row>
    <row r="16" spans="1:13" x14ac:dyDescent="0.3">
      <c r="A16" t="s">
        <v>396</v>
      </c>
      <c r="B16" t="s">
        <v>397</v>
      </c>
      <c r="C16" t="s">
        <v>398</v>
      </c>
      <c r="D16" t="s">
        <v>399</v>
      </c>
      <c r="E16" s="63">
        <v>39640</v>
      </c>
      <c r="F16" s="60">
        <v>90000</v>
      </c>
      <c r="H16" s="128"/>
      <c r="I16" s="128"/>
      <c r="J16" s="128"/>
      <c r="K16" s="3" t="str">
        <f>VLOOKUP(K18,Table022__Page_612[[#All],[Full Name]:[Earnings]],3,0)</f>
        <v>Engineering</v>
      </c>
      <c r="L16" s="3">
        <f>VLOOKUP(K18,Table022__Page_612[[#All],[Full Name]:[Earnings]],5,0)</f>
        <v>90000</v>
      </c>
    </row>
    <row r="17" spans="1:12" x14ac:dyDescent="0.3">
      <c r="A17" t="s">
        <v>400</v>
      </c>
      <c r="B17" t="s">
        <v>401</v>
      </c>
      <c r="C17" t="s">
        <v>402</v>
      </c>
      <c r="D17" t="s">
        <v>403</v>
      </c>
      <c r="E17" s="63">
        <v>39646</v>
      </c>
      <c r="F17" s="60">
        <v>60000</v>
      </c>
    </row>
    <row r="18" spans="1:12" x14ac:dyDescent="0.3">
      <c r="A18" t="s">
        <v>404</v>
      </c>
      <c r="B18" t="s">
        <v>405</v>
      </c>
      <c r="C18" t="s">
        <v>406</v>
      </c>
      <c r="D18" t="s">
        <v>403</v>
      </c>
      <c r="E18" s="63">
        <v>39726</v>
      </c>
      <c r="F18" s="60">
        <v>87000</v>
      </c>
      <c r="H18" s="128" t="s">
        <v>434</v>
      </c>
      <c r="I18" s="128"/>
      <c r="J18" s="128"/>
      <c r="K18" s="131" t="s">
        <v>397</v>
      </c>
      <c r="L18" s="131"/>
    </row>
    <row r="19" spans="1:12" x14ac:dyDescent="0.3">
      <c r="A19" t="s">
        <v>407</v>
      </c>
      <c r="B19" t="s">
        <v>408</v>
      </c>
      <c r="C19" t="s">
        <v>409</v>
      </c>
      <c r="D19" t="s">
        <v>399</v>
      </c>
      <c r="E19" s="63">
        <v>39749</v>
      </c>
      <c r="F19" s="60">
        <v>104000</v>
      </c>
      <c r="H19" s="128"/>
      <c r="I19" s="128"/>
      <c r="J19" s="128"/>
      <c r="K19" s="131"/>
      <c r="L19" s="131"/>
    </row>
    <row r="20" spans="1:12" x14ac:dyDescent="0.3">
      <c r="A20" t="s">
        <v>410</v>
      </c>
      <c r="B20" t="s">
        <v>411</v>
      </c>
      <c r="C20" t="s">
        <v>412</v>
      </c>
      <c r="D20" t="s">
        <v>387</v>
      </c>
      <c r="E20" s="63">
        <v>39757</v>
      </c>
      <c r="F20" s="60">
        <v>380050</v>
      </c>
      <c r="H20" s="128"/>
      <c r="I20" s="128"/>
      <c r="J20" s="128"/>
      <c r="K20" s="131" t="str">
        <f>VLOOKUP(K18,Table022__Page_612[[#All],[Full Name]:[Earnings]],2,0)</f>
        <v>245-18-5890</v>
      </c>
      <c r="L20" s="131"/>
    </row>
    <row r="21" spans="1:12" x14ac:dyDescent="0.3">
      <c r="A21" t="s">
        <v>413</v>
      </c>
      <c r="B21" t="s">
        <v>414</v>
      </c>
      <c r="C21" t="s">
        <v>415</v>
      </c>
      <c r="D21" t="s">
        <v>387</v>
      </c>
      <c r="E21" s="63">
        <v>39791</v>
      </c>
      <c r="F21" s="60">
        <v>93000</v>
      </c>
    </row>
    <row r="22" spans="1:12" x14ac:dyDescent="0.3">
      <c r="A22" t="s">
        <v>416</v>
      </c>
      <c r="B22" t="s">
        <v>417</v>
      </c>
      <c r="C22" t="s">
        <v>418</v>
      </c>
      <c r="D22" t="s">
        <v>390</v>
      </c>
      <c r="E22" s="63">
        <v>39856</v>
      </c>
      <c r="F22" s="60">
        <v>180000</v>
      </c>
      <c r="H22" s="139" t="s">
        <v>435</v>
      </c>
      <c r="I22" s="139"/>
      <c r="J22" s="139"/>
      <c r="K22" s="131" t="s">
        <v>436</v>
      </c>
      <c r="L22" s="131"/>
    </row>
    <row r="23" spans="1:12" x14ac:dyDescent="0.3">
      <c r="A23" t="s">
        <v>419</v>
      </c>
      <c r="B23" t="s">
        <v>420</v>
      </c>
      <c r="C23" t="s">
        <v>421</v>
      </c>
      <c r="D23" t="s">
        <v>387</v>
      </c>
      <c r="E23" s="63">
        <v>39891</v>
      </c>
      <c r="F23" s="60">
        <v>100000</v>
      </c>
      <c r="H23" s="139"/>
      <c r="I23" s="139"/>
      <c r="J23" s="139"/>
      <c r="K23" s="131"/>
      <c r="L23" s="131"/>
    </row>
    <row r="24" spans="1:12" x14ac:dyDescent="0.3">
      <c r="A24" t="s">
        <v>422</v>
      </c>
      <c r="B24" t="s">
        <v>423</v>
      </c>
      <c r="C24" t="s">
        <v>424</v>
      </c>
      <c r="D24" t="s">
        <v>425</v>
      </c>
      <c r="E24" s="63">
        <v>39916</v>
      </c>
      <c r="F24" s="60">
        <v>136000</v>
      </c>
      <c r="H24" s="139"/>
      <c r="I24" s="139"/>
      <c r="J24" s="139"/>
      <c r="K24" s="142">
        <f>SUMIF(Table022__Page_612[[#All],[Department]],"Marketing",Table022__Page_612[[#All],[Earnings]])</f>
        <v>914550</v>
      </c>
      <c r="L24" s="142"/>
    </row>
    <row r="25" spans="1:12" x14ac:dyDescent="0.3">
      <c r="A25" t="s">
        <v>426</v>
      </c>
      <c r="B25" t="s">
        <v>427</v>
      </c>
      <c r="C25" t="s">
        <v>428</v>
      </c>
      <c r="D25" t="s">
        <v>387</v>
      </c>
      <c r="E25" s="63">
        <v>39931</v>
      </c>
      <c r="F25" s="60">
        <v>68000</v>
      </c>
    </row>
    <row r="27" spans="1:12" ht="18" x14ac:dyDescent="0.35">
      <c r="A27" s="106" t="s">
        <v>430</v>
      </c>
    </row>
    <row r="28" spans="1:12" ht="18" x14ac:dyDescent="0.35">
      <c r="A28" s="106" t="s">
        <v>431</v>
      </c>
    </row>
    <row r="29" spans="1:12" ht="18" x14ac:dyDescent="0.35">
      <c r="A29" s="106" t="s">
        <v>432</v>
      </c>
    </row>
    <row r="30" spans="1:12" ht="18" x14ac:dyDescent="0.35">
      <c r="A30" s="106" t="s">
        <v>434</v>
      </c>
    </row>
    <row r="31" spans="1:12" ht="18" x14ac:dyDescent="0.35">
      <c r="A31" s="106" t="s">
        <v>435</v>
      </c>
    </row>
  </sheetData>
  <mergeCells count="15">
    <mergeCell ref="E3:E4"/>
    <mergeCell ref="M10:M12"/>
    <mergeCell ref="H22:J24"/>
    <mergeCell ref="K22:L23"/>
    <mergeCell ref="K24:L24"/>
    <mergeCell ref="H6:J8"/>
    <mergeCell ref="K6:L8"/>
    <mergeCell ref="H10:J12"/>
    <mergeCell ref="K10:K11"/>
    <mergeCell ref="L10:L11"/>
    <mergeCell ref="H14:J16"/>
    <mergeCell ref="K14:L14"/>
    <mergeCell ref="H18:J20"/>
    <mergeCell ref="K18:L19"/>
    <mergeCell ref="K20:L20"/>
  </mergeCells>
  <hyperlinks>
    <hyperlink ref="E3:E4" location="'LIST OF SHEET'!A1" display="LIST OF SHEET" xr:uid="{8B189777-9348-43A0-9A44-FA3786868F23}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884F-5375-44EF-B92E-0FCB8DABF3E6}">
  <dimension ref="A1:M13"/>
  <sheetViews>
    <sheetView workbookViewId="0">
      <selection activeCell="G2" sqref="G2:G3"/>
    </sheetView>
  </sheetViews>
  <sheetFormatPr defaultRowHeight="14.4" x14ac:dyDescent="0.3"/>
  <cols>
    <col min="1" max="1" width="20.109375" bestFit="1" customWidth="1"/>
    <col min="2" max="2" width="7.21875" bestFit="1" customWidth="1"/>
    <col min="3" max="3" width="10.33203125" bestFit="1" customWidth="1"/>
    <col min="4" max="4" width="8.33203125" bestFit="1" customWidth="1"/>
    <col min="7" max="7" width="13.21875" customWidth="1"/>
  </cols>
  <sheetData>
    <row r="1" spans="1:13" ht="28.8" x14ac:dyDescent="0.55000000000000004">
      <c r="A1" s="62" t="s">
        <v>561</v>
      </c>
    </row>
    <row r="2" spans="1:13" x14ac:dyDescent="0.3">
      <c r="A2" s="59"/>
      <c r="G2" s="126" t="s">
        <v>955</v>
      </c>
    </row>
    <row r="3" spans="1:13" x14ac:dyDescent="0.3">
      <c r="A3" s="59" t="s">
        <v>452</v>
      </c>
      <c r="G3" s="126"/>
    </row>
    <row r="4" spans="1:13" x14ac:dyDescent="0.3">
      <c r="A4" t="s">
        <v>437</v>
      </c>
      <c r="B4" t="s">
        <v>438</v>
      </c>
      <c r="C4" t="s">
        <v>439</v>
      </c>
      <c r="D4" t="s">
        <v>440</v>
      </c>
    </row>
    <row r="5" spans="1:13" x14ac:dyDescent="0.3">
      <c r="A5" t="s">
        <v>441</v>
      </c>
      <c r="B5" s="60">
        <v>2.95</v>
      </c>
      <c r="C5" s="60">
        <v>3.75</v>
      </c>
      <c r="D5" s="60">
        <v>4.1500000000000004</v>
      </c>
    </row>
    <row r="6" spans="1:13" x14ac:dyDescent="0.3">
      <c r="A6" t="s">
        <v>442</v>
      </c>
      <c r="B6" s="60">
        <v>2.95</v>
      </c>
      <c r="C6" s="60">
        <v>3.65</v>
      </c>
      <c r="D6" s="60">
        <v>4.1500000000000004</v>
      </c>
      <c r="G6" s="128" t="s">
        <v>450</v>
      </c>
      <c r="H6" s="131"/>
      <c r="I6" s="131"/>
      <c r="J6" s="131"/>
      <c r="K6" s="127" t="s">
        <v>439</v>
      </c>
      <c r="L6" s="127" t="s">
        <v>440</v>
      </c>
      <c r="M6" s="127" t="s">
        <v>438</v>
      </c>
    </row>
    <row r="7" spans="1:13" x14ac:dyDescent="0.3">
      <c r="A7" t="s">
        <v>443</v>
      </c>
      <c r="B7" s="60">
        <v>3.75</v>
      </c>
      <c r="C7" s="60">
        <v>3.95</v>
      </c>
      <c r="D7" s="60">
        <v>4.25</v>
      </c>
      <c r="G7" s="131"/>
      <c r="H7" s="131"/>
      <c r="I7" s="131"/>
      <c r="J7" s="131"/>
      <c r="K7" s="127"/>
      <c r="L7" s="127"/>
      <c r="M7" s="127"/>
    </row>
    <row r="8" spans="1:13" x14ac:dyDescent="0.3">
      <c r="A8" t="s">
        <v>444</v>
      </c>
      <c r="B8" s="60">
        <v>3.25</v>
      </c>
      <c r="C8" s="60">
        <v>3.95</v>
      </c>
      <c r="D8" s="60">
        <v>4.4000000000000004</v>
      </c>
      <c r="G8" s="131"/>
      <c r="H8" s="131"/>
      <c r="I8" s="131"/>
      <c r="J8" s="131"/>
      <c r="K8" s="6">
        <f>MATCH(K6,Table024__Page_6[#Headers],0)</f>
        <v>3</v>
      </c>
      <c r="L8" s="6">
        <f>MATCH(L6,Table024__Page_6[#Headers],0)</f>
        <v>4</v>
      </c>
      <c r="M8" s="6">
        <f>MATCH(M6,Table024__Page_6[#Headers],0)</f>
        <v>2</v>
      </c>
    </row>
    <row r="9" spans="1:13" x14ac:dyDescent="0.3">
      <c r="A9" t="s">
        <v>445</v>
      </c>
      <c r="B9" s="60">
        <v>3.45</v>
      </c>
      <c r="C9" s="60">
        <v>4.1500000000000004</v>
      </c>
      <c r="D9" s="60">
        <v>4.55</v>
      </c>
    </row>
    <row r="10" spans="1:13" x14ac:dyDescent="0.3">
      <c r="A10" t="s">
        <v>446</v>
      </c>
      <c r="B10" s="60">
        <v>2</v>
      </c>
      <c r="C10" s="60">
        <v>2.4</v>
      </c>
      <c r="D10" s="60">
        <v>2.75</v>
      </c>
      <c r="G10" s="128" t="s">
        <v>451</v>
      </c>
      <c r="H10" s="131"/>
      <c r="I10" s="131"/>
      <c r="J10" s="131"/>
      <c r="K10" s="131" t="s">
        <v>444</v>
      </c>
      <c r="L10" s="131"/>
      <c r="M10" s="131"/>
    </row>
    <row r="11" spans="1:13" x14ac:dyDescent="0.3">
      <c r="A11" t="s">
        <v>447</v>
      </c>
      <c r="B11" s="60">
        <v>3.95</v>
      </c>
      <c r="C11" s="60">
        <v>4.75</v>
      </c>
      <c r="D11" s="60">
        <v>5.15</v>
      </c>
      <c r="G11" s="131"/>
      <c r="H11" s="131"/>
      <c r="I11" s="131"/>
      <c r="J11" s="131"/>
      <c r="K11" s="3" t="s">
        <v>439</v>
      </c>
      <c r="L11" s="3" t="s">
        <v>440</v>
      </c>
      <c r="M11" s="3" t="s">
        <v>438</v>
      </c>
    </row>
    <row r="12" spans="1:13" x14ac:dyDescent="0.3">
      <c r="A12" t="s">
        <v>448</v>
      </c>
      <c r="B12" s="60">
        <v>2.25</v>
      </c>
      <c r="C12" s="60">
        <v>2.5</v>
      </c>
      <c r="D12" s="60">
        <v>2.75</v>
      </c>
      <c r="G12" s="131"/>
      <c r="H12" s="131"/>
      <c r="I12" s="131"/>
      <c r="J12" s="131"/>
      <c r="K12" s="64">
        <f>VLOOKUP(K10,Table024__Page_6[#All],MATCH(K11,Table024__Page_6[#Headers],0),0)</f>
        <v>3.95</v>
      </c>
      <c r="L12" s="64">
        <f>VLOOKUP(K10,Table024__Page_6[#All],MATCH(L11,Table024__Page_6[#Headers],0),0)</f>
        <v>4.4000000000000004</v>
      </c>
      <c r="M12" s="64">
        <f>VLOOKUP(K10,Table024__Page_6[#All],MATCH(M11,Table024__Page_6[#Headers],0),0)</f>
        <v>3.25</v>
      </c>
    </row>
    <row r="13" spans="1:13" x14ac:dyDescent="0.3">
      <c r="A13" t="s">
        <v>449</v>
      </c>
      <c r="B13" s="60">
        <v>1.75</v>
      </c>
      <c r="C13" s="60">
        <v>1.95</v>
      </c>
      <c r="D13" s="60">
        <v>2.0499999999999998</v>
      </c>
    </row>
  </sheetData>
  <mergeCells count="7">
    <mergeCell ref="G10:J12"/>
    <mergeCell ref="K10:M10"/>
    <mergeCell ref="G2:G3"/>
    <mergeCell ref="G6:J8"/>
    <mergeCell ref="K6:K7"/>
    <mergeCell ref="L6:L7"/>
    <mergeCell ref="M6:M7"/>
  </mergeCells>
  <hyperlinks>
    <hyperlink ref="G2:G3" location="'LIST OF SHEET'!A1" display="LIST OF SHEET" xr:uid="{E83E6236-E854-4FBB-96B3-9E985A8CA27B}"/>
  </hyperlink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CF75-8F2E-4AA5-A7F2-BF365AFB07B1}">
  <dimension ref="A1:R16"/>
  <sheetViews>
    <sheetView workbookViewId="0">
      <selection activeCell="H2" sqref="H2:H3"/>
    </sheetView>
  </sheetViews>
  <sheetFormatPr defaultRowHeight="14.4" x14ac:dyDescent="0.3"/>
  <cols>
    <col min="1" max="1" width="15.44140625" bestFit="1" customWidth="1"/>
    <col min="2" max="7" width="11.109375" bestFit="1" customWidth="1"/>
    <col min="8" max="8" width="15.77734375" customWidth="1"/>
    <col min="9" max="9" width="11.109375" bestFit="1" customWidth="1"/>
    <col min="10" max="10" width="12.77734375" bestFit="1" customWidth="1"/>
    <col min="15" max="15" width="10.109375" bestFit="1" customWidth="1"/>
    <col min="16" max="16" width="11.109375" bestFit="1" customWidth="1"/>
    <col min="17" max="18" width="10.109375" bestFit="1" customWidth="1"/>
  </cols>
  <sheetData>
    <row r="1" spans="1:18" ht="28.8" x14ac:dyDescent="0.55000000000000004">
      <c r="A1" s="62" t="s">
        <v>573</v>
      </c>
    </row>
    <row r="2" spans="1:18" ht="28.8" x14ac:dyDescent="0.55000000000000004">
      <c r="A2" s="62" t="s">
        <v>475</v>
      </c>
      <c r="H2" s="126" t="s">
        <v>955</v>
      </c>
    </row>
    <row r="3" spans="1:18" x14ac:dyDescent="0.3">
      <c r="A3" t="s">
        <v>475</v>
      </c>
      <c r="H3" s="126"/>
    </row>
    <row r="5" spans="1:18" x14ac:dyDescent="0.3">
      <c r="A5" t="s">
        <v>453</v>
      </c>
      <c r="B5" t="s">
        <v>454</v>
      </c>
      <c r="C5" t="s">
        <v>455</v>
      </c>
      <c r="D5" t="s">
        <v>456</v>
      </c>
      <c r="E5" t="s">
        <v>457</v>
      </c>
      <c r="F5" t="s">
        <v>175</v>
      </c>
      <c r="G5" t="s">
        <v>458</v>
      </c>
      <c r="H5" t="s">
        <v>459</v>
      </c>
      <c r="I5" t="s">
        <v>460</v>
      </c>
      <c r="J5" t="s">
        <v>461</v>
      </c>
    </row>
    <row r="6" spans="1:18" x14ac:dyDescent="0.3">
      <c r="A6" t="s">
        <v>462</v>
      </c>
      <c r="B6" s="60">
        <v>2773</v>
      </c>
      <c r="C6" s="60">
        <v>17462</v>
      </c>
      <c r="D6" s="60">
        <v>5954</v>
      </c>
      <c r="E6" s="60">
        <v>1348</v>
      </c>
      <c r="F6" s="60">
        <v>28158</v>
      </c>
      <c r="G6" s="60">
        <v>28799</v>
      </c>
      <c r="H6" s="60">
        <v>25415</v>
      </c>
      <c r="I6" s="60">
        <v>17227</v>
      </c>
      <c r="J6" s="60">
        <f t="shared" ref="J6:J13" si="0">SUM(B6:I6)</f>
        <v>127136</v>
      </c>
      <c r="L6" s="127" t="s">
        <v>470</v>
      </c>
      <c r="M6" s="127"/>
      <c r="N6" s="127"/>
      <c r="O6" s="127">
        <f>COUNTA(Table028__Page_7[Product Name])</f>
        <v>8</v>
      </c>
    </row>
    <row r="7" spans="1:18" x14ac:dyDescent="0.3">
      <c r="A7" t="s">
        <v>463</v>
      </c>
      <c r="B7" s="60">
        <v>12908</v>
      </c>
      <c r="C7" s="60">
        <v>3083</v>
      </c>
      <c r="D7" s="60">
        <v>24492</v>
      </c>
      <c r="E7" s="60">
        <v>5825</v>
      </c>
      <c r="F7" s="60">
        <v>1080</v>
      </c>
      <c r="G7" s="60">
        <v>2188</v>
      </c>
      <c r="H7" s="60">
        <v>11087</v>
      </c>
      <c r="I7" s="60">
        <v>15544</v>
      </c>
      <c r="J7" s="60">
        <f t="shared" si="0"/>
        <v>76207</v>
      </c>
      <c r="L7" s="127"/>
      <c r="M7" s="127"/>
      <c r="N7" s="127"/>
      <c r="O7" s="127"/>
    </row>
    <row r="8" spans="1:18" x14ac:dyDescent="0.3">
      <c r="A8" t="s">
        <v>464</v>
      </c>
      <c r="B8" s="60">
        <v>6554</v>
      </c>
      <c r="C8" s="60">
        <v>14262</v>
      </c>
      <c r="D8" s="60">
        <v>8377</v>
      </c>
      <c r="E8" s="60">
        <v>24982</v>
      </c>
      <c r="F8" s="60">
        <v>12184</v>
      </c>
      <c r="G8" s="60">
        <v>6430</v>
      </c>
      <c r="H8" s="60">
        <v>21159</v>
      </c>
      <c r="I8" s="60">
        <v>18597</v>
      </c>
      <c r="J8" s="60">
        <f t="shared" si="0"/>
        <v>112545</v>
      </c>
      <c r="L8" s="127"/>
      <c r="M8" s="127"/>
      <c r="N8" s="127"/>
      <c r="O8" s="127"/>
    </row>
    <row r="9" spans="1:18" x14ac:dyDescent="0.3">
      <c r="A9" t="s">
        <v>465</v>
      </c>
      <c r="B9" s="60">
        <v>28913</v>
      </c>
      <c r="C9" s="60">
        <v>1437</v>
      </c>
      <c r="D9" s="60">
        <v>20019</v>
      </c>
      <c r="E9" s="60">
        <v>13026</v>
      </c>
      <c r="F9" s="60">
        <v>26952</v>
      </c>
      <c r="G9" s="60">
        <v>27076</v>
      </c>
      <c r="H9" s="60">
        <v>7040</v>
      </c>
      <c r="I9" s="60">
        <v>10884</v>
      </c>
      <c r="J9" s="60">
        <f t="shared" si="0"/>
        <v>135347</v>
      </c>
    </row>
    <row r="10" spans="1:18" x14ac:dyDescent="0.3">
      <c r="A10" t="s">
        <v>466</v>
      </c>
      <c r="B10" s="60">
        <v>4768</v>
      </c>
      <c r="C10" s="60">
        <v>7622</v>
      </c>
      <c r="D10" s="60">
        <v>28918</v>
      </c>
      <c r="E10" s="60">
        <v>27141</v>
      </c>
      <c r="F10" s="60">
        <v>3578</v>
      </c>
      <c r="G10" s="60">
        <v>10092</v>
      </c>
      <c r="H10" s="60">
        <v>15207</v>
      </c>
      <c r="I10" s="60">
        <v>12771</v>
      </c>
      <c r="J10" s="60">
        <f t="shared" si="0"/>
        <v>110097</v>
      </c>
      <c r="L10" s="128" t="s">
        <v>471</v>
      </c>
      <c r="M10" s="128"/>
      <c r="N10" s="128"/>
      <c r="O10" s="131" t="s">
        <v>473</v>
      </c>
      <c r="P10" s="131"/>
      <c r="Q10" s="131" t="s">
        <v>474</v>
      </c>
      <c r="R10" s="131"/>
    </row>
    <row r="11" spans="1:18" x14ac:dyDescent="0.3">
      <c r="A11" t="s">
        <v>467</v>
      </c>
      <c r="B11" s="60">
        <v>13390</v>
      </c>
      <c r="C11" s="60">
        <v>3611</v>
      </c>
      <c r="D11" s="60">
        <v>6226</v>
      </c>
      <c r="E11" s="60">
        <v>27567</v>
      </c>
      <c r="F11" s="60">
        <v>29962</v>
      </c>
      <c r="G11" s="60">
        <v>2967</v>
      </c>
      <c r="H11" s="60">
        <v>5740</v>
      </c>
      <c r="I11" s="60">
        <v>2137</v>
      </c>
      <c r="J11" s="60">
        <f t="shared" si="0"/>
        <v>91600</v>
      </c>
      <c r="L11" s="128"/>
      <c r="M11" s="128"/>
      <c r="N11" s="128"/>
      <c r="O11" s="3" t="s">
        <v>274</v>
      </c>
      <c r="P11" s="3" t="s">
        <v>472</v>
      </c>
      <c r="Q11" s="3" t="s">
        <v>274</v>
      </c>
      <c r="R11" s="3" t="s">
        <v>472</v>
      </c>
    </row>
    <row r="12" spans="1:18" x14ac:dyDescent="0.3">
      <c r="A12" t="s">
        <v>468</v>
      </c>
      <c r="B12" s="60">
        <v>17585</v>
      </c>
      <c r="C12" s="60">
        <v>28508</v>
      </c>
      <c r="D12" s="60">
        <v>9614</v>
      </c>
      <c r="E12" s="60">
        <v>17110</v>
      </c>
      <c r="F12" s="60">
        <v>12143</v>
      </c>
      <c r="G12" s="60">
        <v>7365</v>
      </c>
      <c r="H12" s="60">
        <v>24185</v>
      </c>
      <c r="I12" s="60">
        <v>1643</v>
      </c>
      <c r="J12" s="60">
        <f t="shared" si="0"/>
        <v>118153</v>
      </c>
      <c r="L12" s="128"/>
      <c r="M12" s="128"/>
      <c r="N12" s="128"/>
      <c r="O12" s="143">
        <f>VLOOKUP(O10,Table028__Page_7[#All],4,0)</f>
        <v>8377</v>
      </c>
      <c r="P12" s="143">
        <f>VLOOKUP(O10,Table028__Page_7[#All],8,0)</f>
        <v>21159</v>
      </c>
      <c r="Q12" s="143">
        <f>VLOOKUP(Q10,Table028__Page_7[#All],4,0)</f>
        <v>6469</v>
      </c>
      <c r="R12" s="143">
        <f>VLOOKUP(Q10,Table028__Page_7[#All],8,0)</f>
        <v>3334</v>
      </c>
    </row>
    <row r="13" spans="1:18" x14ac:dyDescent="0.3">
      <c r="A13" t="s">
        <v>469</v>
      </c>
      <c r="B13" s="60">
        <v>22579</v>
      </c>
      <c r="C13" s="60">
        <v>16301</v>
      </c>
      <c r="D13" s="60">
        <v>6469</v>
      </c>
      <c r="E13" s="60">
        <v>22050</v>
      </c>
      <c r="F13" s="60">
        <v>8740</v>
      </c>
      <c r="G13" s="60">
        <v>18806</v>
      </c>
      <c r="H13" s="60">
        <v>3334</v>
      </c>
      <c r="I13" s="60">
        <v>3597</v>
      </c>
      <c r="J13" s="60">
        <f t="shared" si="0"/>
        <v>101876</v>
      </c>
      <c r="L13" s="128"/>
      <c r="M13" s="128"/>
      <c r="N13" s="128"/>
      <c r="O13" s="143"/>
      <c r="P13" s="143"/>
      <c r="Q13" s="143"/>
      <c r="R13" s="143"/>
    </row>
    <row r="15" spans="1:18" ht="25.8" x14ac:dyDescent="0.5">
      <c r="A15" s="107" t="s">
        <v>470</v>
      </c>
    </row>
    <row r="16" spans="1:18" ht="25.8" x14ac:dyDescent="0.5">
      <c r="A16" s="107" t="s">
        <v>471</v>
      </c>
    </row>
  </sheetData>
  <mergeCells count="10">
    <mergeCell ref="Q10:R10"/>
    <mergeCell ref="O12:O13"/>
    <mergeCell ref="P12:P13"/>
    <mergeCell ref="Q12:Q13"/>
    <mergeCell ref="R12:R13"/>
    <mergeCell ref="H2:H3"/>
    <mergeCell ref="L6:N8"/>
    <mergeCell ref="O6:O8"/>
    <mergeCell ref="L10:N13"/>
    <mergeCell ref="O10:P10"/>
  </mergeCells>
  <hyperlinks>
    <hyperlink ref="H2:H3" location="'LIST OF SHEET'!A1" display="LIST OF SHEET" xr:uid="{F2F2B32D-E778-4907-8EF3-9A6AD1FC5392}"/>
  </hyperlinks>
  <pageMargins left="0.7" right="0.7" top="0.75" bottom="0.75" header="0.3" footer="0.3"/>
  <ignoredErrors>
    <ignoredError sqref="P12:Q12" formula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C8BC-031A-4674-B157-11446DEE5AAC}">
  <dimension ref="A3:Q58"/>
  <sheetViews>
    <sheetView workbookViewId="0">
      <selection activeCell="G3" sqref="G3:G4"/>
    </sheetView>
  </sheetViews>
  <sheetFormatPr defaultRowHeight="14.4" x14ac:dyDescent="0.3"/>
  <cols>
    <col min="1" max="1" width="9.21875" bestFit="1" customWidth="1"/>
    <col min="2" max="2" width="6.88671875" bestFit="1" customWidth="1"/>
    <col min="3" max="3" width="10.5546875" bestFit="1" customWidth="1"/>
    <col min="4" max="4" width="10.6640625" bestFit="1" customWidth="1"/>
    <col min="5" max="5" width="12.5546875" bestFit="1" customWidth="1"/>
    <col min="7" max="7" width="19.109375" customWidth="1"/>
    <col min="9" max="9" width="12.5546875" customWidth="1"/>
    <col min="10" max="10" width="18.109375" customWidth="1"/>
    <col min="11" max="11" width="15.5546875" bestFit="1" customWidth="1"/>
    <col min="12" max="12" width="8" bestFit="1" customWidth="1"/>
    <col min="13" max="13" width="10.77734375" bestFit="1" customWidth="1"/>
    <col min="14" max="14" width="11" bestFit="1" customWidth="1"/>
    <col min="15" max="15" width="10.77734375" bestFit="1" customWidth="1"/>
  </cols>
  <sheetData>
    <row r="3" spans="1:17" ht="25.8" x14ac:dyDescent="0.5">
      <c r="A3" s="15" t="s">
        <v>574</v>
      </c>
      <c r="G3" s="126" t="s">
        <v>955</v>
      </c>
    </row>
    <row r="4" spans="1:17" x14ac:dyDescent="0.3">
      <c r="G4" s="126"/>
    </row>
    <row r="5" spans="1:17" x14ac:dyDescent="0.3">
      <c r="A5" s="59" t="s">
        <v>505</v>
      </c>
    </row>
    <row r="6" spans="1:17" x14ac:dyDescent="0.3">
      <c r="A6" t="s">
        <v>476</v>
      </c>
      <c r="B6" t="s">
        <v>477</v>
      </c>
      <c r="C6" t="s">
        <v>478</v>
      </c>
      <c r="D6" t="s">
        <v>479</v>
      </c>
      <c r="E6" t="s">
        <v>480</v>
      </c>
      <c r="G6" s="139" t="s">
        <v>492</v>
      </c>
      <c r="H6" s="127"/>
      <c r="I6" s="127"/>
      <c r="J6" s="131" t="s">
        <v>493</v>
      </c>
      <c r="K6" s="131" t="s">
        <v>494</v>
      </c>
      <c r="M6" s="139" t="s">
        <v>502</v>
      </c>
      <c r="N6" s="139"/>
      <c r="O6" s="139"/>
      <c r="P6" s="127">
        <f>COUNTIFS(Table030__Page_8[[#All],[Season]],"FALL",Table030__Page_8[[#All],[State]],"WASHINGTON")</f>
        <v>6</v>
      </c>
      <c r="Q6" s="127"/>
    </row>
    <row r="7" spans="1:17" x14ac:dyDescent="0.3">
      <c r="A7" t="s">
        <v>481</v>
      </c>
      <c r="B7">
        <v>1998</v>
      </c>
      <c r="C7" t="s">
        <v>482</v>
      </c>
      <c r="D7" t="s">
        <v>483</v>
      </c>
      <c r="E7" s="68">
        <v>554536</v>
      </c>
      <c r="G7" s="127"/>
      <c r="H7" s="127"/>
      <c r="I7" s="127"/>
      <c r="J7" s="131"/>
      <c r="K7" s="131"/>
      <c r="M7" s="139"/>
      <c r="N7" s="139"/>
      <c r="O7" s="139"/>
      <c r="P7" s="127"/>
      <c r="Q7" s="127"/>
    </row>
    <row r="8" spans="1:17" x14ac:dyDescent="0.3">
      <c r="A8" t="s">
        <v>481</v>
      </c>
      <c r="B8">
        <v>1998</v>
      </c>
      <c r="C8" t="s">
        <v>484</v>
      </c>
      <c r="D8" t="s">
        <v>483</v>
      </c>
      <c r="E8" s="68">
        <v>540643</v>
      </c>
      <c r="G8" s="127"/>
      <c r="H8" s="127"/>
      <c r="I8" s="127"/>
      <c r="J8" s="131">
        <f>COUNTIF(Table030__Page_8[[#All],[Season]],"SPRING")</f>
        <v>18</v>
      </c>
      <c r="K8" s="131">
        <f>COUNTIF(Table030__Page_8[[#All],[Season]],"FALL")</f>
        <v>18</v>
      </c>
      <c r="M8" s="139"/>
      <c r="N8" s="139"/>
      <c r="O8" s="139"/>
      <c r="P8" s="127"/>
      <c r="Q8" s="127"/>
    </row>
    <row r="9" spans="1:17" x14ac:dyDescent="0.3">
      <c r="A9" t="s">
        <v>481</v>
      </c>
      <c r="B9">
        <v>1998</v>
      </c>
      <c r="C9" t="s">
        <v>485</v>
      </c>
      <c r="D9" t="s">
        <v>483</v>
      </c>
      <c r="E9" s="68">
        <v>577548</v>
      </c>
      <c r="G9" s="127"/>
      <c r="H9" s="127"/>
      <c r="I9" s="127"/>
      <c r="J9" s="131"/>
      <c r="K9" s="131"/>
      <c r="M9" s="139"/>
      <c r="N9" s="139"/>
      <c r="O9" s="139"/>
      <c r="P9" s="127"/>
      <c r="Q9" s="127"/>
    </row>
    <row r="10" spans="1:17" x14ac:dyDescent="0.3">
      <c r="A10" t="s">
        <v>481</v>
      </c>
      <c r="B10">
        <v>1998</v>
      </c>
      <c r="C10" t="s">
        <v>486</v>
      </c>
      <c r="D10" t="s">
        <v>483</v>
      </c>
      <c r="E10" s="68">
        <v>455905</v>
      </c>
    </row>
    <row r="11" spans="1:17" x14ac:dyDescent="0.3">
      <c r="A11" t="s">
        <v>481</v>
      </c>
      <c r="B11">
        <v>1998</v>
      </c>
      <c r="C11" t="s">
        <v>487</v>
      </c>
      <c r="D11" t="s">
        <v>483</v>
      </c>
      <c r="E11" s="68">
        <v>490871</v>
      </c>
      <c r="G11" s="139" t="s">
        <v>497</v>
      </c>
      <c r="H11" s="139"/>
      <c r="I11" s="139"/>
      <c r="J11" s="131" t="s">
        <v>494</v>
      </c>
      <c r="K11" s="131"/>
    </row>
    <row r="12" spans="1:17" x14ac:dyDescent="0.3">
      <c r="A12" t="s">
        <v>481</v>
      </c>
      <c r="B12">
        <v>1998</v>
      </c>
      <c r="C12" t="s">
        <v>488</v>
      </c>
      <c r="D12" t="s">
        <v>483</v>
      </c>
      <c r="E12" s="68">
        <v>446383</v>
      </c>
      <c r="G12" s="139"/>
      <c r="H12" s="139"/>
      <c r="I12" s="139"/>
      <c r="J12" s="127" t="s">
        <v>495</v>
      </c>
      <c r="K12" s="127" t="s">
        <v>496</v>
      </c>
    </row>
    <row r="13" spans="1:17" x14ac:dyDescent="0.3">
      <c r="A13" t="s">
        <v>481</v>
      </c>
      <c r="B13">
        <v>1998</v>
      </c>
      <c r="C13" t="s">
        <v>482</v>
      </c>
      <c r="D13" t="s">
        <v>489</v>
      </c>
      <c r="E13" s="68">
        <v>457726</v>
      </c>
      <c r="G13" s="139"/>
      <c r="H13" s="139"/>
      <c r="I13" s="139"/>
      <c r="J13" s="127"/>
      <c r="K13" s="127"/>
    </row>
    <row r="14" spans="1:17" x14ac:dyDescent="0.3">
      <c r="A14" t="s">
        <v>481</v>
      </c>
      <c r="B14">
        <v>1998</v>
      </c>
      <c r="C14" t="s">
        <v>484</v>
      </c>
      <c r="D14" t="s">
        <v>489</v>
      </c>
      <c r="E14" s="68">
        <v>347696</v>
      </c>
      <c r="G14" s="139"/>
      <c r="H14" s="139"/>
      <c r="I14" s="139"/>
      <c r="J14" s="3">
        <f>COUNTIFS(Table030__Page_8[[#All],[Season]],"FALL",Table030__Page_8[[#All],[State]],"CALIFORNIA")</f>
        <v>6</v>
      </c>
      <c r="K14" s="3">
        <f>COUNTIFS(Table030__Page_8[[#All],[Season]],"FALL",Table030__Page_8[[#All],[State]],"WASHINGTON")</f>
        <v>6</v>
      </c>
    </row>
    <row r="15" spans="1:17" x14ac:dyDescent="0.3">
      <c r="A15" t="s">
        <v>481</v>
      </c>
      <c r="B15">
        <v>1998</v>
      </c>
      <c r="C15" t="s">
        <v>485</v>
      </c>
      <c r="D15" t="s">
        <v>489</v>
      </c>
      <c r="E15" s="68">
        <v>384541</v>
      </c>
    </row>
    <row r="16" spans="1:17" x14ac:dyDescent="0.3">
      <c r="A16" t="s">
        <v>481</v>
      </c>
      <c r="B16">
        <v>1998</v>
      </c>
      <c r="C16" t="s">
        <v>486</v>
      </c>
      <c r="D16" t="s">
        <v>489</v>
      </c>
      <c r="E16" s="68">
        <v>386420</v>
      </c>
      <c r="G16" s="139" t="s">
        <v>498</v>
      </c>
      <c r="H16" s="139"/>
      <c r="I16" s="139"/>
      <c r="J16" s="131" t="s">
        <v>499</v>
      </c>
      <c r="K16" s="131"/>
    </row>
    <row r="17" spans="1:13" x14ac:dyDescent="0.3">
      <c r="A17" t="s">
        <v>481</v>
      </c>
      <c r="B17">
        <v>1998</v>
      </c>
      <c r="C17" t="s">
        <v>487</v>
      </c>
      <c r="D17" t="s">
        <v>489</v>
      </c>
      <c r="E17" s="68">
        <v>370970</v>
      </c>
      <c r="G17" s="139"/>
      <c r="H17" s="139"/>
      <c r="I17" s="139"/>
      <c r="J17" s="127" t="s">
        <v>495</v>
      </c>
      <c r="K17" s="127" t="s">
        <v>496</v>
      </c>
    </row>
    <row r="18" spans="1:13" x14ac:dyDescent="0.3">
      <c r="A18" t="s">
        <v>481</v>
      </c>
      <c r="B18">
        <v>1998</v>
      </c>
      <c r="C18" t="s">
        <v>488</v>
      </c>
      <c r="D18" t="s">
        <v>489</v>
      </c>
      <c r="E18" s="68">
        <v>430754</v>
      </c>
      <c r="G18" s="139"/>
      <c r="H18" s="139"/>
      <c r="I18" s="139"/>
      <c r="J18" s="127"/>
      <c r="K18" s="127"/>
    </row>
    <row r="19" spans="1:13" x14ac:dyDescent="0.3">
      <c r="A19" t="s">
        <v>481</v>
      </c>
      <c r="B19">
        <v>1998</v>
      </c>
      <c r="C19" t="s">
        <v>482</v>
      </c>
      <c r="D19" t="s">
        <v>490</v>
      </c>
      <c r="E19" s="68">
        <v>500847</v>
      </c>
      <c r="G19" s="139"/>
      <c r="H19" s="139"/>
      <c r="I19" s="139"/>
      <c r="J19" s="67">
        <f>SUMIFS(Table030__Page_8[[#All],[Sales $]],Table030__Page_8[[#All],[Season]],"SPRING",Table030__Page_8[[#All],[State]],"CALIFORNIA")</f>
        <v>2895913</v>
      </c>
      <c r="K19" s="67">
        <f>SUMIFS(Table030__Page_8[[#All],[Sales $]],Table030__Page_8[[#All],[Season]],"SPRING",Table030__Page_8[[#All],[State]],"WASHINGTON")</f>
        <v>2891339</v>
      </c>
    </row>
    <row r="20" spans="1:13" x14ac:dyDescent="0.3">
      <c r="A20" t="s">
        <v>481</v>
      </c>
      <c r="B20">
        <v>1998</v>
      </c>
      <c r="C20" t="s">
        <v>484</v>
      </c>
      <c r="D20" t="s">
        <v>490</v>
      </c>
      <c r="E20" s="68">
        <v>507070</v>
      </c>
    </row>
    <row r="21" spans="1:13" x14ac:dyDescent="0.3">
      <c r="A21" t="s">
        <v>481</v>
      </c>
      <c r="B21">
        <v>1998</v>
      </c>
      <c r="C21" t="s">
        <v>485</v>
      </c>
      <c r="D21" t="s">
        <v>490</v>
      </c>
      <c r="E21" s="68">
        <v>482346</v>
      </c>
      <c r="G21" s="144" t="s">
        <v>503</v>
      </c>
      <c r="H21" s="144"/>
      <c r="I21" s="144"/>
      <c r="J21" s="144"/>
    </row>
    <row r="22" spans="1:13" x14ac:dyDescent="0.3">
      <c r="A22" t="s">
        <v>481</v>
      </c>
      <c r="B22">
        <v>1998</v>
      </c>
      <c r="C22" t="s">
        <v>486</v>
      </c>
      <c r="D22" t="s">
        <v>490</v>
      </c>
      <c r="E22" s="68">
        <v>608713</v>
      </c>
    </row>
    <row r="23" spans="1:13" x14ac:dyDescent="0.3">
      <c r="A23" t="s">
        <v>481</v>
      </c>
      <c r="B23">
        <v>1998</v>
      </c>
      <c r="C23" t="s">
        <v>487</v>
      </c>
      <c r="D23" t="s">
        <v>490</v>
      </c>
      <c r="E23" s="68">
        <v>150000</v>
      </c>
      <c r="J23" s="32" t="s">
        <v>477</v>
      </c>
      <c r="K23" t="s">
        <v>167</v>
      </c>
    </row>
    <row r="24" spans="1:13" x14ac:dyDescent="0.3">
      <c r="A24" t="s">
        <v>481</v>
      </c>
      <c r="B24">
        <v>1998</v>
      </c>
      <c r="C24" t="s">
        <v>488</v>
      </c>
      <c r="D24" t="s">
        <v>490</v>
      </c>
      <c r="E24" s="68">
        <v>500649</v>
      </c>
      <c r="J24" s="32" t="s">
        <v>479</v>
      </c>
      <c r="K24" t="s">
        <v>167</v>
      </c>
    </row>
    <row r="25" spans="1:13" x14ac:dyDescent="0.3">
      <c r="A25" t="s">
        <v>491</v>
      </c>
      <c r="B25">
        <v>1998</v>
      </c>
      <c r="C25" t="s">
        <v>482</v>
      </c>
      <c r="D25" t="s">
        <v>483</v>
      </c>
      <c r="E25" s="68">
        <v>545780</v>
      </c>
    </row>
    <row r="26" spans="1:13" x14ac:dyDescent="0.3">
      <c r="A26" t="s">
        <v>491</v>
      </c>
      <c r="B26">
        <v>1998</v>
      </c>
      <c r="C26" t="s">
        <v>484</v>
      </c>
      <c r="D26" t="s">
        <v>483</v>
      </c>
      <c r="E26" s="68">
        <v>440644</v>
      </c>
      <c r="J26" s="32" t="s">
        <v>501</v>
      </c>
      <c r="K26" s="32" t="s">
        <v>500</v>
      </c>
    </row>
    <row r="27" spans="1:13" x14ac:dyDescent="0.3">
      <c r="A27" t="s">
        <v>491</v>
      </c>
      <c r="B27">
        <v>1998</v>
      </c>
      <c r="C27" t="s">
        <v>485</v>
      </c>
      <c r="D27" t="s">
        <v>483</v>
      </c>
      <c r="E27" s="68">
        <v>580359</v>
      </c>
      <c r="J27" s="32" t="s">
        <v>164</v>
      </c>
      <c r="K27" t="s">
        <v>481</v>
      </c>
      <c r="L27" t="s">
        <v>491</v>
      </c>
      <c r="M27" t="s">
        <v>165</v>
      </c>
    </row>
    <row r="28" spans="1:13" x14ac:dyDescent="0.3">
      <c r="A28" t="s">
        <v>491</v>
      </c>
      <c r="B28">
        <v>1998</v>
      </c>
      <c r="C28" t="s">
        <v>486</v>
      </c>
      <c r="D28" t="s">
        <v>483</v>
      </c>
      <c r="E28" s="68">
        <v>536225</v>
      </c>
      <c r="J28" s="33" t="s">
        <v>482</v>
      </c>
      <c r="K28">
        <v>1513109</v>
      </c>
      <c r="L28">
        <v>1483401</v>
      </c>
      <c r="M28">
        <v>2996510</v>
      </c>
    </row>
    <row r="29" spans="1:13" x14ac:dyDescent="0.3">
      <c r="A29" t="s">
        <v>491</v>
      </c>
      <c r="B29">
        <v>1998</v>
      </c>
      <c r="C29" t="s">
        <v>487</v>
      </c>
      <c r="D29" t="s">
        <v>483</v>
      </c>
      <c r="E29" s="68">
        <v>414908</v>
      </c>
      <c r="J29" s="33" t="s">
        <v>484</v>
      </c>
      <c r="K29">
        <v>1395409</v>
      </c>
      <c r="L29">
        <v>1360434</v>
      </c>
      <c r="M29">
        <v>2755843</v>
      </c>
    </row>
    <row r="30" spans="1:13" x14ac:dyDescent="0.3">
      <c r="A30" t="s">
        <v>491</v>
      </c>
      <c r="B30">
        <v>1998</v>
      </c>
      <c r="C30" t="s">
        <v>488</v>
      </c>
      <c r="D30" t="s">
        <v>483</v>
      </c>
      <c r="E30" s="68">
        <v>377997</v>
      </c>
      <c r="J30" s="33" t="s">
        <v>485</v>
      </c>
      <c r="K30">
        <v>1444435</v>
      </c>
      <c r="L30">
        <v>1439536</v>
      </c>
      <c r="M30">
        <v>2883971</v>
      </c>
    </row>
    <row r="31" spans="1:13" x14ac:dyDescent="0.3">
      <c r="A31" t="s">
        <v>491</v>
      </c>
      <c r="B31">
        <v>1998</v>
      </c>
      <c r="C31" t="s">
        <v>482</v>
      </c>
      <c r="D31" t="s">
        <v>489</v>
      </c>
      <c r="E31" s="68">
        <v>331289</v>
      </c>
      <c r="J31" s="33" t="s">
        <v>486</v>
      </c>
      <c r="K31">
        <v>1451038</v>
      </c>
      <c r="L31">
        <v>1491663</v>
      </c>
      <c r="M31">
        <v>2942701</v>
      </c>
    </row>
    <row r="32" spans="1:13" x14ac:dyDescent="0.3">
      <c r="A32" t="s">
        <v>491</v>
      </c>
      <c r="B32">
        <v>1998</v>
      </c>
      <c r="C32" t="s">
        <v>484</v>
      </c>
      <c r="D32" t="s">
        <v>489</v>
      </c>
      <c r="E32" s="68">
        <v>384572</v>
      </c>
      <c r="J32" s="33" t="s">
        <v>487</v>
      </c>
      <c r="K32">
        <v>1011841</v>
      </c>
      <c r="L32">
        <v>1089019</v>
      </c>
      <c r="M32">
        <v>2100860</v>
      </c>
    </row>
    <row r="33" spans="1:13" x14ac:dyDescent="0.3">
      <c r="A33" t="s">
        <v>491</v>
      </c>
      <c r="B33">
        <v>1998</v>
      </c>
      <c r="C33" t="s">
        <v>485</v>
      </c>
      <c r="D33" t="s">
        <v>489</v>
      </c>
      <c r="E33" s="68">
        <v>365813</v>
      </c>
      <c r="J33" s="33" t="s">
        <v>488</v>
      </c>
      <c r="K33">
        <v>1377786</v>
      </c>
      <c r="L33">
        <v>1211510</v>
      </c>
      <c r="M33">
        <v>2589296</v>
      </c>
    </row>
    <row r="34" spans="1:13" x14ac:dyDescent="0.3">
      <c r="A34" t="s">
        <v>491</v>
      </c>
      <c r="B34">
        <v>1998</v>
      </c>
      <c r="C34" t="s">
        <v>486</v>
      </c>
      <c r="D34" t="s">
        <v>489</v>
      </c>
      <c r="E34" s="68">
        <v>396338</v>
      </c>
      <c r="J34" s="33" t="s">
        <v>165</v>
      </c>
      <c r="K34">
        <v>8193618</v>
      </c>
      <c r="L34">
        <v>8075563</v>
      </c>
      <c r="M34">
        <v>16269181</v>
      </c>
    </row>
    <row r="35" spans="1:13" x14ac:dyDescent="0.3">
      <c r="A35" t="s">
        <v>491</v>
      </c>
      <c r="B35">
        <v>1998</v>
      </c>
      <c r="C35" t="s">
        <v>487</v>
      </c>
      <c r="D35" t="s">
        <v>489</v>
      </c>
      <c r="E35" s="68">
        <v>453761</v>
      </c>
    </row>
    <row r="36" spans="1:13" x14ac:dyDescent="0.3">
      <c r="A36" t="s">
        <v>491</v>
      </c>
      <c r="B36">
        <v>1998</v>
      </c>
      <c r="C36" t="s">
        <v>488</v>
      </c>
      <c r="D36" t="s">
        <v>489</v>
      </c>
      <c r="E36" s="68">
        <v>356538</v>
      </c>
    </row>
    <row r="37" spans="1:13" x14ac:dyDescent="0.3">
      <c r="A37" t="s">
        <v>491</v>
      </c>
      <c r="B37">
        <v>1998</v>
      </c>
      <c r="C37" t="s">
        <v>482</v>
      </c>
      <c r="D37" t="s">
        <v>490</v>
      </c>
      <c r="E37" s="68">
        <v>606332</v>
      </c>
    </row>
    <row r="38" spans="1:13" x14ac:dyDescent="0.3">
      <c r="A38" t="s">
        <v>491</v>
      </c>
      <c r="B38">
        <v>1998</v>
      </c>
      <c r="C38" t="s">
        <v>484</v>
      </c>
      <c r="D38" t="s">
        <v>490</v>
      </c>
      <c r="E38" s="68">
        <v>535218</v>
      </c>
    </row>
    <row r="39" spans="1:13" x14ac:dyDescent="0.3">
      <c r="A39" t="s">
        <v>491</v>
      </c>
      <c r="B39">
        <v>1998</v>
      </c>
      <c r="C39" t="s">
        <v>485</v>
      </c>
      <c r="D39" t="s">
        <v>490</v>
      </c>
      <c r="E39" s="68">
        <v>493364</v>
      </c>
    </row>
    <row r="40" spans="1:13" x14ac:dyDescent="0.3">
      <c r="A40" t="s">
        <v>491</v>
      </c>
      <c r="B40">
        <v>1998</v>
      </c>
      <c r="C40" t="s">
        <v>486</v>
      </c>
      <c r="D40" t="s">
        <v>490</v>
      </c>
      <c r="E40" s="68">
        <v>559100</v>
      </c>
    </row>
    <row r="41" spans="1:13" x14ac:dyDescent="0.3">
      <c r="A41" t="s">
        <v>491</v>
      </c>
      <c r="B41">
        <v>1998</v>
      </c>
      <c r="C41" t="s">
        <v>487</v>
      </c>
      <c r="D41" t="s">
        <v>490</v>
      </c>
      <c r="E41" s="68">
        <v>220350</v>
      </c>
    </row>
    <row r="42" spans="1:13" x14ac:dyDescent="0.3">
      <c r="A42" t="s">
        <v>491</v>
      </c>
      <c r="B42">
        <v>1998</v>
      </c>
      <c r="C42" t="s">
        <v>488</v>
      </c>
      <c r="D42" t="s">
        <v>490</v>
      </c>
      <c r="E42" s="68">
        <v>476975</v>
      </c>
    </row>
    <row r="44" spans="1:13" x14ac:dyDescent="0.3">
      <c r="A44" t="s">
        <v>901</v>
      </c>
    </row>
    <row r="46" spans="1:13" x14ac:dyDescent="0.3">
      <c r="A46" t="s">
        <v>902</v>
      </c>
    </row>
    <row r="47" spans="1:13" x14ac:dyDescent="0.3">
      <c r="A47" t="s">
        <v>903</v>
      </c>
    </row>
    <row r="49" spans="1:1" x14ac:dyDescent="0.3">
      <c r="A49" t="s">
        <v>904</v>
      </c>
    </row>
    <row r="51" spans="1:1" x14ac:dyDescent="0.3">
      <c r="A51" t="s">
        <v>902</v>
      </c>
    </row>
    <row r="52" spans="1:1" x14ac:dyDescent="0.3">
      <c r="A52" t="s">
        <v>905</v>
      </c>
    </row>
    <row r="54" spans="1:1" x14ac:dyDescent="0.3">
      <c r="A54" t="s">
        <v>906</v>
      </c>
    </row>
    <row r="55" spans="1:1" x14ac:dyDescent="0.3">
      <c r="A55" t="s">
        <v>502</v>
      </c>
    </row>
    <row r="57" spans="1:1" x14ac:dyDescent="0.3">
      <c r="A57" t="s">
        <v>902</v>
      </c>
    </row>
    <row r="58" spans="1:1" x14ac:dyDescent="0.3">
      <c r="A58" t="s">
        <v>905</v>
      </c>
    </row>
  </sheetData>
  <mergeCells count="17">
    <mergeCell ref="P6:Q9"/>
    <mergeCell ref="G6:I9"/>
    <mergeCell ref="J6:J7"/>
    <mergeCell ref="K6:K7"/>
    <mergeCell ref="J8:J9"/>
    <mergeCell ref="K8:K9"/>
    <mergeCell ref="M6:O9"/>
    <mergeCell ref="G3:G4"/>
    <mergeCell ref="G21:J21"/>
    <mergeCell ref="G16:I19"/>
    <mergeCell ref="J16:K16"/>
    <mergeCell ref="J17:J18"/>
    <mergeCell ref="K17:K18"/>
    <mergeCell ref="G11:I14"/>
    <mergeCell ref="J11:K11"/>
    <mergeCell ref="J12:J13"/>
    <mergeCell ref="K12:K13"/>
  </mergeCells>
  <hyperlinks>
    <hyperlink ref="G3:G4" location="'LIST OF SHEET'!A1" display="LIST OF SHEET" xr:uid="{5DF50BE6-10CC-4FA1-A28E-50E98E21E2A6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D8CE-99E0-4B89-984B-3CE6829B0D85}">
  <dimension ref="A1:O43"/>
  <sheetViews>
    <sheetView workbookViewId="0">
      <selection activeCell="G2" sqref="G2:G3"/>
    </sheetView>
  </sheetViews>
  <sheetFormatPr defaultRowHeight="14.4" x14ac:dyDescent="0.3"/>
  <cols>
    <col min="1" max="1" width="17" customWidth="1"/>
    <col min="2" max="2" width="9.88671875" bestFit="1" customWidth="1"/>
    <col min="3" max="3" width="10.77734375" bestFit="1" customWidth="1"/>
    <col min="4" max="4" width="10.109375" bestFit="1" customWidth="1"/>
    <col min="5" max="5" width="10.33203125" bestFit="1" customWidth="1"/>
    <col min="6" max="6" width="14" bestFit="1" customWidth="1"/>
    <col min="7" max="7" width="17.44140625" customWidth="1"/>
    <col min="12" max="12" width="9.88671875" bestFit="1" customWidth="1"/>
    <col min="13" max="13" width="14.88671875" customWidth="1"/>
    <col min="15" max="15" width="15.33203125" customWidth="1"/>
  </cols>
  <sheetData>
    <row r="1" spans="1:14" ht="25.8" x14ac:dyDescent="0.5">
      <c r="A1" s="15" t="s">
        <v>582</v>
      </c>
    </row>
    <row r="2" spans="1:14" x14ac:dyDescent="0.3">
      <c r="G2" s="126" t="s">
        <v>955</v>
      </c>
    </row>
    <row r="3" spans="1:14" x14ac:dyDescent="0.3">
      <c r="A3" s="59" t="s">
        <v>537</v>
      </c>
      <c r="G3" s="126"/>
    </row>
    <row r="4" spans="1:14" ht="13.8" customHeight="1" x14ac:dyDescent="0.3"/>
    <row r="5" spans="1:14" ht="58.8" customHeight="1" x14ac:dyDescent="0.3">
      <c r="A5" s="27" t="s">
        <v>537</v>
      </c>
      <c r="B5" t="s">
        <v>256</v>
      </c>
      <c r="C5" t="s">
        <v>506</v>
      </c>
      <c r="D5" t="s">
        <v>507</v>
      </c>
      <c r="E5" t="s">
        <v>127</v>
      </c>
      <c r="F5" t="s">
        <v>150</v>
      </c>
      <c r="H5" s="139" t="s">
        <v>524</v>
      </c>
      <c r="I5" s="139"/>
      <c r="J5" s="139"/>
      <c r="K5" s="139"/>
      <c r="L5" s="131" t="s">
        <v>526</v>
      </c>
      <c r="M5" s="131" t="s">
        <v>525</v>
      </c>
    </row>
    <row r="6" spans="1:14" x14ac:dyDescent="0.3">
      <c r="A6">
        <v>1</v>
      </c>
      <c r="B6" t="s">
        <v>508</v>
      </c>
      <c r="C6" t="s">
        <v>509</v>
      </c>
      <c r="D6" s="65">
        <v>4270</v>
      </c>
      <c r="E6" s="63">
        <v>42375</v>
      </c>
      <c r="F6" t="s">
        <v>510</v>
      </c>
      <c r="H6" s="139"/>
      <c r="I6" s="139"/>
      <c r="J6" s="139"/>
      <c r="K6" s="139"/>
      <c r="L6" s="131"/>
      <c r="M6" s="131"/>
    </row>
    <row r="7" spans="1:14" x14ac:dyDescent="0.3">
      <c r="A7">
        <v>2</v>
      </c>
      <c r="B7" t="s">
        <v>511</v>
      </c>
      <c r="C7" t="s">
        <v>509</v>
      </c>
      <c r="D7" s="65">
        <v>8239</v>
      </c>
      <c r="E7" s="63">
        <v>42376</v>
      </c>
      <c r="F7" t="s">
        <v>512</v>
      </c>
      <c r="H7" s="139"/>
      <c r="I7" s="139"/>
      <c r="J7" s="139"/>
      <c r="K7" s="139"/>
      <c r="L7" s="131">
        <f>COUNTIF(Table033__Page_9[[#All],[Category]],"FRUIT")</f>
        <v>18</v>
      </c>
      <c r="M7" s="131">
        <f>COUNTIF(Table033__Page_9[[#All],[Category]],"VEGETABLES")</f>
        <v>12</v>
      </c>
    </row>
    <row r="8" spans="1:14" x14ac:dyDescent="0.3">
      <c r="A8">
        <v>3</v>
      </c>
      <c r="B8" t="s">
        <v>513</v>
      </c>
      <c r="C8" t="s">
        <v>514</v>
      </c>
      <c r="D8">
        <v>617</v>
      </c>
      <c r="E8" s="63">
        <v>42377</v>
      </c>
      <c r="F8" t="s">
        <v>510</v>
      </c>
      <c r="H8" s="139"/>
      <c r="I8" s="139"/>
      <c r="J8" s="139"/>
      <c r="K8" s="139"/>
      <c r="L8" s="131"/>
      <c r="M8" s="131"/>
    </row>
    <row r="9" spans="1:14" x14ac:dyDescent="0.3">
      <c r="A9">
        <v>4</v>
      </c>
      <c r="B9" t="s">
        <v>513</v>
      </c>
      <c r="C9" t="s">
        <v>514</v>
      </c>
      <c r="D9" s="65">
        <v>8384</v>
      </c>
      <c r="E9" s="63">
        <v>42379</v>
      </c>
      <c r="F9" t="s">
        <v>515</v>
      </c>
    </row>
    <row r="10" spans="1:14" x14ac:dyDescent="0.3">
      <c r="A10">
        <v>5</v>
      </c>
      <c r="B10" t="s">
        <v>516</v>
      </c>
      <c r="C10" t="s">
        <v>509</v>
      </c>
      <c r="D10" s="65">
        <v>2626</v>
      </c>
      <c r="E10" s="63">
        <v>42379</v>
      </c>
      <c r="F10" t="s">
        <v>517</v>
      </c>
      <c r="H10" s="139" t="s">
        <v>527</v>
      </c>
      <c r="I10" s="139"/>
      <c r="J10" s="139"/>
      <c r="K10" s="139"/>
      <c r="L10" s="131" t="s">
        <v>528</v>
      </c>
      <c r="M10" s="131" t="s">
        <v>529</v>
      </c>
      <c r="N10" s="131"/>
    </row>
    <row r="11" spans="1:14" x14ac:dyDescent="0.3">
      <c r="A11">
        <v>6</v>
      </c>
      <c r="B11" t="s">
        <v>518</v>
      </c>
      <c r="C11" t="s">
        <v>514</v>
      </c>
      <c r="D11" s="65">
        <v>3610</v>
      </c>
      <c r="E11" s="63">
        <v>42380</v>
      </c>
      <c r="F11" t="s">
        <v>510</v>
      </c>
      <c r="H11" s="139"/>
      <c r="I11" s="139"/>
      <c r="J11" s="139"/>
      <c r="K11" s="139"/>
      <c r="L11" s="131"/>
      <c r="M11" s="131"/>
      <c r="N11" s="131"/>
    </row>
    <row r="12" spans="1:14" x14ac:dyDescent="0.3">
      <c r="A12">
        <v>7</v>
      </c>
      <c r="B12" t="s">
        <v>511</v>
      </c>
      <c r="C12" t="s">
        <v>509</v>
      </c>
      <c r="D12" s="65">
        <v>9062</v>
      </c>
      <c r="E12" s="63">
        <v>42380</v>
      </c>
      <c r="F12" t="s">
        <v>519</v>
      </c>
      <c r="H12" s="139"/>
      <c r="I12" s="139"/>
      <c r="J12" s="139"/>
      <c r="K12" s="139"/>
      <c r="L12" s="145">
        <f>SUMIF(Table033__Page_9[[#All],[Product]],"APPLE",Table033__Page_9[[#All],[Amount]])</f>
        <v>25557</v>
      </c>
      <c r="M12" s="145">
        <f>SUMIF(Table033__Page_9[[#All],[Product]],"BANANA",Table033__Page_9[[#All],[Amount]])</f>
        <v>38956</v>
      </c>
      <c r="N12" s="131"/>
    </row>
    <row r="13" spans="1:14" x14ac:dyDescent="0.3">
      <c r="A13">
        <v>8</v>
      </c>
      <c r="B13" t="s">
        <v>513</v>
      </c>
      <c r="C13" t="s">
        <v>514</v>
      </c>
      <c r="D13" s="65">
        <v>6906</v>
      </c>
      <c r="E13" s="63">
        <v>42385</v>
      </c>
      <c r="F13" t="s">
        <v>520</v>
      </c>
      <c r="H13" s="139"/>
      <c r="I13" s="139"/>
      <c r="J13" s="139"/>
      <c r="K13" s="139"/>
      <c r="L13" s="146"/>
      <c r="M13" s="146"/>
      <c r="N13" s="131"/>
    </row>
    <row r="14" spans="1:14" x14ac:dyDescent="0.3">
      <c r="A14">
        <v>9</v>
      </c>
      <c r="B14" t="s">
        <v>521</v>
      </c>
      <c r="C14" t="s">
        <v>514</v>
      </c>
      <c r="D14" s="65">
        <v>2417</v>
      </c>
      <c r="E14" s="63">
        <v>42385</v>
      </c>
      <c r="F14" t="s">
        <v>522</v>
      </c>
    </row>
    <row r="15" spans="1:14" x14ac:dyDescent="0.3">
      <c r="A15">
        <v>10</v>
      </c>
      <c r="B15" t="s">
        <v>521</v>
      </c>
      <c r="C15" t="s">
        <v>514</v>
      </c>
      <c r="D15" s="65">
        <v>7431</v>
      </c>
      <c r="E15" s="63">
        <v>42385</v>
      </c>
      <c r="F15" t="s">
        <v>515</v>
      </c>
      <c r="H15" s="139" t="s">
        <v>530</v>
      </c>
      <c r="I15" s="139"/>
      <c r="J15" s="139"/>
      <c r="K15" s="139"/>
      <c r="L15" s="127">
        <f>COUNTA(Table033__Page_9[Product])</f>
        <v>30</v>
      </c>
    </row>
    <row r="16" spans="1:14" x14ac:dyDescent="0.3">
      <c r="A16">
        <v>11</v>
      </c>
      <c r="B16" t="s">
        <v>513</v>
      </c>
      <c r="C16" t="s">
        <v>514</v>
      </c>
      <c r="D16" s="65">
        <v>8250</v>
      </c>
      <c r="E16" s="63">
        <v>42385</v>
      </c>
      <c r="F16" t="s">
        <v>517</v>
      </c>
      <c r="H16" s="139"/>
      <c r="I16" s="139"/>
      <c r="J16" s="139"/>
      <c r="K16" s="139"/>
      <c r="L16" s="127"/>
    </row>
    <row r="17" spans="1:15" x14ac:dyDescent="0.3">
      <c r="A17">
        <v>12</v>
      </c>
      <c r="B17" t="s">
        <v>511</v>
      </c>
      <c r="C17" t="s">
        <v>509</v>
      </c>
      <c r="D17" s="65">
        <v>7012</v>
      </c>
      <c r="E17" s="63">
        <v>42387</v>
      </c>
      <c r="F17" t="s">
        <v>510</v>
      </c>
      <c r="H17" s="139"/>
      <c r="I17" s="139"/>
      <c r="J17" s="139"/>
      <c r="K17" s="139"/>
      <c r="L17" s="127"/>
    </row>
    <row r="18" spans="1:15" x14ac:dyDescent="0.3">
      <c r="A18">
        <v>13</v>
      </c>
      <c r="B18" t="s">
        <v>508</v>
      </c>
      <c r="C18" t="s">
        <v>509</v>
      </c>
      <c r="D18" s="65">
        <v>1903</v>
      </c>
      <c r="E18" s="63">
        <v>42389</v>
      </c>
      <c r="F18" t="s">
        <v>517</v>
      </c>
    </row>
    <row r="19" spans="1:15" x14ac:dyDescent="0.3">
      <c r="A19">
        <v>14</v>
      </c>
      <c r="B19" t="s">
        <v>511</v>
      </c>
      <c r="C19" t="s">
        <v>509</v>
      </c>
      <c r="D19" s="65">
        <v>2824</v>
      </c>
      <c r="E19" s="63">
        <v>42391</v>
      </c>
      <c r="F19" t="s">
        <v>515</v>
      </c>
      <c r="H19" s="128" t="s">
        <v>531</v>
      </c>
      <c r="I19" s="128"/>
      <c r="J19" s="128"/>
      <c r="K19" s="128"/>
      <c r="L19" s="131" t="s">
        <v>528</v>
      </c>
      <c r="M19" s="131"/>
      <c r="N19" s="131" t="s">
        <v>529</v>
      </c>
      <c r="O19" s="131"/>
    </row>
    <row r="20" spans="1:15" x14ac:dyDescent="0.3">
      <c r="A20">
        <v>15</v>
      </c>
      <c r="B20" t="s">
        <v>521</v>
      </c>
      <c r="C20" t="s">
        <v>514</v>
      </c>
      <c r="D20" s="65">
        <v>6946</v>
      </c>
      <c r="E20" s="63">
        <v>42393</v>
      </c>
      <c r="F20" t="s">
        <v>522</v>
      </c>
      <c r="H20" s="128"/>
      <c r="I20" s="128"/>
      <c r="J20" s="128"/>
      <c r="K20" s="128"/>
      <c r="L20" s="3" t="s">
        <v>532</v>
      </c>
      <c r="M20" s="3" t="s">
        <v>533</v>
      </c>
      <c r="N20" s="3" t="s">
        <v>532</v>
      </c>
      <c r="O20" s="3" t="s">
        <v>533</v>
      </c>
    </row>
    <row r="21" spans="1:15" x14ac:dyDescent="0.3">
      <c r="A21">
        <v>16</v>
      </c>
      <c r="B21" t="s">
        <v>513</v>
      </c>
      <c r="C21" t="s">
        <v>514</v>
      </c>
      <c r="D21" s="65">
        <v>2320</v>
      </c>
      <c r="E21" s="63">
        <v>42396</v>
      </c>
      <c r="F21" t="s">
        <v>512</v>
      </c>
      <c r="H21" s="128"/>
      <c r="I21" s="128"/>
      <c r="J21" s="128"/>
      <c r="K21" s="128"/>
      <c r="L21" s="3">
        <f>COUNTIFS(Table033__Page_9[[#All],[Product]],"APPLE",Table033__Page_9[[#All],[Country]],"CANADA")</f>
        <v>1</v>
      </c>
      <c r="M21" s="3">
        <f>COUNTIFS(Table033__Page_9[[#All],[Product]],"APPLE",Table033__Page_9[[#All],[Country]],"United Kingdom")</f>
        <v>0</v>
      </c>
      <c r="N21" s="3">
        <f>COUNTIFS(Table033__Page_9[[#All],[Product]],"BANANA",Table033__Page_9[[#All],[Country]],"CANADA")</f>
        <v>2</v>
      </c>
      <c r="O21" s="3">
        <f>COUNTIFS(Table033__Page_9[[#All],[Product]],"BANANA",Table033__Page_9[[#All],[Country]],"CANADA")</f>
        <v>2</v>
      </c>
    </row>
    <row r="22" spans="1:15" x14ac:dyDescent="0.3">
      <c r="A22">
        <v>17</v>
      </c>
      <c r="B22" t="s">
        <v>513</v>
      </c>
      <c r="C22" t="s">
        <v>514</v>
      </c>
      <c r="D22" s="65">
        <v>2116</v>
      </c>
      <c r="E22" s="63">
        <v>42397</v>
      </c>
      <c r="F22" t="s">
        <v>510</v>
      </c>
    </row>
    <row r="23" spans="1:15" x14ac:dyDescent="0.3">
      <c r="A23">
        <v>18</v>
      </c>
      <c r="B23" t="s">
        <v>513</v>
      </c>
      <c r="C23" t="s">
        <v>514</v>
      </c>
      <c r="D23" s="65">
        <v>1135</v>
      </c>
      <c r="E23" s="63">
        <v>42399</v>
      </c>
      <c r="F23" t="s">
        <v>512</v>
      </c>
      <c r="H23" s="139" t="s">
        <v>534</v>
      </c>
      <c r="I23" s="127"/>
      <c r="J23" s="127"/>
      <c r="K23" s="127"/>
      <c r="L23" s="131" t="s">
        <v>535</v>
      </c>
      <c r="M23" s="131"/>
    </row>
    <row r="24" spans="1:15" x14ac:dyDescent="0.3">
      <c r="A24">
        <v>19</v>
      </c>
      <c r="B24" t="s">
        <v>511</v>
      </c>
      <c r="C24" t="s">
        <v>509</v>
      </c>
      <c r="D24" s="65">
        <v>3595</v>
      </c>
      <c r="E24" s="63">
        <v>42399</v>
      </c>
      <c r="F24" t="s">
        <v>512</v>
      </c>
      <c r="H24" s="127"/>
      <c r="I24" s="127"/>
      <c r="J24" s="127"/>
      <c r="K24" s="127"/>
      <c r="L24" s="3" t="s">
        <v>528</v>
      </c>
      <c r="M24" s="3" t="s">
        <v>529</v>
      </c>
    </row>
    <row r="25" spans="1:15" x14ac:dyDescent="0.3">
      <c r="A25">
        <v>20</v>
      </c>
      <c r="B25" t="s">
        <v>521</v>
      </c>
      <c r="C25" t="s">
        <v>514</v>
      </c>
      <c r="D25" s="65">
        <v>1161</v>
      </c>
      <c r="E25" s="63">
        <v>42402</v>
      </c>
      <c r="F25" t="s">
        <v>510</v>
      </c>
      <c r="H25" s="127"/>
      <c r="I25" s="127"/>
      <c r="J25" s="127"/>
      <c r="K25" s="127"/>
      <c r="L25" s="69">
        <f>SUMIFS(Table033__Page_9[[#All],[Amount]],Table033__Page_9[[#All],[Country]],"UNITED STATES",Table033__Page_9[[#All],[Product]],"APPLE")</f>
        <v>1161</v>
      </c>
      <c r="M25" s="66">
        <f>SUMIFS(Table033__Page_9[[#All],[Amount]],Table033__Page_9[[#All],[Country]],"UNITED STATES",Table033__Page_9[[#All],[Product]],"BANANA")</f>
        <v>7315</v>
      </c>
    </row>
    <row r="26" spans="1:15" x14ac:dyDescent="0.3">
      <c r="A26">
        <v>21</v>
      </c>
      <c r="B26" t="s">
        <v>518</v>
      </c>
      <c r="C26" t="s">
        <v>514</v>
      </c>
      <c r="D26" s="65">
        <v>2256</v>
      </c>
      <c r="E26" s="63">
        <v>42404</v>
      </c>
      <c r="F26" t="s">
        <v>522</v>
      </c>
    </row>
    <row r="27" spans="1:15" x14ac:dyDescent="0.3">
      <c r="A27">
        <v>22</v>
      </c>
      <c r="B27" t="s">
        <v>513</v>
      </c>
      <c r="C27" t="s">
        <v>514</v>
      </c>
      <c r="D27" s="65">
        <v>1004</v>
      </c>
      <c r="E27" s="63">
        <v>42411</v>
      </c>
      <c r="F27" t="s">
        <v>520</v>
      </c>
    </row>
    <row r="28" spans="1:15" x14ac:dyDescent="0.3">
      <c r="A28">
        <v>23</v>
      </c>
      <c r="B28" t="s">
        <v>513</v>
      </c>
      <c r="C28" t="s">
        <v>514</v>
      </c>
      <c r="D28" s="65">
        <v>3642</v>
      </c>
      <c r="E28" s="63">
        <v>42414</v>
      </c>
      <c r="F28" t="s">
        <v>515</v>
      </c>
    </row>
    <row r="29" spans="1:15" x14ac:dyDescent="0.3">
      <c r="A29">
        <v>24</v>
      </c>
      <c r="B29" t="s">
        <v>513</v>
      </c>
      <c r="C29" t="s">
        <v>514</v>
      </c>
      <c r="D29" s="65">
        <v>4582</v>
      </c>
      <c r="E29" s="63">
        <v>42417</v>
      </c>
      <c r="F29" t="s">
        <v>510</v>
      </c>
    </row>
    <row r="30" spans="1:15" x14ac:dyDescent="0.3">
      <c r="A30">
        <v>25</v>
      </c>
      <c r="B30" t="s">
        <v>516</v>
      </c>
      <c r="C30" t="s">
        <v>509</v>
      </c>
      <c r="D30" s="65">
        <v>3559</v>
      </c>
      <c r="E30" s="63">
        <v>42417</v>
      </c>
      <c r="F30" t="s">
        <v>512</v>
      </c>
    </row>
    <row r="31" spans="1:15" x14ac:dyDescent="0.3">
      <c r="A31">
        <v>26</v>
      </c>
      <c r="B31" t="s">
        <v>508</v>
      </c>
      <c r="C31" t="s">
        <v>509</v>
      </c>
      <c r="D31" s="65">
        <v>5154</v>
      </c>
      <c r="E31" s="63">
        <v>42417</v>
      </c>
      <c r="F31" t="s">
        <v>519</v>
      </c>
    </row>
    <row r="32" spans="1:15" x14ac:dyDescent="0.3">
      <c r="A32">
        <v>27</v>
      </c>
      <c r="B32" t="s">
        <v>523</v>
      </c>
      <c r="C32" t="s">
        <v>514</v>
      </c>
      <c r="D32" s="65">
        <v>7388</v>
      </c>
      <c r="E32" s="63">
        <v>42418</v>
      </c>
      <c r="F32" t="s">
        <v>522</v>
      </c>
    </row>
    <row r="33" spans="1:6" x14ac:dyDescent="0.3">
      <c r="A33">
        <v>28</v>
      </c>
      <c r="B33" t="s">
        <v>516</v>
      </c>
      <c r="C33" t="s">
        <v>509</v>
      </c>
      <c r="D33" s="65">
        <v>7163</v>
      </c>
      <c r="E33" s="63">
        <v>42418</v>
      </c>
      <c r="F33" t="s">
        <v>510</v>
      </c>
    </row>
    <row r="34" spans="1:6" x14ac:dyDescent="0.3">
      <c r="A34">
        <v>29</v>
      </c>
      <c r="B34" t="s">
        <v>516</v>
      </c>
      <c r="C34" t="s">
        <v>509</v>
      </c>
      <c r="D34" s="65">
        <v>5101</v>
      </c>
      <c r="E34" s="63">
        <v>42420</v>
      </c>
      <c r="F34" t="s">
        <v>517</v>
      </c>
    </row>
    <row r="35" spans="1:6" x14ac:dyDescent="0.3">
      <c r="A35">
        <v>30</v>
      </c>
      <c r="B35" t="s">
        <v>521</v>
      </c>
      <c r="C35" t="s">
        <v>514</v>
      </c>
      <c r="D35" s="65">
        <v>7602</v>
      </c>
      <c r="E35" s="63">
        <v>42421</v>
      </c>
      <c r="F35" t="s">
        <v>522</v>
      </c>
    </row>
    <row r="38" spans="1:6" x14ac:dyDescent="0.3">
      <c r="A38" t="s">
        <v>524</v>
      </c>
    </row>
    <row r="39" spans="1:6" x14ac:dyDescent="0.3">
      <c r="A39" t="s">
        <v>527</v>
      </c>
    </row>
    <row r="40" spans="1:6" x14ac:dyDescent="0.3">
      <c r="A40" t="s">
        <v>530</v>
      </c>
    </row>
    <row r="41" spans="1:6" x14ac:dyDescent="0.3">
      <c r="A41" t="s">
        <v>531</v>
      </c>
    </row>
    <row r="42" spans="1:6" x14ac:dyDescent="0.3">
      <c r="A42" t="s">
        <v>907</v>
      </c>
    </row>
    <row r="43" spans="1:6" x14ac:dyDescent="0.3">
      <c r="A43" t="s">
        <v>908</v>
      </c>
    </row>
  </sheetData>
  <mergeCells count="19">
    <mergeCell ref="M5:M6"/>
    <mergeCell ref="L7:L8"/>
    <mergeCell ref="M7:M8"/>
    <mergeCell ref="G2:G3"/>
    <mergeCell ref="N19:O19"/>
    <mergeCell ref="H23:K25"/>
    <mergeCell ref="L23:M23"/>
    <mergeCell ref="H10:K13"/>
    <mergeCell ref="L10:L11"/>
    <mergeCell ref="M10:M11"/>
    <mergeCell ref="H15:K17"/>
    <mergeCell ref="L15:L17"/>
    <mergeCell ref="H19:K21"/>
    <mergeCell ref="L19:M19"/>
    <mergeCell ref="N10:N13"/>
    <mergeCell ref="L12:L13"/>
    <mergeCell ref="M12:M13"/>
    <mergeCell ref="H5:K8"/>
    <mergeCell ref="L5:L6"/>
  </mergeCells>
  <hyperlinks>
    <hyperlink ref="G2:G3" location="'LIST OF SHEET'!A1" display="LIST OF SHEET" xr:uid="{9FDD9D6A-3FEA-4BEE-A02A-4ED80782EC91}"/>
  </hyperlink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5AB-FCB7-4B51-9BC9-07E86B4B6085}">
  <dimension ref="A1:Q38"/>
  <sheetViews>
    <sheetView workbookViewId="0">
      <selection activeCell="H2" sqref="H2:H3"/>
    </sheetView>
  </sheetViews>
  <sheetFormatPr defaultRowHeight="14.4" x14ac:dyDescent="0.3"/>
  <cols>
    <col min="1" max="1" width="8.33203125" bestFit="1" customWidth="1"/>
    <col min="2" max="2" width="9.33203125" bestFit="1" customWidth="1"/>
    <col min="3" max="3" width="14" bestFit="1" customWidth="1"/>
    <col min="4" max="4" width="7.88671875" bestFit="1" customWidth="1"/>
    <col min="8" max="8" width="14" customWidth="1"/>
  </cols>
  <sheetData>
    <row r="1" spans="1:17" ht="28.8" x14ac:dyDescent="0.55000000000000004">
      <c r="A1" s="62" t="s">
        <v>894</v>
      </c>
    </row>
    <row r="2" spans="1:17" x14ac:dyDescent="0.3">
      <c r="H2" s="126" t="s">
        <v>955</v>
      </c>
    </row>
    <row r="3" spans="1:17" x14ac:dyDescent="0.3">
      <c r="A3" s="55" t="s">
        <v>562</v>
      </c>
      <c r="B3" s="42"/>
      <c r="C3" s="42"/>
      <c r="D3" s="42"/>
      <c r="E3" s="42"/>
      <c r="H3" s="126"/>
    </row>
    <row r="6" spans="1:17" ht="14.4" customHeight="1" x14ac:dyDescent="0.3">
      <c r="A6" t="s">
        <v>177</v>
      </c>
      <c r="B6" t="s">
        <v>538</v>
      </c>
      <c r="C6" t="s">
        <v>150</v>
      </c>
      <c r="D6" t="s">
        <v>539</v>
      </c>
      <c r="G6" s="139" t="s">
        <v>550</v>
      </c>
      <c r="H6" s="127"/>
      <c r="I6" s="127"/>
      <c r="J6" s="131" t="s">
        <v>551</v>
      </c>
      <c r="K6" s="131" t="s">
        <v>552</v>
      </c>
      <c r="M6" s="128" t="s">
        <v>558</v>
      </c>
      <c r="N6" s="131"/>
      <c r="O6" s="131"/>
      <c r="P6" s="131" t="s">
        <v>510</v>
      </c>
      <c r="Q6" s="131"/>
    </row>
    <row r="7" spans="1:17" x14ac:dyDescent="0.3">
      <c r="A7" t="s">
        <v>540</v>
      </c>
      <c r="B7" t="s">
        <v>541</v>
      </c>
      <c r="C7" t="s">
        <v>510</v>
      </c>
      <c r="D7" s="72">
        <v>74</v>
      </c>
      <c r="G7" s="127"/>
      <c r="H7" s="127"/>
      <c r="I7" s="127"/>
      <c r="J7" s="131"/>
      <c r="K7" s="131"/>
      <c r="M7" s="131"/>
      <c r="N7" s="131"/>
      <c r="O7" s="131"/>
      <c r="P7" s="131" t="s">
        <v>541</v>
      </c>
      <c r="Q7" s="131" t="s">
        <v>543</v>
      </c>
    </row>
    <row r="8" spans="1:17" x14ac:dyDescent="0.3">
      <c r="A8" t="s">
        <v>542</v>
      </c>
      <c r="B8" t="s">
        <v>543</v>
      </c>
      <c r="C8" t="s">
        <v>512</v>
      </c>
      <c r="D8" s="72">
        <v>92</v>
      </c>
      <c r="G8" s="127"/>
      <c r="H8" s="127"/>
      <c r="I8" s="127"/>
      <c r="J8" s="131"/>
      <c r="K8" s="131"/>
      <c r="M8" s="131"/>
      <c r="N8" s="131"/>
      <c r="O8" s="131"/>
      <c r="P8" s="131"/>
      <c r="Q8" s="131"/>
    </row>
    <row r="9" spans="1:17" ht="14.4" customHeight="1" x14ac:dyDescent="0.3">
      <c r="A9" t="s">
        <v>544</v>
      </c>
      <c r="B9" t="s">
        <v>541</v>
      </c>
      <c r="C9" t="s">
        <v>510</v>
      </c>
      <c r="D9" s="72">
        <v>65</v>
      </c>
      <c r="G9" s="127"/>
      <c r="H9" s="127"/>
      <c r="I9" s="127"/>
      <c r="J9" s="127">
        <f>COUNTIF(Table037__Page_10[[#All],[Gender]],"MALE")</f>
        <v>5</v>
      </c>
      <c r="K9" s="127">
        <f>COUNTIF(Table037__Page_10[[#All],[Gender]],"FEMALE")</f>
        <v>6</v>
      </c>
      <c r="M9" s="131"/>
      <c r="N9" s="131"/>
      <c r="O9" s="131"/>
      <c r="P9" s="131">
        <f>SUMIFS(Table037__Page_10[[#All],[Score]],Table037__Page_10[[#All],[Country]],"United States",Table037__Page_10[[#All],[Gender]],"Male")</f>
        <v>280</v>
      </c>
      <c r="Q9" s="131">
        <f>SUMIFS(Table037__Page_10[[#All],[Score]],Table037__Page_10[[#All],[Country]],"United States",Table037__Page_10[[#All],[Gender]],"Female")</f>
        <v>96</v>
      </c>
    </row>
    <row r="10" spans="1:17" x14ac:dyDescent="0.3">
      <c r="A10" t="s">
        <v>545</v>
      </c>
      <c r="B10" t="s">
        <v>543</v>
      </c>
      <c r="C10" t="s">
        <v>515</v>
      </c>
      <c r="D10" s="72">
        <v>82</v>
      </c>
      <c r="G10" s="127"/>
      <c r="H10" s="127"/>
      <c r="I10" s="127"/>
      <c r="J10" s="127"/>
      <c r="K10" s="127"/>
      <c r="M10" s="131"/>
      <c r="N10" s="131"/>
      <c r="O10" s="131"/>
      <c r="P10" s="131"/>
      <c r="Q10" s="131"/>
    </row>
    <row r="11" spans="1:17" x14ac:dyDescent="0.3">
      <c r="A11" t="s">
        <v>546</v>
      </c>
      <c r="B11" t="s">
        <v>543</v>
      </c>
      <c r="C11" t="s">
        <v>519</v>
      </c>
      <c r="D11" s="72">
        <v>50</v>
      </c>
    </row>
    <row r="12" spans="1:17" x14ac:dyDescent="0.3">
      <c r="A12" t="s">
        <v>547</v>
      </c>
      <c r="B12" t="s">
        <v>543</v>
      </c>
      <c r="C12" t="s">
        <v>515</v>
      </c>
      <c r="D12" s="72">
        <v>91</v>
      </c>
      <c r="G12" s="128" t="s">
        <v>553</v>
      </c>
      <c r="H12" s="131"/>
      <c r="I12" s="131"/>
      <c r="J12" s="131">
        <f>COUNTIFS(Table037__Page_10[[#All],[Gender]],"MALE",Table037__Page_10[[#All],[Country]],"UNITED STATES")</f>
        <v>4</v>
      </c>
      <c r="M12" s="139" t="s">
        <v>559</v>
      </c>
      <c r="N12" s="139"/>
      <c r="O12" s="139"/>
      <c r="P12" s="131" t="s">
        <v>510</v>
      </c>
      <c r="Q12" s="131"/>
    </row>
    <row r="13" spans="1:17" x14ac:dyDescent="0.3">
      <c r="A13" t="s">
        <v>328</v>
      </c>
      <c r="B13" t="s">
        <v>543</v>
      </c>
      <c r="C13" t="s">
        <v>510</v>
      </c>
      <c r="D13" s="72">
        <v>96</v>
      </c>
      <c r="G13" s="131"/>
      <c r="H13" s="131"/>
      <c r="I13" s="131"/>
      <c r="J13" s="131"/>
      <c r="M13" s="139"/>
      <c r="N13" s="139"/>
      <c r="O13" s="139"/>
      <c r="P13" s="131" t="s">
        <v>560</v>
      </c>
      <c r="Q13" s="131"/>
    </row>
    <row r="14" spans="1:17" x14ac:dyDescent="0.3">
      <c r="A14" t="s">
        <v>548</v>
      </c>
      <c r="B14" t="s">
        <v>541</v>
      </c>
      <c r="C14" t="s">
        <v>510</v>
      </c>
      <c r="D14" s="72">
        <v>58</v>
      </c>
      <c r="G14" s="131"/>
      <c r="H14" s="131"/>
      <c r="I14" s="131"/>
      <c r="J14" s="131"/>
      <c r="M14" s="139"/>
      <c r="N14" s="139"/>
      <c r="O14" s="139"/>
      <c r="P14" s="131"/>
      <c r="Q14" s="131"/>
    </row>
    <row r="15" spans="1:17" x14ac:dyDescent="0.3">
      <c r="A15" t="s">
        <v>357</v>
      </c>
      <c r="B15" t="s">
        <v>541</v>
      </c>
      <c r="C15" t="s">
        <v>515</v>
      </c>
      <c r="D15" s="72">
        <v>67</v>
      </c>
      <c r="G15" s="131"/>
      <c r="H15" s="131"/>
      <c r="I15" s="131"/>
      <c r="J15" s="131"/>
      <c r="M15" s="139"/>
      <c r="N15" s="139"/>
      <c r="O15" s="139"/>
      <c r="P15" s="131">
        <f>SUMIFS(Table037__Page_10[[#All],[Score]],C6:C17,"United states",Table037__Page_10[[#All],[Gender]],"Male")</f>
        <v>280</v>
      </c>
      <c r="Q15" s="131"/>
    </row>
    <row r="16" spans="1:17" x14ac:dyDescent="0.3">
      <c r="A16" t="s">
        <v>549</v>
      </c>
      <c r="B16" t="s">
        <v>543</v>
      </c>
      <c r="C16" t="s">
        <v>512</v>
      </c>
      <c r="D16" s="72">
        <v>54</v>
      </c>
    </row>
    <row r="17" spans="1:11" x14ac:dyDescent="0.3">
      <c r="A17" t="s">
        <v>329</v>
      </c>
      <c r="B17" t="s">
        <v>541</v>
      </c>
      <c r="C17" t="s">
        <v>510</v>
      </c>
      <c r="D17" s="72">
        <v>83</v>
      </c>
      <c r="G17" s="128" t="s">
        <v>554</v>
      </c>
      <c r="H17" s="128"/>
      <c r="I17" s="128"/>
      <c r="J17" s="131" t="s">
        <v>555</v>
      </c>
      <c r="K17" s="131"/>
    </row>
    <row r="18" spans="1:11" x14ac:dyDescent="0.3">
      <c r="G18" s="128"/>
      <c r="H18" s="128"/>
      <c r="I18" s="128"/>
      <c r="J18" s="131" t="s">
        <v>556</v>
      </c>
      <c r="K18" s="131" t="s">
        <v>557</v>
      </c>
    </row>
    <row r="19" spans="1:11" x14ac:dyDescent="0.3">
      <c r="G19" s="128"/>
      <c r="H19" s="128"/>
      <c r="I19" s="128"/>
      <c r="J19" s="131"/>
      <c r="K19" s="131"/>
    </row>
    <row r="20" spans="1:11" x14ac:dyDescent="0.3">
      <c r="G20" s="128"/>
      <c r="H20" s="128"/>
      <c r="I20" s="128"/>
      <c r="J20" s="3" t="str">
        <f>VLOOKUP(J18,Table037__Page_10[#All],3,0)</f>
        <v>Canada</v>
      </c>
      <c r="K20" s="3" t="str">
        <f>VLOOKUP(K18,Table037__Page_10[#All],3,0)</f>
        <v>Canada</v>
      </c>
    </row>
    <row r="23" spans="1:11" x14ac:dyDescent="0.3">
      <c r="A23" t="s">
        <v>909</v>
      </c>
    </row>
    <row r="25" spans="1:11" x14ac:dyDescent="0.3">
      <c r="A25" t="s">
        <v>910</v>
      </c>
    </row>
    <row r="26" spans="1:11" x14ac:dyDescent="0.3">
      <c r="A26" t="s">
        <v>903</v>
      </c>
    </row>
    <row r="28" spans="1:11" x14ac:dyDescent="0.3">
      <c r="A28" t="s">
        <v>911</v>
      </c>
    </row>
    <row r="30" spans="1:11" x14ac:dyDescent="0.3">
      <c r="A30" t="s">
        <v>910</v>
      </c>
    </row>
    <row r="31" spans="1:11" x14ac:dyDescent="0.3">
      <c r="A31" t="s">
        <v>905</v>
      </c>
    </row>
    <row r="32" spans="1:11" x14ac:dyDescent="0.3">
      <c r="A32" t="s">
        <v>554</v>
      </c>
    </row>
    <row r="33" spans="1:1" x14ac:dyDescent="0.3">
      <c r="A33" t="s">
        <v>912</v>
      </c>
    </row>
    <row r="35" spans="1:1" x14ac:dyDescent="0.3">
      <c r="A35" t="s">
        <v>913</v>
      </c>
    </row>
    <row r="36" spans="1:1" x14ac:dyDescent="0.3">
      <c r="A36" t="s">
        <v>914</v>
      </c>
    </row>
    <row r="38" spans="1:1" x14ac:dyDescent="0.3">
      <c r="A38" t="s">
        <v>559</v>
      </c>
    </row>
  </sheetData>
  <mergeCells count="22">
    <mergeCell ref="M12:O15"/>
    <mergeCell ref="P12:Q12"/>
    <mergeCell ref="P13:Q14"/>
    <mergeCell ref="P15:Q15"/>
    <mergeCell ref="M6:O10"/>
    <mergeCell ref="P9:P10"/>
    <mergeCell ref="P6:Q6"/>
    <mergeCell ref="P7:P8"/>
    <mergeCell ref="Q7:Q8"/>
    <mergeCell ref="Q9:Q10"/>
    <mergeCell ref="G17:I20"/>
    <mergeCell ref="J17:K17"/>
    <mergeCell ref="J18:J19"/>
    <mergeCell ref="K18:K19"/>
    <mergeCell ref="G12:I15"/>
    <mergeCell ref="J12:J15"/>
    <mergeCell ref="H2:H3"/>
    <mergeCell ref="G6:I10"/>
    <mergeCell ref="J6:J8"/>
    <mergeCell ref="K6:K8"/>
    <mergeCell ref="J9:J10"/>
    <mergeCell ref="K9:K10"/>
  </mergeCells>
  <hyperlinks>
    <hyperlink ref="H2:H3" location="'LIST OF SHEET'!A1" display="LIST OF SHEET" xr:uid="{541F1C42-085F-4C71-AA89-4793E11B52AF}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0D5-90A4-4A2C-82F4-76E93F3141AE}">
  <dimension ref="A2:I16"/>
  <sheetViews>
    <sheetView workbookViewId="0">
      <selection activeCell="G2" sqref="G2:G3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8.21875" bestFit="1" customWidth="1"/>
    <col min="7" max="7" width="13" customWidth="1"/>
  </cols>
  <sheetData>
    <row r="2" spans="1:9" ht="27.6" customHeight="1" x14ac:dyDescent="0.6">
      <c r="A2" s="77" t="s">
        <v>627</v>
      </c>
      <c r="G2" s="126" t="s">
        <v>955</v>
      </c>
    </row>
    <row r="3" spans="1:9" x14ac:dyDescent="0.3">
      <c r="G3" s="126"/>
    </row>
    <row r="4" spans="1:9" ht="23.4" x14ac:dyDescent="0.45">
      <c r="B4" s="20" t="s">
        <v>572</v>
      </c>
    </row>
    <row r="6" spans="1:9" x14ac:dyDescent="0.3">
      <c r="B6" s="70" t="s">
        <v>563</v>
      </c>
      <c r="C6" s="71" t="s">
        <v>564</v>
      </c>
      <c r="D6" s="71" t="s">
        <v>256</v>
      </c>
      <c r="G6" t="s">
        <v>563</v>
      </c>
      <c r="H6" t="s">
        <v>256</v>
      </c>
      <c r="I6" t="s">
        <v>564</v>
      </c>
    </row>
    <row r="7" spans="1:9" x14ac:dyDescent="0.3">
      <c r="B7" s="73">
        <v>101</v>
      </c>
      <c r="C7" s="74" t="s">
        <v>565</v>
      </c>
      <c r="D7" s="74" t="s">
        <v>566</v>
      </c>
      <c r="G7">
        <v>104</v>
      </c>
      <c r="H7" t="str">
        <f>VLOOKUP(Table041__Page_12[[#This Row],[ID]],$B$6:$D$10,3,0)</f>
        <v>Printer</v>
      </c>
      <c r="I7" t="str">
        <f>VLOOKUP(Table041__Page_12[[#This Row],[ID]],$B$6:$D$10,2,0)</f>
        <v>HP</v>
      </c>
    </row>
    <row r="8" spans="1:9" x14ac:dyDescent="0.3">
      <c r="B8" s="75">
        <v>102</v>
      </c>
      <c r="C8" s="76" t="s">
        <v>569</v>
      </c>
      <c r="D8" s="76" t="s">
        <v>570</v>
      </c>
      <c r="G8">
        <v>103</v>
      </c>
      <c r="H8" t="str">
        <f>VLOOKUP(Table041__Page_12[[#This Row],[ID]],$B$6:$D$10,3,0)</f>
        <v>Mouse</v>
      </c>
      <c r="I8" t="str">
        <f>VLOOKUP(Table041__Page_12[[#This Row],[ID]],$B$6:$D$10,2,0)</f>
        <v>Logitech</v>
      </c>
    </row>
    <row r="9" spans="1:9" x14ac:dyDescent="0.3">
      <c r="B9" s="73">
        <v>103</v>
      </c>
      <c r="C9" s="74" t="s">
        <v>569</v>
      </c>
      <c r="D9" s="74" t="s">
        <v>571</v>
      </c>
      <c r="G9">
        <v>104</v>
      </c>
      <c r="H9" t="str">
        <f>VLOOKUP(Table041__Page_12[[#This Row],[ID]],$B$6:$D$10,3,0)</f>
        <v>Printer</v>
      </c>
      <c r="I9" t="str">
        <f>VLOOKUP(Table041__Page_12[[#This Row],[ID]],$B$6:$D$10,2,0)</f>
        <v>HP</v>
      </c>
    </row>
    <row r="10" spans="1:9" x14ac:dyDescent="0.3">
      <c r="B10" s="75">
        <v>104</v>
      </c>
      <c r="C10" s="76" t="s">
        <v>567</v>
      </c>
      <c r="D10" s="76" t="s">
        <v>568</v>
      </c>
      <c r="G10">
        <v>101</v>
      </c>
      <c r="H10" t="str">
        <f>VLOOKUP(Table041__Page_12[[#This Row],[ID]],$B$6:$D$10,3,0)</f>
        <v>Computer</v>
      </c>
      <c r="I10" t="str">
        <f>VLOOKUP(Table041__Page_12[[#This Row],[ID]],$B$6:$D$10,2,0)</f>
        <v>Dell</v>
      </c>
    </row>
    <row r="11" spans="1:9" x14ac:dyDescent="0.3">
      <c r="G11">
        <v>102</v>
      </c>
      <c r="H11" t="str">
        <f>VLOOKUP(Table041__Page_12[[#This Row],[ID]],$B$6:$D$10,3,0)</f>
        <v>Keyboard</v>
      </c>
      <c r="I11" t="str">
        <f>VLOOKUP(Table041__Page_12[[#This Row],[ID]],$B$6:$D$10,2,0)</f>
        <v>Logitech</v>
      </c>
    </row>
    <row r="12" spans="1:9" x14ac:dyDescent="0.3">
      <c r="G12">
        <v>103</v>
      </c>
      <c r="H12" t="str">
        <f>VLOOKUP(Table041__Page_12[[#This Row],[ID]],$B$6:$D$10,3,0)</f>
        <v>Mouse</v>
      </c>
      <c r="I12" t="str">
        <f>VLOOKUP(Table041__Page_12[[#This Row],[ID]],$B$6:$D$10,2,0)</f>
        <v>Logitech</v>
      </c>
    </row>
    <row r="13" spans="1:9" x14ac:dyDescent="0.3">
      <c r="G13">
        <v>101</v>
      </c>
      <c r="H13" t="str">
        <f>VLOOKUP(Table041__Page_12[[#This Row],[ID]],$B$6:$D$10,3,0)</f>
        <v>Computer</v>
      </c>
      <c r="I13" t="str">
        <f>VLOOKUP(Table041__Page_12[[#This Row],[ID]],$B$6:$D$10,2,0)</f>
        <v>Dell</v>
      </c>
    </row>
    <row r="14" spans="1:9" x14ac:dyDescent="0.3">
      <c r="G14">
        <v>104</v>
      </c>
      <c r="H14" t="str">
        <f>VLOOKUP(Table041__Page_12[[#This Row],[ID]],$B$6:$D$10,3,0)</f>
        <v>Printer</v>
      </c>
      <c r="I14" t="str">
        <f>VLOOKUP(Table041__Page_12[[#This Row],[ID]],$B$6:$D$10,2,0)</f>
        <v>HP</v>
      </c>
    </row>
    <row r="15" spans="1:9" x14ac:dyDescent="0.3">
      <c r="G15">
        <v>101</v>
      </c>
      <c r="H15" t="str">
        <f>VLOOKUP(Table041__Page_12[[#This Row],[ID]],$B$6:$D$10,3,0)</f>
        <v>Computer</v>
      </c>
      <c r="I15" t="str">
        <f>VLOOKUP(Table041__Page_12[[#This Row],[ID]],$B$6:$D$10,2,0)</f>
        <v>Dell</v>
      </c>
    </row>
    <row r="16" spans="1:9" x14ac:dyDescent="0.3">
      <c r="G16">
        <v>102</v>
      </c>
      <c r="H16" t="str">
        <f>VLOOKUP(Table041__Page_12[[#This Row],[ID]],$B$6:$D$10,3,0)</f>
        <v>Keyboard</v>
      </c>
      <c r="I16" t="str">
        <f>VLOOKUP(Table041__Page_12[[#This Row],[ID]],$B$6:$D$10,2,0)</f>
        <v>Logitech</v>
      </c>
    </row>
  </sheetData>
  <mergeCells count="1">
    <mergeCell ref="G2:G3"/>
  </mergeCells>
  <hyperlinks>
    <hyperlink ref="G2:G3" location="'LIST OF SHEET'!A1" display="LIST OF SHEET" xr:uid="{25BA3BC6-A25A-433E-B595-30B3D12BDB6D}"/>
  </hyperlink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7112-C43C-4E5C-B06D-D6B4F0641736}">
  <dimension ref="A1:G19"/>
  <sheetViews>
    <sheetView workbookViewId="0">
      <selection activeCell="H11" sqref="H11"/>
    </sheetView>
  </sheetViews>
  <sheetFormatPr defaultRowHeight="14.4" x14ac:dyDescent="0.3"/>
  <cols>
    <col min="1" max="1" width="7.6640625" customWidth="1"/>
    <col min="2" max="2" width="9.88671875" bestFit="1" customWidth="1"/>
    <col min="3" max="3" width="9.44140625" customWidth="1"/>
    <col min="7" max="7" width="13.21875" customWidth="1"/>
  </cols>
  <sheetData>
    <row r="1" spans="1:7" ht="31.2" x14ac:dyDescent="0.6">
      <c r="A1" s="77" t="s">
        <v>629</v>
      </c>
    </row>
    <row r="2" spans="1:7" x14ac:dyDescent="0.3">
      <c r="A2" t="s">
        <v>575</v>
      </c>
      <c r="G2" s="126" t="s">
        <v>955</v>
      </c>
    </row>
    <row r="3" spans="1:7" x14ac:dyDescent="0.3">
      <c r="G3" s="126"/>
    </row>
    <row r="5" spans="1:7" x14ac:dyDescent="0.3">
      <c r="A5" s="89" t="s">
        <v>563</v>
      </c>
      <c r="B5" s="78">
        <v>101</v>
      </c>
      <c r="C5" s="21">
        <v>102</v>
      </c>
      <c r="D5" s="78">
        <v>103</v>
      </c>
      <c r="E5" s="21">
        <v>104</v>
      </c>
    </row>
    <row r="6" spans="1:7" x14ac:dyDescent="0.3">
      <c r="A6" s="79" t="s">
        <v>564</v>
      </c>
      <c r="B6" s="80" t="s">
        <v>565</v>
      </c>
      <c r="C6" s="3" t="s">
        <v>569</v>
      </c>
      <c r="D6" s="80" t="s">
        <v>569</v>
      </c>
      <c r="E6" s="3" t="s">
        <v>567</v>
      </c>
    </row>
    <row r="7" spans="1:7" x14ac:dyDescent="0.3">
      <c r="A7" s="79" t="s">
        <v>256</v>
      </c>
      <c r="B7" s="80" t="s">
        <v>566</v>
      </c>
      <c r="C7" s="3" t="s">
        <v>570</v>
      </c>
      <c r="D7" s="80" t="s">
        <v>571</v>
      </c>
      <c r="E7" s="3" t="s">
        <v>568</v>
      </c>
    </row>
    <row r="9" spans="1:7" x14ac:dyDescent="0.3">
      <c r="A9" s="81" t="s">
        <v>563</v>
      </c>
      <c r="B9" s="29" t="s">
        <v>256</v>
      </c>
      <c r="C9" s="82" t="s">
        <v>564</v>
      </c>
    </row>
    <row r="10" spans="1:7" x14ac:dyDescent="0.3">
      <c r="A10" s="30">
        <v>104</v>
      </c>
      <c r="B10" s="3" t="str">
        <f>HLOOKUP(Table041__Page_12___2[[#This Row],[ID]],$A$5:$E$7,3,0)</f>
        <v>Printer</v>
      </c>
      <c r="C10" s="83" t="str">
        <f>HLOOKUP(Table041__Page_12___2[[#This Row],[ID]],$A$5:$E$7,2,0)</f>
        <v>HP</v>
      </c>
    </row>
    <row r="11" spans="1:7" x14ac:dyDescent="0.3">
      <c r="A11" s="30">
        <v>103</v>
      </c>
      <c r="B11" s="3" t="str">
        <f>HLOOKUP(Table041__Page_12___2[[#This Row],[ID]],$A$5:$E$7,3,0)</f>
        <v>Mouse</v>
      </c>
      <c r="C11" s="83" t="str">
        <f>HLOOKUP(Table041__Page_12___2[[#This Row],[ID]],$A$5:$E$7,2,0)</f>
        <v>Logitech</v>
      </c>
    </row>
    <row r="12" spans="1:7" x14ac:dyDescent="0.3">
      <c r="A12" s="30">
        <v>104</v>
      </c>
      <c r="B12" s="3" t="str">
        <f>HLOOKUP(Table041__Page_12___2[[#This Row],[ID]],$A$5:$E$7,3,0)</f>
        <v>Printer</v>
      </c>
      <c r="C12" s="83" t="str">
        <f>HLOOKUP(Table041__Page_12___2[[#This Row],[ID]],$A$5:$E$7,2,0)</f>
        <v>HP</v>
      </c>
    </row>
    <row r="13" spans="1:7" x14ac:dyDescent="0.3">
      <c r="A13" s="30">
        <v>101</v>
      </c>
      <c r="B13" s="3" t="str">
        <f>HLOOKUP(Table041__Page_12___2[[#This Row],[ID]],$A$5:$E$7,3,0)</f>
        <v>Computer</v>
      </c>
      <c r="C13" s="83" t="str">
        <f>HLOOKUP(Table041__Page_12___2[[#This Row],[ID]],$A$5:$E$7,2,0)</f>
        <v>Dell</v>
      </c>
    </row>
    <row r="14" spans="1:7" x14ac:dyDescent="0.3">
      <c r="A14" s="30">
        <v>102</v>
      </c>
      <c r="B14" s="3" t="str">
        <f>HLOOKUP(Table041__Page_12___2[[#This Row],[ID]],$A$5:$E$7,3,0)</f>
        <v>Keyboard</v>
      </c>
      <c r="C14" s="83" t="str">
        <f>HLOOKUP(Table041__Page_12___2[[#This Row],[ID]],$A$5:$E$7,2,0)</f>
        <v>Logitech</v>
      </c>
    </row>
    <row r="15" spans="1:7" x14ac:dyDescent="0.3">
      <c r="A15" s="30">
        <v>103</v>
      </c>
      <c r="B15" s="3" t="str">
        <f>HLOOKUP(Table041__Page_12___2[[#This Row],[ID]],$A$5:$E$7,3,0)</f>
        <v>Mouse</v>
      </c>
      <c r="C15" s="83" t="str">
        <f>HLOOKUP(Table041__Page_12___2[[#This Row],[ID]],$A$5:$E$7,2,0)</f>
        <v>Logitech</v>
      </c>
    </row>
    <row r="16" spans="1:7" x14ac:dyDescent="0.3">
      <c r="A16" s="30">
        <v>101</v>
      </c>
      <c r="B16" s="3" t="str">
        <f>HLOOKUP(Table041__Page_12___2[[#This Row],[ID]],$A$5:$E$7,3,0)</f>
        <v>Computer</v>
      </c>
      <c r="C16" s="83" t="str">
        <f>HLOOKUP(Table041__Page_12___2[[#This Row],[ID]],$A$5:$E$7,2,0)</f>
        <v>Dell</v>
      </c>
    </row>
    <row r="17" spans="1:3" x14ac:dyDescent="0.3">
      <c r="A17" s="30">
        <v>104</v>
      </c>
      <c r="B17" s="3" t="str">
        <f>HLOOKUP(Table041__Page_12___2[[#This Row],[ID]],$A$5:$E$7,3,0)</f>
        <v>Printer</v>
      </c>
      <c r="C17" s="83" t="str">
        <f>HLOOKUP(Table041__Page_12___2[[#This Row],[ID]],$A$5:$E$7,2,0)</f>
        <v>HP</v>
      </c>
    </row>
    <row r="18" spans="1:3" x14ac:dyDescent="0.3">
      <c r="A18" s="30">
        <v>101</v>
      </c>
      <c r="B18" s="3" t="str">
        <f>HLOOKUP(Table041__Page_12___2[[#This Row],[ID]],$A$5:$E$7,3,0)</f>
        <v>Computer</v>
      </c>
      <c r="C18" s="83" t="str">
        <f>HLOOKUP(Table041__Page_12___2[[#This Row],[ID]],$A$5:$E$7,2,0)</f>
        <v>Dell</v>
      </c>
    </row>
    <row r="19" spans="1:3" x14ac:dyDescent="0.3">
      <c r="A19" s="84">
        <v>102</v>
      </c>
      <c r="B19" s="85" t="str">
        <f>HLOOKUP(Table041__Page_12___2[[#This Row],[ID]],$A$5:$E$7,3,0)</f>
        <v>Keyboard</v>
      </c>
      <c r="C19" s="86" t="str">
        <f>HLOOKUP(Table041__Page_12___2[[#This Row],[ID]],$A$5:$E$7,2,0)</f>
        <v>Logitech</v>
      </c>
    </row>
  </sheetData>
  <mergeCells count="1">
    <mergeCell ref="G2:G3"/>
  </mergeCells>
  <hyperlinks>
    <hyperlink ref="G2:G3" location="'LIST OF SHEET'!A1" display="LIST OF SHEET" xr:uid="{6B3731FC-61F0-49CD-88D2-C8E3A5E4FC28}"/>
  </hyperlink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4C3F-15E3-4BC0-A4B5-184E7F6464DA}">
  <dimension ref="A1:G14"/>
  <sheetViews>
    <sheetView workbookViewId="0">
      <selection activeCell="G2" sqref="G2:G3"/>
    </sheetView>
  </sheetViews>
  <sheetFormatPr defaultRowHeight="14.4" x14ac:dyDescent="0.3"/>
  <cols>
    <col min="1" max="1" width="7.44140625" customWidth="1"/>
    <col min="2" max="2" width="8.88671875" customWidth="1"/>
    <col min="3" max="3" width="9.5546875" customWidth="1"/>
    <col min="4" max="4" width="11.77734375" customWidth="1"/>
    <col min="7" max="7" width="14.109375" customWidth="1"/>
  </cols>
  <sheetData>
    <row r="1" spans="1:7" ht="28.8" x14ac:dyDescent="0.55000000000000004">
      <c r="A1" s="62" t="s">
        <v>649</v>
      </c>
    </row>
    <row r="2" spans="1:7" x14ac:dyDescent="0.3">
      <c r="A2" t="s">
        <v>583</v>
      </c>
      <c r="G2" s="126" t="s">
        <v>955</v>
      </c>
    </row>
    <row r="3" spans="1:7" x14ac:dyDescent="0.3">
      <c r="G3" s="126"/>
    </row>
    <row r="5" spans="1:7" x14ac:dyDescent="0.3">
      <c r="A5" s="21" t="s">
        <v>576</v>
      </c>
      <c r="B5" s="21" t="s">
        <v>454</v>
      </c>
      <c r="C5" s="21" t="s">
        <v>455</v>
      </c>
      <c r="D5" s="21" t="s">
        <v>456</v>
      </c>
    </row>
    <row r="6" spans="1:7" x14ac:dyDescent="0.3">
      <c r="A6" s="3" t="s">
        <v>577</v>
      </c>
      <c r="B6" s="36">
        <v>5535</v>
      </c>
      <c r="C6" s="36">
        <v>5414</v>
      </c>
      <c r="D6" s="36">
        <v>9027</v>
      </c>
    </row>
    <row r="7" spans="1:7" x14ac:dyDescent="0.3">
      <c r="A7" s="3" t="s">
        <v>578</v>
      </c>
      <c r="B7" s="36">
        <v>5013</v>
      </c>
      <c r="C7" s="36">
        <v>5107</v>
      </c>
      <c r="D7" s="36">
        <v>11667</v>
      </c>
      <c r="G7" t="s">
        <v>581</v>
      </c>
    </row>
    <row r="8" spans="1:7" x14ac:dyDescent="0.3">
      <c r="A8" s="3" t="s">
        <v>579</v>
      </c>
      <c r="B8" s="36">
        <v>6597</v>
      </c>
      <c r="C8" s="36">
        <v>3858</v>
      </c>
      <c r="D8" s="36">
        <v>1507</v>
      </c>
    </row>
    <row r="9" spans="1:7" x14ac:dyDescent="0.3">
      <c r="A9" s="3" t="s">
        <v>580</v>
      </c>
      <c r="B9" s="36">
        <v>3195</v>
      </c>
      <c r="C9" s="36">
        <v>3654</v>
      </c>
      <c r="D9" s="36">
        <v>7225</v>
      </c>
    </row>
    <row r="11" spans="1:7" x14ac:dyDescent="0.3">
      <c r="A11" s="3" t="s">
        <v>579</v>
      </c>
      <c r="B11" s="3" t="s">
        <v>456</v>
      </c>
      <c r="C11" s="66">
        <f>INDEX($A$5:$D$9,MATCH(A11,$A$5:$A$9,0),MATCH(B11,$A$5:$D$5,0))</f>
        <v>1507</v>
      </c>
    </row>
    <row r="12" spans="1:7" x14ac:dyDescent="0.3">
      <c r="A12" s="3" t="s">
        <v>580</v>
      </c>
      <c r="B12" s="3" t="s">
        <v>455</v>
      </c>
      <c r="C12" s="66">
        <f t="shared" ref="C12:C14" si="0">INDEX($A$5:$D$9,MATCH(A12,$A$5:$A$9,0),MATCH(B12,$A$5:$D$5,0))</f>
        <v>3654</v>
      </c>
    </row>
    <row r="13" spans="1:7" x14ac:dyDescent="0.3">
      <c r="A13" s="3" t="s">
        <v>578</v>
      </c>
      <c r="B13" s="3" t="s">
        <v>454</v>
      </c>
      <c r="C13" s="66">
        <f t="shared" si="0"/>
        <v>5013</v>
      </c>
    </row>
    <row r="14" spans="1:7" x14ac:dyDescent="0.3">
      <c r="A14" s="3" t="s">
        <v>577</v>
      </c>
      <c r="B14" s="3" t="s">
        <v>456</v>
      </c>
      <c r="C14" s="66">
        <f t="shared" si="0"/>
        <v>9027</v>
      </c>
    </row>
  </sheetData>
  <mergeCells count="1">
    <mergeCell ref="G2:G3"/>
  </mergeCells>
  <phoneticPr fontId="11" type="noConversion"/>
  <hyperlinks>
    <hyperlink ref="G2:G3" location="'LIST OF SHEET'!A1" display="LIST OF SHEET" xr:uid="{C514E471-3D4B-40C3-B50D-4A4159EE32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B818-62D5-4B94-8C60-1A260A558E4F}">
  <dimension ref="A1:G26"/>
  <sheetViews>
    <sheetView workbookViewId="0">
      <selection activeCell="F2" sqref="F2:F3"/>
    </sheetView>
  </sheetViews>
  <sheetFormatPr defaultRowHeight="14.4" x14ac:dyDescent="0.3"/>
  <cols>
    <col min="1" max="1" width="12.44140625" bestFit="1" customWidth="1"/>
    <col min="2" max="2" width="8.33203125" bestFit="1" customWidth="1"/>
    <col min="3" max="3" width="13.33203125" bestFit="1" customWidth="1"/>
    <col min="4" max="4" width="9.21875" bestFit="1" customWidth="1"/>
    <col min="6" max="6" width="12.44140625" customWidth="1"/>
  </cols>
  <sheetData>
    <row r="1" spans="1:7" ht="28.8" x14ac:dyDescent="0.55000000000000004">
      <c r="A1" s="62" t="s">
        <v>682</v>
      </c>
    </row>
    <row r="2" spans="1:7" x14ac:dyDescent="0.3">
      <c r="A2" t="s">
        <v>628</v>
      </c>
      <c r="F2" s="126" t="s">
        <v>955</v>
      </c>
    </row>
    <row r="3" spans="1:7" x14ac:dyDescent="0.3">
      <c r="F3" s="126"/>
    </row>
    <row r="6" spans="1:7" x14ac:dyDescent="0.3">
      <c r="A6" t="s">
        <v>584</v>
      </c>
      <c r="B6" t="s">
        <v>213</v>
      </c>
      <c r="C6" t="s">
        <v>379</v>
      </c>
      <c r="D6" t="s">
        <v>585</v>
      </c>
      <c r="F6" t="s">
        <v>585</v>
      </c>
      <c r="G6" t="s">
        <v>213</v>
      </c>
    </row>
    <row r="7" spans="1:7" x14ac:dyDescent="0.3">
      <c r="A7" t="s">
        <v>586</v>
      </c>
      <c r="B7">
        <v>92671</v>
      </c>
      <c r="C7" t="s">
        <v>149</v>
      </c>
      <c r="D7" t="s">
        <v>587</v>
      </c>
      <c r="F7" t="s">
        <v>587</v>
      </c>
      <c r="G7">
        <f>INDEX(Table044__Page_13_14[#All],MATCH(Table043__Page_13[[#This Row],[Emp ID]],Table044__Page_13_14[[#All],[Emp ID]],0),MATCH(Table043__Page_13[[#Headers],[Salary]],Table044__Page_13_14[#Headers],0))</f>
        <v>92671</v>
      </c>
    </row>
    <row r="8" spans="1:7" x14ac:dyDescent="0.3">
      <c r="A8" t="s">
        <v>588</v>
      </c>
      <c r="B8">
        <v>84120</v>
      </c>
      <c r="C8" t="s">
        <v>589</v>
      </c>
      <c r="D8" t="s">
        <v>590</v>
      </c>
      <c r="F8" t="s">
        <v>590</v>
      </c>
      <c r="G8">
        <f>INDEX(Table044__Page_13_14[#All],MATCH(Table043__Page_13[[#This Row],[Emp ID]],Table044__Page_13_14[[#All],[Emp ID]],0),MATCH(Table043__Page_13[[#Headers],[Salary]],Table044__Page_13_14[#Headers],0))</f>
        <v>84120</v>
      </c>
    </row>
    <row r="9" spans="1:7" x14ac:dyDescent="0.3">
      <c r="A9" t="s">
        <v>591</v>
      </c>
      <c r="B9">
        <v>50793</v>
      </c>
      <c r="C9" t="s">
        <v>387</v>
      </c>
      <c r="D9" t="s">
        <v>592</v>
      </c>
      <c r="F9" t="s">
        <v>592</v>
      </c>
      <c r="G9">
        <f>INDEX(Table044__Page_13_14[#All],MATCH(Table043__Page_13[[#This Row],[Emp ID]],Table044__Page_13_14[[#All],[Emp ID]],0),MATCH(Table043__Page_13[[#Headers],[Salary]],Table044__Page_13_14[#Headers],0))</f>
        <v>50793</v>
      </c>
    </row>
    <row r="10" spans="1:7" x14ac:dyDescent="0.3">
      <c r="A10" t="s">
        <v>593</v>
      </c>
      <c r="B10">
        <v>77833</v>
      </c>
      <c r="C10" t="s">
        <v>594</v>
      </c>
      <c r="D10" t="s">
        <v>595</v>
      </c>
      <c r="F10" t="s">
        <v>595</v>
      </c>
      <c r="G10">
        <f>INDEX(Table044__Page_13_14[#All],MATCH(Table043__Page_13[[#This Row],[Emp ID]],Table044__Page_13_14[[#All],[Emp ID]],0),MATCH(Table043__Page_13[[#Headers],[Salary]],Table044__Page_13_14[#Headers],0))</f>
        <v>77833</v>
      </c>
    </row>
    <row r="11" spans="1:7" x14ac:dyDescent="0.3">
      <c r="A11" t="s">
        <v>596</v>
      </c>
      <c r="B11">
        <v>58914</v>
      </c>
      <c r="C11" t="s">
        <v>403</v>
      </c>
      <c r="D11" t="s">
        <v>597</v>
      </c>
      <c r="F11" t="s">
        <v>597</v>
      </c>
      <c r="G11">
        <f>INDEX(Table044__Page_13_14[#All],MATCH(Table043__Page_13[[#This Row],[Emp ID]],Table044__Page_13_14[[#All],[Emp ID]],0),MATCH(Table043__Page_13[[#Headers],[Salary]],Table044__Page_13_14[#Headers],0))</f>
        <v>58914</v>
      </c>
    </row>
    <row r="12" spans="1:7" x14ac:dyDescent="0.3">
      <c r="A12" t="s">
        <v>598</v>
      </c>
      <c r="B12">
        <v>51096</v>
      </c>
      <c r="C12" t="s">
        <v>599</v>
      </c>
      <c r="D12" t="s">
        <v>600</v>
      </c>
      <c r="F12" t="s">
        <v>600</v>
      </c>
      <c r="G12">
        <f>INDEX(Table044__Page_13_14[#All],MATCH(Table043__Page_13[[#This Row],[Emp ID]],Table044__Page_13_14[[#All],[Emp ID]],0),MATCH(Table043__Page_13[[#Headers],[Salary]],Table044__Page_13_14[#Headers],0))</f>
        <v>51096</v>
      </c>
    </row>
    <row r="13" spans="1:7" x14ac:dyDescent="0.3">
      <c r="A13" t="s">
        <v>601</v>
      </c>
      <c r="B13">
        <v>83735</v>
      </c>
      <c r="C13" t="s">
        <v>387</v>
      </c>
      <c r="D13" t="s">
        <v>602</v>
      </c>
      <c r="F13" t="s">
        <v>602</v>
      </c>
      <c r="G13">
        <f>INDEX(Table044__Page_13_14[#All],MATCH(Table043__Page_13[[#This Row],[Emp ID]],Table044__Page_13_14[[#All],[Emp ID]],0),MATCH(Table043__Page_13[[#Headers],[Salary]],Table044__Page_13_14[#Headers],0))</f>
        <v>83735</v>
      </c>
    </row>
    <row r="14" spans="1:7" x14ac:dyDescent="0.3">
      <c r="A14" t="s">
        <v>603</v>
      </c>
      <c r="B14">
        <v>74418</v>
      </c>
      <c r="C14" t="s">
        <v>599</v>
      </c>
      <c r="D14" t="s">
        <v>604</v>
      </c>
      <c r="F14" t="s">
        <v>604</v>
      </c>
      <c r="G14">
        <f>INDEX(Table044__Page_13_14[#All],MATCH(Table043__Page_13[[#This Row],[Emp ID]],Table044__Page_13_14[[#All],[Emp ID]],0),MATCH(Table043__Page_13[[#Headers],[Salary]],Table044__Page_13_14[#Headers],0))</f>
        <v>74418</v>
      </c>
    </row>
    <row r="15" spans="1:7" x14ac:dyDescent="0.3">
      <c r="A15" t="s">
        <v>605</v>
      </c>
      <c r="B15">
        <v>51366</v>
      </c>
      <c r="C15" t="s">
        <v>149</v>
      </c>
      <c r="D15" t="s">
        <v>606</v>
      </c>
      <c r="F15" t="s">
        <v>606</v>
      </c>
      <c r="G15">
        <f>INDEX(Table044__Page_13_14[#All],MATCH(Table043__Page_13[[#This Row],[Emp ID]],Table044__Page_13_14[[#All],[Emp ID]],0),MATCH(Table043__Page_13[[#Headers],[Salary]],Table044__Page_13_14[#Headers],0))</f>
        <v>51366</v>
      </c>
    </row>
    <row r="16" spans="1:7" x14ac:dyDescent="0.3">
      <c r="A16" t="s">
        <v>607</v>
      </c>
      <c r="B16">
        <v>54600</v>
      </c>
      <c r="C16" t="s">
        <v>403</v>
      </c>
      <c r="D16" t="s">
        <v>608</v>
      </c>
      <c r="F16" t="s">
        <v>608</v>
      </c>
      <c r="G16">
        <f>INDEX(Table044__Page_13_14[#All],MATCH(Table043__Page_13[[#This Row],[Emp ID]],Table044__Page_13_14[[#All],[Emp ID]],0),MATCH(Table043__Page_13[[#Headers],[Salary]],Table044__Page_13_14[#Headers],0))</f>
        <v>54600</v>
      </c>
    </row>
    <row r="17" spans="1:7" x14ac:dyDescent="0.3">
      <c r="A17" t="s">
        <v>609</v>
      </c>
      <c r="B17">
        <v>93509</v>
      </c>
      <c r="C17" t="s">
        <v>589</v>
      </c>
      <c r="D17" t="s">
        <v>610</v>
      </c>
      <c r="F17" t="s">
        <v>610</v>
      </c>
      <c r="G17">
        <f>INDEX(Table044__Page_13_14[#All],MATCH(Table043__Page_13[[#This Row],[Emp ID]],Table044__Page_13_14[[#All],[Emp ID]],0),MATCH(Table043__Page_13[[#Headers],[Salary]],Table044__Page_13_14[#Headers],0))</f>
        <v>93509</v>
      </c>
    </row>
    <row r="18" spans="1:7" x14ac:dyDescent="0.3">
      <c r="A18" t="s">
        <v>611</v>
      </c>
      <c r="B18">
        <v>80105</v>
      </c>
      <c r="C18" t="s">
        <v>403</v>
      </c>
      <c r="D18" t="s">
        <v>612</v>
      </c>
      <c r="F18" t="s">
        <v>612</v>
      </c>
      <c r="G18">
        <f>INDEX(Table044__Page_13_14[#All],MATCH(Table043__Page_13[[#This Row],[Emp ID]],Table044__Page_13_14[[#All],[Emp ID]],0),MATCH(Table043__Page_13[[#Headers],[Salary]],Table044__Page_13_14[#Headers],0))</f>
        <v>80105</v>
      </c>
    </row>
    <row r="19" spans="1:7" x14ac:dyDescent="0.3">
      <c r="A19" t="s">
        <v>613</v>
      </c>
      <c r="B19">
        <v>60802</v>
      </c>
      <c r="C19" t="s">
        <v>387</v>
      </c>
      <c r="D19" t="s">
        <v>614</v>
      </c>
      <c r="F19" t="s">
        <v>614</v>
      </c>
      <c r="G19">
        <f>INDEX(Table044__Page_13_14[#All],MATCH(Table043__Page_13[[#This Row],[Emp ID]],Table044__Page_13_14[[#All],[Emp ID]],0),MATCH(Table043__Page_13[[#Headers],[Salary]],Table044__Page_13_14[#Headers],0))</f>
        <v>60802</v>
      </c>
    </row>
    <row r="20" spans="1:7" x14ac:dyDescent="0.3">
      <c r="A20" t="s">
        <v>615</v>
      </c>
      <c r="B20">
        <v>76260</v>
      </c>
      <c r="C20" t="s">
        <v>149</v>
      </c>
      <c r="D20" t="s">
        <v>616</v>
      </c>
      <c r="F20" t="s">
        <v>616</v>
      </c>
      <c r="G20">
        <f>INDEX(Table044__Page_13_14[#All],MATCH(Table043__Page_13[[#This Row],[Emp ID]],Table044__Page_13_14[[#All],[Emp ID]],0),MATCH(Table043__Page_13[[#Headers],[Salary]],Table044__Page_13_14[#Headers],0))</f>
        <v>76260</v>
      </c>
    </row>
    <row r="21" spans="1:7" x14ac:dyDescent="0.3">
      <c r="A21" t="s">
        <v>617</v>
      </c>
      <c r="B21">
        <v>88965</v>
      </c>
      <c r="C21" t="s">
        <v>599</v>
      </c>
      <c r="D21" t="s">
        <v>618</v>
      </c>
      <c r="F21" t="s">
        <v>618</v>
      </c>
      <c r="G21">
        <f>INDEX(Table044__Page_13_14[#All],MATCH(Table043__Page_13[[#This Row],[Emp ID]],Table044__Page_13_14[[#All],[Emp ID]],0),MATCH(Table043__Page_13[[#Headers],[Salary]],Table044__Page_13_14[#Headers],0))</f>
        <v>88965</v>
      </c>
    </row>
    <row r="22" spans="1:7" x14ac:dyDescent="0.3">
      <c r="A22" t="s">
        <v>619</v>
      </c>
      <c r="B22">
        <v>63288</v>
      </c>
      <c r="C22" t="s">
        <v>589</v>
      </c>
      <c r="D22" t="s">
        <v>620</v>
      </c>
      <c r="F22" t="s">
        <v>620</v>
      </c>
      <c r="G22">
        <f>INDEX(Table044__Page_13_14[#All],MATCH(Table043__Page_13[[#This Row],[Emp ID]],Table044__Page_13_14[[#All],[Emp ID]],0),MATCH(Table043__Page_13[[#Headers],[Salary]],Table044__Page_13_14[#Headers],0))</f>
        <v>63288</v>
      </c>
    </row>
    <row r="23" spans="1:7" x14ac:dyDescent="0.3">
      <c r="A23" t="s">
        <v>621</v>
      </c>
      <c r="B23">
        <v>45742</v>
      </c>
      <c r="C23" t="s">
        <v>149</v>
      </c>
      <c r="D23" t="s">
        <v>622</v>
      </c>
      <c r="F23" t="s">
        <v>622</v>
      </c>
      <c r="G23">
        <f>INDEX(Table044__Page_13_14[#All],MATCH(Table043__Page_13[[#This Row],[Emp ID]],Table044__Page_13_14[[#All],[Emp ID]],0),MATCH(Table043__Page_13[[#Headers],[Salary]],Table044__Page_13_14[#Headers],0))</f>
        <v>45742</v>
      </c>
    </row>
    <row r="24" spans="1:7" x14ac:dyDescent="0.3">
      <c r="A24" t="s">
        <v>329</v>
      </c>
      <c r="B24">
        <v>88354</v>
      </c>
      <c r="C24" t="s">
        <v>387</v>
      </c>
      <c r="D24" t="s">
        <v>623</v>
      </c>
      <c r="F24" t="s">
        <v>623</v>
      </c>
      <c r="G24">
        <f>INDEX(Table044__Page_13_14[#All],MATCH(Table043__Page_13[[#This Row],[Emp ID]],Table044__Page_13_14[[#All],[Emp ID]],0),MATCH(Table043__Page_13[[#Headers],[Salary]],Table044__Page_13_14[#Headers],0))</f>
        <v>88354</v>
      </c>
    </row>
    <row r="25" spans="1:7" x14ac:dyDescent="0.3">
      <c r="A25" t="s">
        <v>624</v>
      </c>
      <c r="B25">
        <v>76641</v>
      </c>
      <c r="C25" t="s">
        <v>387</v>
      </c>
      <c r="D25" t="s">
        <v>625</v>
      </c>
      <c r="F25" t="s">
        <v>625</v>
      </c>
      <c r="G25">
        <f>INDEX(Table044__Page_13_14[#All],MATCH(Table043__Page_13[[#This Row],[Emp ID]],Table044__Page_13_14[[#All],[Emp ID]],0),MATCH(Table043__Page_13[[#Headers],[Salary]],Table044__Page_13_14[#Headers],0))</f>
        <v>76641</v>
      </c>
    </row>
    <row r="26" spans="1:7" x14ac:dyDescent="0.3">
      <c r="A26" t="s">
        <v>361</v>
      </c>
      <c r="B26">
        <v>61678</v>
      </c>
      <c r="C26" t="s">
        <v>149</v>
      </c>
      <c r="D26" t="s">
        <v>626</v>
      </c>
      <c r="F26" t="s">
        <v>626</v>
      </c>
      <c r="G26">
        <f>INDEX(Table044__Page_13_14[#All],MATCH(Table043__Page_13[[#This Row],[Emp ID]],Table044__Page_13_14[[#All],[Emp ID]],0),MATCH(Table043__Page_13[[#Headers],[Salary]],Table044__Page_13_14[#Headers],0))</f>
        <v>61678</v>
      </c>
    </row>
  </sheetData>
  <mergeCells count="1">
    <mergeCell ref="F2:F3"/>
  </mergeCells>
  <hyperlinks>
    <hyperlink ref="F2:F3" location="'LIST OF SHEET'!A1" display="LIST OF SHEET" xr:uid="{0FA1BCF5-136B-4F85-85A5-BB8B7F70E23F}"/>
  </hyperlinks>
  <pageMargins left="0.7" right="0.7" top="0.75" bottom="0.75" header="0.3" footer="0.3"/>
  <tableParts count="2">
    <tablePart r:id="rId1"/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175F-D68B-4438-9E38-BBB6FAD2D82E}">
  <dimension ref="A1:N30"/>
  <sheetViews>
    <sheetView workbookViewId="0">
      <selection activeCell="I2" sqref="I2:I3"/>
    </sheetView>
  </sheetViews>
  <sheetFormatPr defaultRowHeight="14.4" x14ac:dyDescent="0.3"/>
  <cols>
    <col min="1" max="1" width="7.5546875" customWidth="1"/>
    <col min="9" max="9" width="15.5546875" customWidth="1"/>
    <col min="13" max="13" width="10" customWidth="1"/>
    <col min="14" max="14" width="9.6640625" customWidth="1"/>
  </cols>
  <sheetData>
    <row r="1" spans="1:14" ht="28.8" x14ac:dyDescent="0.55000000000000004">
      <c r="A1" s="62" t="s">
        <v>895</v>
      </c>
    </row>
    <row r="2" spans="1:14" x14ac:dyDescent="0.3">
      <c r="A2" t="s">
        <v>630</v>
      </c>
      <c r="I2" s="126" t="s">
        <v>955</v>
      </c>
    </row>
    <row r="3" spans="1:14" x14ac:dyDescent="0.3">
      <c r="I3" s="126"/>
    </row>
    <row r="6" spans="1:14" x14ac:dyDescent="0.3">
      <c r="A6" t="s">
        <v>584</v>
      </c>
      <c r="B6" t="s">
        <v>213</v>
      </c>
      <c r="C6" t="s">
        <v>379</v>
      </c>
      <c r="D6" t="s">
        <v>585</v>
      </c>
      <c r="F6" t="s">
        <v>585</v>
      </c>
      <c r="G6" t="s">
        <v>213</v>
      </c>
      <c r="I6" s="128" t="s">
        <v>631</v>
      </c>
      <c r="J6" s="128"/>
      <c r="K6" s="128"/>
      <c r="L6" s="131" t="s">
        <v>594</v>
      </c>
      <c r="M6" s="131" t="s">
        <v>599</v>
      </c>
      <c r="N6" s="131" t="s">
        <v>387</v>
      </c>
    </row>
    <row r="7" spans="1:14" x14ac:dyDescent="0.3">
      <c r="A7" t="s">
        <v>586</v>
      </c>
      <c r="B7">
        <v>92671</v>
      </c>
      <c r="C7" t="s">
        <v>149</v>
      </c>
      <c r="D7" t="s">
        <v>587</v>
      </c>
      <c r="F7" t="s">
        <v>587</v>
      </c>
      <c r="G7" cm="1">
        <f t="array" ref="G7">_xlfn.XLOOKUP(Table043__Page_1325[[#This Row],[Emp ID]],Table044__Page_13_1423[[#All],[Emp ID]],Table044__Page_13_1423[[#All],[Salary]],0)</f>
        <v>92671</v>
      </c>
      <c r="I7" s="128"/>
      <c r="J7" s="128"/>
      <c r="K7" s="128"/>
      <c r="L7" s="131"/>
      <c r="M7" s="131"/>
      <c r="N7" s="131"/>
    </row>
    <row r="8" spans="1:14" x14ac:dyDescent="0.3">
      <c r="A8" t="s">
        <v>588</v>
      </c>
      <c r="B8">
        <v>84120</v>
      </c>
      <c r="C8" t="s">
        <v>589</v>
      </c>
      <c r="D8" t="s">
        <v>590</v>
      </c>
      <c r="F8" t="s">
        <v>590</v>
      </c>
      <c r="G8" cm="1">
        <f t="array" ref="G8">_xlfn.XLOOKUP(Table043__Page_1325[[#This Row],[Emp ID]],Table044__Page_13_1423[[#All],[Emp ID]],Table044__Page_13_1423[[#All],[Salary]],0)</f>
        <v>84120</v>
      </c>
      <c r="I8" s="128"/>
      <c r="J8" s="128"/>
      <c r="K8" s="128"/>
      <c r="L8" s="131">
        <f>COUNTIF(C6:C26,"HR")</f>
        <v>1</v>
      </c>
      <c r="M8" s="131">
        <f>COUNTIF(C6:C26,"IT")</f>
        <v>3</v>
      </c>
      <c r="N8" s="131">
        <f>COUNTIF(C6:C26,"Marketing")</f>
        <v>5</v>
      </c>
    </row>
    <row r="9" spans="1:14" x14ac:dyDescent="0.3">
      <c r="A9" t="s">
        <v>591</v>
      </c>
      <c r="B9">
        <v>50793</v>
      </c>
      <c r="C9" t="s">
        <v>387</v>
      </c>
      <c r="D9" t="s">
        <v>592</v>
      </c>
      <c r="F9" t="s">
        <v>592</v>
      </c>
      <c r="G9" cm="1">
        <f t="array" ref="G9">_xlfn.XLOOKUP(Table043__Page_1325[[#This Row],[Emp ID]],Table044__Page_13_1423[[#All],[Emp ID]],Table044__Page_13_1423[[#All],[Salary]],0)</f>
        <v>50793</v>
      </c>
      <c r="I9" s="128"/>
      <c r="J9" s="128"/>
      <c r="K9" s="128"/>
      <c r="L9" s="131"/>
      <c r="M9" s="131"/>
      <c r="N9" s="131"/>
    </row>
    <row r="10" spans="1:14" x14ac:dyDescent="0.3">
      <c r="A10" t="s">
        <v>593</v>
      </c>
      <c r="B10">
        <v>77833</v>
      </c>
      <c r="C10" t="s">
        <v>594</v>
      </c>
      <c r="D10" t="s">
        <v>595</v>
      </c>
      <c r="F10" t="s">
        <v>595</v>
      </c>
      <c r="G10" cm="1">
        <f t="array" ref="G10">_xlfn.XLOOKUP(Table043__Page_1325[[#This Row],[Emp ID]],Table044__Page_13_1423[[#All],[Emp ID]],Table044__Page_13_1423[[#All],[Salary]],0)</f>
        <v>77833</v>
      </c>
    </row>
    <row r="11" spans="1:14" x14ac:dyDescent="0.3">
      <c r="A11" t="s">
        <v>596</v>
      </c>
      <c r="B11">
        <v>58914</v>
      </c>
      <c r="C11" t="s">
        <v>403</v>
      </c>
      <c r="D11" t="s">
        <v>597</v>
      </c>
      <c r="F11" t="s">
        <v>597</v>
      </c>
      <c r="G11" cm="1">
        <f t="array" ref="G11">_xlfn.XLOOKUP(Table043__Page_1325[[#This Row],[Emp ID]],Table044__Page_13_1423[[#All],[Emp ID]],Table044__Page_13_1423[[#All],[Salary]],0)</f>
        <v>58914</v>
      </c>
      <c r="I11" s="128" t="s">
        <v>632</v>
      </c>
      <c r="J11" s="128"/>
      <c r="K11" s="128"/>
      <c r="L11" s="131">
        <f>SUMIF(Table044__Page_13_1423[[#All],[Emp Name]],"Santosh",Table044__Page_13_1423[[#All],[Salary]])</f>
        <v>93509</v>
      </c>
    </row>
    <row r="12" spans="1:14" x14ac:dyDescent="0.3">
      <c r="A12" t="s">
        <v>598</v>
      </c>
      <c r="B12">
        <v>51096</v>
      </c>
      <c r="C12" t="s">
        <v>599</v>
      </c>
      <c r="D12" t="s">
        <v>600</v>
      </c>
      <c r="F12" t="s">
        <v>600</v>
      </c>
      <c r="G12" cm="1">
        <f t="array" ref="G12">_xlfn.XLOOKUP(Table043__Page_1325[[#This Row],[Emp ID]],Table044__Page_13_1423[[#All],[Emp ID]],Table044__Page_13_1423[[#All],[Salary]],0)</f>
        <v>51096</v>
      </c>
      <c r="I12" s="128"/>
      <c r="J12" s="128"/>
      <c r="K12" s="128"/>
      <c r="L12" s="131"/>
    </row>
    <row r="13" spans="1:14" x14ac:dyDescent="0.3">
      <c r="A13" t="s">
        <v>601</v>
      </c>
      <c r="B13">
        <v>83735</v>
      </c>
      <c r="C13" t="s">
        <v>387</v>
      </c>
      <c r="D13" t="s">
        <v>602</v>
      </c>
      <c r="F13" t="s">
        <v>602</v>
      </c>
      <c r="G13" cm="1">
        <f t="array" ref="G13">_xlfn.XLOOKUP(Table043__Page_1325[[#This Row],[Emp ID]],Table044__Page_13_1423[[#All],[Emp ID]],Table044__Page_13_1423[[#All],[Salary]],0)</f>
        <v>83735</v>
      </c>
      <c r="I13" s="128"/>
      <c r="J13" s="128"/>
      <c r="K13" s="128"/>
      <c r="L13" s="131"/>
    </row>
    <row r="14" spans="1:14" x14ac:dyDescent="0.3">
      <c r="A14" t="s">
        <v>603</v>
      </c>
      <c r="B14">
        <v>74418</v>
      </c>
      <c r="C14" t="s">
        <v>599</v>
      </c>
      <c r="D14" t="s">
        <v>604</v>
      </c>
      <c r="F14" t="s">
        <v>604</v>
      </c>
      <c r="G14" cm="1">
        <f t="array" ref="G14">_xlfn.XLOOKUP(Table043__Page_1325[[#This Row],[Emp ID]],Table044__Page_13_1423[[#All],[Emp ID]],Table044__Page_13_1423[[#All],[Salary]],0)</f>
        <v>74418</v>
      </c>
    </row>
    <row r="15" spans="1:14" x14ac:dyDescent="0.3">
      <c r="A15" t="s">
        <v>605</v>
      </c>
      <c r="B15">
        <v>51366</v>
      </c>
      <c r="C15" t="s">
        <v>149</v>
      </c>
      <c r="D15" t="s">
        <v>606</v>
      </c>
      <c r="F15" t="s">
        <v>606</v>
      </c>
      <c r="G15" cm="1">
        <f t="array" ref="G15">_xlfn.XLOOKUP(Table043__Page_1325[[#This Row],[Emp ID]],Table044__Page_13_1423[[#All],[Emp ID]],Table044__Page_13_1423[[#All],[Salary]],0)</f>
        <v>51366</v>
      </c>
      <c r="I15" s="128" t="s">
        <v>633</v>
      </c>
      <c r="J15" s="128"/>
      <c r="K15" s="128"/>
      <c r="L15" s="131" t="s">
        <v>599</v>
      </c>
      <c r="M15" s="131" t="s">
        <v>387</v>
      </c>
    </row>
    <row r="16" spans="1:14" x14ac:dyDescent="0.3">
      <c r="A16" t="s">
        <v>607</v>
      </c>
      <c r="B16">
        <v>54600</v>
      </c>
      <c r="C16" t="s">
        <v>403</v>
      </c>
      <c r="D16" t="s">
        <v>608</v>
      </c>
      <c r="F16" t="s">
        <v>608</v>
      </c>
      <c r="G16" cm="1">
        <f t="array" ref="G16">_xlfn.XLOOKUP(Table043__Page_1325[[#This Row],[Emp ID]],Table044__Page_13_1423[[#All],[Emp ID]],Table044__Page_13_1423[[#All],[Salary]],0)</f>
        <v>54600</v>
      </c>
      <c r="I16" s="128"/>
      <c r="J16" s="128"/>
      <c r="K16" s="128"/>
      <c r="L16" s="131"/>
      <c r="M16" s="131"/>
    </row>
    <row r="17" spans="1:13" x14ac:dyDescent="0.3">
      <c r="A17" t="s">
        <v>609</v>
      </c>
      <c r="B17">
        <v>93509</v>
      </c>
      <c r="C17" t="s">
        <v>589</v>
      </c>
      <c r="D17" t="s">
        <v>610</v>
      </c>
      <c r="F17" t="s">
        <v>610</v>
      </c>
      <c r="G17" cm="1">
        <f t="array" ref="G17">_xlfn.XLOOKUP(Table043__Page_1325[[#This Row],[Emp ID]],Table044__Page_13_1423[[#All],[Emp ID]],Table044__Page_13_1423[[#All],[Salary]],0)</f>
        <v>93509</v>
      </c>
      <c r="I17" s="128"/>
      <c r="J17" s="128"/>
      <c r="K17" s="128"/>
      <c r="L17" s="3">
        <f>SUMIF(Table044__Page_13_1423[[#All],[Department]],"IT",Table044__Page_13_1423[[#All],[Salary]])</f>
        <v>214479</v>
      </c>
      <c r="M17" s="3">
        <f>SUMIF(Table044__Page_13_1423[[#All],[Department]],"Marketing",Table044__Page_13_1423[[#All],[Salary]])</f>
        <v>360325</v>
      </c>
    </row>
    <row r="18" spans="1:13" x14ac:dyDescent="0.3">
      <c r="A18" t="s">
        <v>611</v>
      </c>
      <c r="B18">
        <v>80105</v>
      </c>
      <c r="C18" t="s">
        <v>403</v>
      </c>
      <c r="D18" t="s">
        <v>612</v>
      </c>
      <c r="F18" t="s">
        <v>612</v>
      </c>
      <c r="G18" cm="1">
        <f t="array" ref="G18">_xlfn.XLOOKUP(Table043__Page_1325[[#This Row],[Emp ID]],Table044__Page_13_1423[[#All],[Emp ID]],Table044__Page_13_1423[[#All],[Salary]],0)</f>
        <v>80105</v>
      </c>
    </row>
    <row r="19" spans="1:13" x14ac:dyDescent="0.3">
      <c r="A19" t="s">
        <v>613</v>
      </c>
      <c r="B19">
        <v>60802</v>
      </c>
      <c r="C19" t="s">
        <v>387</v>
      </c>
      <c r="D19" t="s">
        <v>614</v>
      </c>
      <c r="F19" t="s">
        <v>614</v>
      </c>
      <c r="G19" cm="1">
        <f t="array" ref="G19">_xlfn.XLOOKUP(Table043__Page_1325[[#This Row],[Emp ID]],Table044__Page_13_1423[[#All],[Emp ID]],Table044__Page_13_1423[[#All],[Salary]],0)</f>
        <v>60802</v>
      </c>
    </row>
    <row r="20" spans="1:13" x14ac:dyDescent="0.3">
      <c r="A20" t="s">
        <v>615</v>
      </c>
      <c r="B20">
        <v>76260</v>
      </c>
      <c r="C20" t="s">
        <v>149</v>
      </c>
      <c r="D20" t="s">
        <v>616</v>
      </c>
      <c r="F20" t="s">
        <v>616</v>
      </c>
      <c r="G20" cm="1">
        <f t="array" ref="G20">_xlfn.XLOOKUP(Table043__Page_1325[[#This Row],[Emp ID]],Table044__Page_13_1423[[#All],[Emp ID]],Table044__Page_13_1423[[#All],[Salary]],0)</f>
        <v>76260</v>
      </c>
    </row>
    <row r="21" spans="1:13" x14ac:dyDescent="0.3">
      <c r="A21" t="s">
        <v>617</v>
      </c>
      <c r="B21">
        <v>88965</v>
      </c>
      <c r="C21" t="s">
        <v>599</v>
      </c>
      <c r="D21" t="s">
        <v>618</v>
      </c>
      <c r="F21" t="s">
        <v>618</v>
      </c>
      <c r="G21" cm="1">
        <f t="array" ref="G21">_xlfn.XLOOKUP(Table043__Page_1325[[#This Row],[Emp ID]],Table044__Page_13_1423[[#All],[Emp ID]],Table044__Page_13_1423[[#All],[Salary]],0)</f>
        <v>88965</v>
      </c>
    </row>
    <row r="22" spans="1:13" x14ac:dyDescent="0.3">
      <c r="A22" t="s">
        <v>619</v>
      </c>
      <c r="B22">
        <v>63288</v>
      </c>
      <c r="C22" t="s">
        <v>589</v>
      </c>
      <c r="D22" t="s">
        <v>620</v>
      </c>
      <c r="F22" t="s">
        <v>620</v>
      </c>
      <c r="G22" cm="1">
        <f t="array" ref="G22">_xlfn.XLOOKUP(Table043__Page_1325[[#This Row],[Emp ID]],Table044__Page_13_1423[[#All],[Emp ID]],Table044__Page_13_1423[[#All],[Salary]],0)</f>
        <v>63288</v>
      </c>
    </row>
    <row r="23" spans="1:13" x14ac:dyDescent="0.3">
      <c r="A23" t="s">
        <v>621</v>
      </c>
      <c r="B23">
        <v>45742</v>
      </c>
      <c r="C23" t="s">
        <v>149</v>
      </c>
      <c r="D23" t="s">
        <v>622</v>
      </c>
      <c r="F23" t="s">
        <v>622</v>
      </c>
      <c r="G23" cm="1">
        <f t="array" ref="G23">_xlfn.XLOOKUP(Table043__Page_1325[[#This Row],[Emp ID]],Table044__Page_13_1423[[#All],[Emp ID]],Table044__Page_13_1423[[#All],[Salary]],0)</f>
        <v>45742</v>
      </c>
    </row>
    <row r="24" spans="1:13" x14ac:dyDescent="0.3">
      <c r="A24" t="s">
        <v>329</v>
      </c>
      <c r="B24">
        <v>88354</v>
      </c>
      <c r="C24" t="s">
        <v>387</v>
      </c>
      <c r="D24" t="s">
        <v>623</v>
      </c>
      <c r="F24" t="s">
        <v>623</v>
      </c>
      <c r="G24" cm="1">
        <f t="array" ref="G24">_xlfn.XLOOKUP(Table043__Page_1325[[#This Row],[Emp ID]],Table044__Page_13_1423[[#All],[Emp ID]],Table044__Page_13_1423[[#All],[Salary]],0)</f>
        <v>88354</v>
      </c>
    </row>
    <row r="25" spans="1:13" x14ac:dyDescent="0.3">
      <c r="A25" t="s">
        <v>624</v>
      </c>
      <c r="B25">
        <v>76641</v>
      </c>
      <c r="C25" t="s">
        <v>387</v>
      </c>
      <c r="D25" t="s">
        <v>625</v>
      </c>
      <c r="F25" t="s">
        <v>625</v>
      </c>
      <c r="G25" cm="1">
        <f t="array" ref="G25">_xlfn.XLOOKUP(Table043__Page_1325[[#This Row],[Emp ID]],Table044__Page_13_1423[[#All],[Emp ID]],Table044__Page_13_1423[[#All],[Salary]],0)</f>
        <v>76641</v>
      </c>
    </row>
    <row r="26" spans="1:13" x14ac:dyDescent="0.3">
      <c r="A26" t="s">
        <v>361</v>
      </c>
      <c r="B26">
        <v>61678</v>
      </c>
      <c r="C26" t="s">
        <v>149</v>
      </c>
      <c r="D26" t="s">
        <v>626</v>
      </c>
      <c r="F26" t="s">
        <v>626</v>
      </c>
      <c r="G26" cm="1">
        <f t="array" ref="G26">_xlfn.XLOOKUP(Table043__Page_1325[[#This Row],[Emp ID]],Table044__Page_13_1423[[#All],[Emp ID]],Table044__Page_13_1423[[#All],[Salary]],0)</f>
        <v>61678</v>
      </c>
    </row>
    <row r="28" spans="1:13" x14ac:dyDescent="0.3">
      <c r="A28" t="s">
        <v>631</v>
      </c>
    </row>
    <row r="29" spans="1:13" x14ac:dyDescent="0.3">
      <c r="A29" t="s">
        <v>632</v>
      </c>
    </row>
    <row r="30" spans="1:13" x14ac:dyDescent="0.3">
      <c r="A30" t="s">
        <v>633</v>
      </c>
    </row>
  </sheetData>
  <mergeCells count="13">
    <mergeCell ref="I11:K13"/>
    <mergeCell ref="L11:L13"/>
    <mergeCell ref="I15:K17"/>
    <mergeCell ref="L15:L16"/>
    <mergeCell ref="M15:M16"/>
    <mergeCell ref="I2:I3"/>
    <mergeCell ref="I6:K9"/>
    <mergeCell ref="L6:L7"/>
    <mergeCell ref="M6:M7"/>
    <mergeCell ref="N6:N7"/>
    <mergeCell ref="L8:L9"/>
    <mergeCell ref="M8:M9"/>
    <mergeCell ref="N8:N9"/>
  </mergeCells>
  <hyperlinks>
    <hyperlink ref="I2:I3" location="'LIST OF SHEET'!A1" display="LIST OF SHEET" xr:uid="{256B1607-B728-4CA9-A492-BCAF917B2A3F}"/>
  </hyperlinks>
  <pageMargins left="0.7" right="0.7" top="0.75" bottom="0.75" header="0.3" footer="0.3"/>
  <tableParts count="2">
    <tablePart r:id="rId1"/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4131-F7BE-4FC7-9A13-EDE99DE5E6CB}">
  <dimension ref="A1:H16"/>
  <sheetViews>
    <sheetView workbookViewId="0">
      <selection activeCell="H2" sqref="H2:H3"/>
    </sheetView>
  </sheetViews>
  <sheetFormatPr defaultRowHeight="14.4" x14ac:dyDescent="0.3"/>
  <cols>
    <col min="1" max="1" width="8.5546875" bestFit="1" customWidth="1"/>
    <col min="2" max="2" width="10.21875" bestFit="1" customWidth="1"/>
    <col min="3" max="3" width="13" bestFit="1" customWidth="1"/>
    <col min="4" max="4" width="9.44140625" bestFit="1" customWidth="1"/>
    <col min="5" max="5" width="10.6640625" bestFit="1" customWidth="1"/>
    <col min="6" max="6" width="20.5546875" bestFit="1" customWidth="1"/>
    <col min="8" max="8" width="15.33203125" customWidth="1"/>
  </cols>
  <sheetData>
    <row r="1" spans="1:8" ht="28.8" x14ac:dyDescent="0.55000000000000004">
      <c r="A1" s="62" t="s">
        <v>706</v>
      </c>
    </row>
    <row r="2" spans="1:8" x14ac:dyDescent="0.3">
      <c r="A2" s="59" t="s">
        <v>650</v>
      </c>
      <c r="H2" s="126" t="s">
        <v>955</v>
      </c>
    </row>
    <row r="3" spans="1:8" x14ac:dyDescent="0.3">
      <c r="H3" s="126"/>
    </row>
    <row r="5" spans="1:8" x14ac:dyDescent="0.3">
      <c r="A5" t="s">
        <v>92</v>
      </c>
      <c r="B5" t="s">
        <v>68</v>
      </c>
      <c r="C5" t="s">
        <v>69</v>
      </c>
      <c r="D5" t="s">
        <v>634</v>
      </c>
      <c r="E5" t="s">
        <v>635</v>
      </c>
      <c r="F5" t="s">
        <v>636</v>
      </c>
    </row>
    <row r="6" spans="1:8" x14ac:dyDescent="0.3">
      <c r="A6" t="s">
        <v>637</v>
      </c>
      <c r="B6" t="s">
        <v>638</v>
      </c>
      <c r="C6" t="s">
        <v>638</v>
      </c>
      <c r="D6" t="s">
        <v>639</v>
      </c>
      <c r="E6" t="s">
        <v>638</v>
      </c>
      <c r="F6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7" spans="1:8" x14ac:dyDescent="0.3">
      <c r="A7" t="s">
        <v>640</v>
      </c>
      <c r="B7" t="s">
        <v>638</v>
      </c>
      <c r="C7" t="s">
        <v>638</v>
      </c>
      <c r="D7" t="s">
        <v>638</v>
      </c>
      <c r="E7" t="s">
        <v>638</v>
      </c>
      <c r="F7" t="str">
        <f>IF(AND(Table047__Page_14[[#This Row],[PHYSICS]]="PASS",Table047__Page_14[[#This Row],[CHEMISTRY]]="PASS",Table047__Page_14[[#This Row],[MATHS]]="PASS",Table047__Page_14[[#This Row],[BIOLOGY]]="PASS"),"PASSED","FAILED")</f>
        <v>PASSED</v>
      </c>
    </row>
    <row r="8" spans="1:8" x14ac:dyDescent="0.3">
      <c r="A8" t="s">
        <v>641</v>
      </c>
      <c r="B8" t="s">
        <v>638</v>
      </c>
      <c r="C8" t="s">
        <v>639</v>
      </c>
      <c r="D8" t="s">
        <v>638</v>
      </c>
      <c r="E8" t="s">
        <v>638</v>
      </c>
      <c r="F8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9" spans="1:8" x14ac:dyDescent="0.3">
      <c r="A9" t="s">
        <v>642</v>
      </c>
      <c r="B9" t="s">
        <v>638</v>
      </c>
      <c r="C9" t="s">
        <v>638</v>
      </c>
      <c r="D9" t="s">
        <v>638</v>
      </c>
      <c r="E9" t="s">
        <v>638</v>
      </c>
      <c r="F9" t="str">
        <f>IF(AND(Table047__Page_14[[#This Row],[PHYSICS]]="PASS",Table047__Page_14[[#This Row],[CHEMISTRY]]="PASS",Table047__Page_14[[#This Row],[MATHS]]="PASS",Table047__Page_14[[#This Row],[BIOLOGY]]="PASS"),"PASSED","FAILED")</f>
        <v>PASSED</v>
      </c>
    </row>
    <row r="10" spans="1:8" x14ac:dyDescent="0.3">
      <c r="A10" t="s">
        <v>643</v>
      </c>
      <c r="B10" t="s">
        <v>638</v>
      </c>
      <c r="C10" t="s">
        <v>639</v>
      </c>
      <c r="D10" t="s">
        <v>638</v>
      </c>
      <c r="E10" t="s">
        <v>638</v>
      </c>
      <c r="F10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11" spans="1:8" x14ac:dyDescent="0.3">
      <c r="A11" t="s">
        <v>644</v>
      </c>
      <c r="B11" t="s">
        <v>639</v>
      </c>
      <c r="C11" t="s">
        <v>638</v>
      </c>
      <c r="D11" t="s">
        <v>638</v>
      </c>
      <c r="E11" t="s">
        <v>638</v>
      </c>
      <c r="F11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12" spans="1:8" x14ac:dyDescent="0.3">
      <c r="A12" t="s">
        <v>645</v>
      </c>
      <c r="B12" t="s">
        <v>638</v>
      </c>
      <c r="C12" t="s">
        <v>638</v>
      </c>
      <c r="D12" t="s">
        <v>638</v>
      </c>
      <c r="E12" t="s">
        <v>639</v>
      </c>
      <c r="F12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13" spans="1:8" x14ac:dyDescent="0.3">
      <c r="A13" t="s">
        <v>648</v>
      </c>
      <c r="B13" t="s">
        <v>638</v>
      </c>
      <c r="C13" t="s">
        <v>638</v>
      </c>
      <c r="D13" t="s">
        <v>639</v>
      </c>
      <c r="E13" t="s">
        <v>638</v>
      </c>
      <c r="F13" t="str">
        <f>IF(AND(Table047__Page_14[[#This Row],[PHYSICS]]="PASS",Table047__Page_14[[#This Row],[CHEMISTRY]]="PASS",Table047__Page_14[[#This Row],[MATHS]]="PASS",Table047__Page_14[[#This Row],[BIOLOGY]]="PASS"),"PASSED","FAILED")</f>
        <v>FAILED</v>
      </c>
    </row>
    <row r="14" spans="1:8" x14ac:dyDescent="0.3">
      <c r="A14" t="s">
        <v>102</v>
      </c>
      <c r="B14" t="s">
        <v>638</v>
      </c>
      <c r="C14" t="s">
        <v>638</v>
      </c>
      <c r="D14" t="s">
        <v>638</v>
      </c>
      <c r="E14" t="s">
        <v>638</v>
      </c>
      <c r="F14" t="str">
        <f>IF(AND(Table047__Page_14[[#This Row],[PHYSICS]]="PASS",Table047__Page_14[[#This Row],[CHEMISTRY]]="PASS",Table047__Page_14[[#This Row],[MATHS]]="PASS",Table047__Page_14[[#This Row],[BIOLOGY]]="PASS"),"PASSED","FAILED")</f>
        <v>PASSED</v>
      </c>
    </row>
    <row r="16" spans="1:8" ht="25.8" x14ac:dyDescent="0.5">
      <c r="A16" s="107" t="s">
        <v>915</v>
      </c>
    </row>
  </sheetData>
  <mergeCells count="1">
    <mergeCell ref="H2:H3"/>
  </mergeCells>
  <hyperlinks>
    <hyperlink ref="H2:H3" location="'LIST OF SHEET'!A1" display="LIST OF SHEET" xr:uid="{15B48225-BDED-4AEB-9B00-C01E2BFDE355}"/>
  </hyperlink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58C8-0807-474C-9905-8E669462A0F8}">
  <dimension ref="A1:G39"/>
  <sheetViews>
    <sheetView workbookViewId="0">
      <selection activeCell="C2" sqref="C2:C3"/>
    </sheetView>
  </sheetViews>
  <sheetFormatPr defaultRowHeight="14.4" x14ac:dyDescent="0.3"/>
  <cols>
    <col min="1" max="1" width="22.5546875" customWidth="1"/>
    <col min="2" max="2" width="11.44140625" bestFit="1" customWidth="1"/>
    <col min="3" max="3" width="12.109375" customWidth="1"/>
    <col min="5" max="5" width="16.44140625" customWidth="1"/>
    <col min="8" max="8" width="17.88671875" customWidth="1"/>
  </cols>
  <sheetData>
    <row r="1" spans="1:7" ht="31.2" x14ac:dyDescent="0.6">
      <c r="A1" s="77" t="s">
        <v>723</v>
      </c>
    </row>
    <row r="2" spans="1:7" x14ac:dyDescent="0.3">
      <c r="A2" t="s">
        <v>683</v>
      </c>
      <c r="C2" s="126" t="s">
        <v>955</v>
      </c>
    </row>
    <row r="3" spans="1:7" x14ac:dyDescent="0.3">
      <c r="C3" s="126"/>
    </row>
    <row r="6" spans="1:7" x14ac:dyDescent="0.3">
      <c r="A6" t="s">
        <v>453</v>
      </c>
      <c r="B6" t="s">
        <v>651</v>
      </c>
      <c r="E6" t="s">
        <v>655</v>
      </c>
      <c r="F6" t="s">
        <v>656</v>
      </c>
      <c r="G6" t="s">
        <v>539</v>
      </c>
    </row>
    <row r="7" spans="1:7" x14ac:dyDescent="0.3">
      <c r="A7" t="s">
        <v>224</v>
      </c>
      <c r="B7" s="28">
        <v>250</v>
      </c>
      <c r="E7" t="s">
        <v>357</v>
      </c>
      <c r="F7" t="s">
        <v>657</v>
      </c>
      <c r="G7">
        <v>90</v>
      </c>
    </row>
    <row r="8" spans="1:7" x14ac:dyDescent="0.3">
      <c r="A8" t="s">
        <v>227</v>
      </c>
      <c r="B8" s="28">
        <v>110</v>
      </c>
      <c r="E8" t="s">
        <v>658</v>
      </c>
      <c r="F8" t="s">
        <v>659</v>
      </c>
      <c r="G8">
        <v>77</v>
      </c>
    </row>
    <row r="9" spans="1:7" x14ac:dyDescent="0.3">
      <c r="A9" t="s">
        <v>228</v>
      </c>
      <c r="B9" s="28">
        <v>300</v>
      </c>
      <c r="E9" t="s">
        <v>660</v>
      </c>
      <c r="F9" t="s">
        <v>657</v>
      </c>
      <c r="G9">
        <v>80</v>
      </c>
    </row>
    <row r="10" spans="1:7" x14ac:dyDescent="0.3">
      <c r="A10" t="s">
        <v>225</v>
      </c>
      <c r="B10" s="28">
        <v>50</v>
      </c>
      <c r="E10" t="s">
        <v>661</v>
      </c>
      <c r="F10" t="s">
        <v>657</v>
      </c>
      <c r="G10">
        <v>65</v>
      </c>
    </row>
    <row r="11" spans="1:7" x14ac:dyDescent="0.3">
      <c r="A11" t="s">
        <v>226</v>
      </c>
      <c r="B11" s="28">
        <v>45</v>
      </c>
      <c r="E11" t="s">
        <v>662</v>
      </c>
      <c r="F11" t="s">
        <v>659</v>
      </c>
      <c r="G11">
        <v>45</v>
      </c>
    </row>
    <row r="12" spans="1:7" x14ac:dyDescent="0.3">
      <c r="A12" t="s">
        <v>227</v>
      </c>
      <c r="B12" s="28">
        <v>23</v>
      </c>
      <c r="E12" t="s">
        <v>663</v>
      </c>
      <c r="F12" t="s">
        <v>659</v>
      </c>
      <c r="G12">
        <v>55</v>
      </c>
    </row>
    <row r="13" spans="1:7" x14ac:dyDescent="0.3">
      <c r="A13" t="s">
        <v>121</v>
      </c>
      <c r="B13" s="28">
        <v>25</v>
      </c>
    </row>
    <row r="14" spans="1:7" x14ac:dyDescent="0.3">
      <c r="A14" t="s">
        <v>224</v>
      </c>
      <c r="B14" s="28">
        <v>90</v>
      </c>
    </row>
    <row r="15" spans="1:7" x14ac:dyDescent="0.3">
      <c r="A15" t="s">
        <v>227</v>
      </c>
      <c r="B15" s="28">
        <v>450</v>
      </c>
    </row>
    <row r="16" spans="1:7" x14ac:dyDescent="0.3">
      <c r="A16" t="s">
        <v>226</v>
      </c>
      <c r="B16" s="28">
        <v>23</v>
      </c>
    </row>
    <row r="17" spans="1:6" x14ac:dyDescent="0.3">
      <c r="A17" t="s">
        <v>224</v>
      </c>
      <c r="B17" s="28">
        <v>250</v>
      </c>
      <c r="E17" s="79" t="s">
        <v>664</v>
      </c>
      <c r="F17" s="3">
        <f>AVERAGEIF(Table050__Page_15[[#All],[Semester]],"SECOND",Table050__Page_15[[#All],[Score]])</f>
        <v>78.333333333333329</v>
      </c>
    </row>
    <row r="18" spans="1:6" x14ac:dyDescent="0.3">
      <c r="A18" t="s">
        <v>225</v>
      </c>
      <c r="B18" s="28">
        <v>25</v>
      </c>
      <c r="E18" s="80" t="s">
        <v>659</v>
      </c>
      <c r="F18" s="3">
        <f>AVERAGEIF(Table050__Page_15[[#All],[Semester]],"THIRD",Table050__Page_15[[#All],[Score]])</f>
        <v>59</v>
      </c>
    </row>
    <row r="20" spans="1:6" x14ac:dyDescent="0.3">
      <c r="A20" s="92" t="s">
        <v>665</v>
      </c>
      <c r="B20" s="3">
        <f>AVERAGEIF(Table049__Page_15[[#All],[Product Name]],"B",Table049__Page_15[[#All],[Units sold]])</f>
        <v>37.5</v>
      </c>
    </row>
    <row r="21" spans="1:6" x14ac:dyDescent="0.3">
      <c r="A21" s="93" t="s">
        <v>666</v>
      </c>
      <c r="B21" s="3">
        <f>AVERAGEIF(Table049__Page_15[[#All],[Product Name]],"D",Table049__Page_15[[#All],[Units sold]])</f>
        <v>194.33333333333334</v>
      </c>
    </row>
    <row r="24" spans="1:6" x14ac:dyDescent="0.3">
      <c r="A24" t="s">
        <v>667</v>
      </c>
      <c r="B24" t="s">
        <v>668</v>
      </c>
      <c r="C24" t="s">
        <v>149</v>
      </c>
      <c r="E24" t="s">
        <v>453</v>
      </c>
      <c r="F24" t="s">
        <v>651</v>
      </c>
    </row>
    <row r="25" spans="1:6" x14ac:dyDescent="0.3">
      <c r="A25" t="s">
        <v>578</v>
      </c>
      <c r="B25" t="s">
        <v>669</v>
      </c>
      <c r="C25">
        <v>25000</v>
      </c>
      <c r="E25" t="s">
        <v>224</v>
      </c>
      <c r="F25">
        <v>250</v>
      </c>
    </row>
    <row r="26" spans="1:6" x14ac:dyDescent="0.3">
      <c r="A26" t="s">
        <v>579</v>
      </c>
      <c r="B26" t="s">
        <v>670</v>
      </c>
      <c r="C26">
        <v>12000</v>
      </c>
      <c r="E26" t="s">
        <v>227</v>
      </c>
      <c r="F26">
        <v>110</v>
      </c>
    </row>
    <row r="27" spans="1:6" x14ac:dyDescent="0.3">
      <c r="A27" t="s">
        <v>577</v>
      </c>
      <c r="B27" t="s">
        <v>671</v>
      </c>
      <c r="C27">
        <v>4200</v>
      </c>
      <c r="E27" t="s">
        <v>228</v>
      </c>
      <c r="F27">
        <v>300</v>
      </c>
    </row>
    <row r="28" spans="1:6" x14ac:dyDescent="0.3">
      <c r="A28" t="s">
        <v>577</v>
      </c>
      <c r="B28" t="s">
        <v>672</v>
      </c>
      <c r="C28">
        <v>5600</v>
      </c>
      <c r="E28" t="s">
        <v>225</v>
      </c>
      <c r="F28">
        <v>50</v>
      </c>
    </row>
    <row r="29" spans="1:6" x14ac:dyDescent="0.3">
      <c r="A29" t="s">
        <v>580</v>
      </c>
      <c r="B29" t="s">
        <v>673</v>
      </c>
      <c r="C29">
        <v>15000</v>
      </c>
      <c r="E29" t="s">
        <v>226</v>
      </c>
      <c r="F29">
        <v>45</v>
      </c>
    </row>
    <row r="30" spans="1:6" x14ac:dyDescent="0.3">
      <c r="A30" t="s">
        <v>579</v>
      </c>
      <c r="B30" t="s">
        <v>674</v>
      </c>
      <c r="C30">
        <v>7000</v>
      </c>
      <c r="E30" t="s">
        <v>227</v>
      </c>
      <c r="F30">
        <v>23</v>
      </c>
    </row>
    <row r="31" spans="1:6" x14ac:dyDescent="0.3">
      <c r="A31" t="s">
        <v>578</v>
      </c>
      <c r="B31" t="s">
        <v>675</v>
      </c>
      <c r="C31">
        <v>5200</v>
      </c>
      <c r="E31" t="s">
        <v>121</v>
      </c>
      <c r="F31">
        <v>25</v>
      </c>
    </row>
    <row r="32" spans="1:6" x14ac:dyDescent="0.3">
      <c r="A32" t="s">
        <v>577</v>
      </c>
      <c r="B32" t="s">
        <v>676</v>
      </c>
      <c r="C32">
        <v>6000</v>
      </c>
      <c r="E32" t="s">
        <v>224</v>
      </c>
      <c r="F32">
        <v>90</v>
      </c>
    </row>
    <row r="33" spans="1:6" x14ac:dyDescent="0.3">
      <c r="A33" t="s">
        <v>580</v>
      </c>
      <c r="B33" t="s">
        <v>677</v>
      </c>
      <c r="C33">
        <v>8500</v>
      </c>
      <c r="E33" t="s">
        <v>227</v>
      </c>
      <c r="F33">
        <v>450</v>
      </c>
    </row>
    <row r="34" spans="1:6" x14ac:dyDescent="0.3">
      <c r="A34" t="s">
        <v>678</v>
      </c>
      <c r="B34" t="s">
        <v>679</v>
      </c>
      <c r="C34">
        <v>12000</v>
      </c>
      <c r="E34" t="s">
        <v>226</v>
      </c>
      <c r="F34">
        <v>23</v>
      </c>
    </row>
    <row r="35" spans="1:6" x14ac:dyDescent="0.3">
      <c r="A35" t="s">
        <v>577</v>
      </c>
      <c r="B35" t="s">
        <v>680</v>
      </c>
      <c r="C35">
        <v>4300</v>
      </c>
      <c r="E35" t="s">
        <v>224</v>
      </c>
      <c r="F35">
        <v>250</v>
      </c>
    </row>
    <row r="36" spans="1:6" x14ac:dyDescent="0.3">
      <c r="A36" t="s">
        <v>580</v>
      </c>
      <c r="B36" t="s">
        <v>681</v>
      </c>
      <c r="C36">
        <v>1200</v>
      </c>
      <c r="E36" t="s">
        <v>225</v>
      </c>
      <c r="F36">
        <v>25</v>
      </c>
    </row>
    <row r="38" spans="1:6" ht="28.8" x14ac:dyDescent="0.3">
      <c r="A38" s="88" t="s">
        <v>652</v>
      </c>
      <c r="E38" s="90" t="s">
        <v>653</v>
      </c>
      <c r="F38" s="3">
        <f>AVERAGEIF(Table054__Page_15[[#All],[Units sold]],"&gt;250",Table054__Page_15[[#All],[Units sold]])</f>
        <v>375</v>
      </c>
    </row>
    <row r="39" spans="1:6" ht="28.8" x14ac:dyDescent="0.3">
      <c r="A39" s="87">
        <f>AVERAGEIF(Table053__Page_15[[#All],[Zone]],"WEST",Table053__Page_15[[#All],[Sales]])</f>
        <v>8233.3333333333339</v>
      </c>
      <c r="E39" s="91" t="s">
        <v>654</v>
      </c>
      <c r="F39" s="3">
        <f>AVERAGEIF(Table054__Page_15[[#All],[Units sold]],"&lt;100",Table054__Page_15[[#All],[Units sold]])</f>
        <v>40.142857142857146</v>
      </c>
    </row>
  </sheetData>
  <mergeCells count="1">
    <mergeCell ref="C2:C3"/>
  </mergeCells>
  <hyperlinks>
    <hyperlink ref="C2:C3" location="'LIST OF SHEET'!A1" display="LIST OF SHEET" xr:uid="{916E9A70-1703-4597-BEA3-D3FD7EF9A27D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48EC-DEC5-4BC4-A9F1-8AADEEFCC885}">
  <dimension ref="A1:J23"/>
  <sheetViews>
    <sheetView workbookViewId="0">
      <selection activeCell="H2" sqref="H2:H3"/>
    </sheetView>
  </sheetViews>
  <sheetFormatPr defaultRowHeight="14.4" x14ac:dyDescent="0.3"/>
  <cols>
    <col min="1" max="1" width="13.88671875" customWidth="1"/>
    <col min="2" max="2" width="7.44140625" bestFit="1" customWidth="1"/>
    <col min="3" max="3" width="12.109375" bestFit="1" customWidth="1"/>
    <col min="4" max="4" width="15.88671875" customWidth="1"/>
    <col min="7" max="7" width="13.5546875" customWidth="1"/>
    <col min="8" max="8" width="15.88671875" customWidth="1"/>
  </cols>
  <sheetData>
    <row r="1" spans="1:10" ht="31.2" x14ac:dyDescent="0.6">
      <c r="A1" s="77" t="s">
        <v>780</v>
      </c>
    </row>
    <row r="2" spans="1:10" ht="31.2" x14ac:dyDescent="0.6">
      <c r="A2" s="77"/>
      <c r="H2" s="126" t="s">
        <v>955</v>
      </c>
    </row>
    <row r="3" spans="1:10" x14ac:dyDescent="0.3">
      <c r="H3" s="126"/>
    </row>
    <row r="4" spans="1:10" ht="25.8" x14ac:dyDescent="0.5">
      <c r="A4" s="107" t="s">
        <v>707</v>
      </c>
    </row>
    <row r="5" spans="1:10" x14ac:dyDescent="0.3">
      <c r="A5" t="s">
        <v>684</v>
      </c>
      <c r="B5" t="s">
        <v>685</v>
      </c>
      <c r="C5" t="s">
        <v>253</v>
      </c>
      <c r="F5" t="s">
        <v>684</v>
      </c>
      <c r="G5" t="s">
        <v>685</v>
      </c>
      <c r="H5" t="s">
        <v>253</v>
      </c>
    </row>
    <row r="6" spans="1:10" x14ac:dyDescent="0.3">
      <c r="A6" t="s">
        <v>686</v>
      </c>
      <c r="B6" t="s">
        <v>687</v>
      </c>
      <c r="C6" t="str">
        <f>IF(Table057__Page_16[[#This Row],[List 1]]=Table057__Page_16[[#This Row],[List 2]],"Matching","Not Matching")</f>
        <v>Not Matching</v>
      </c>
      <c r="F6">
        <v>343749</v>
      </c>
      <c r="G6">
        <v>160466</v>
      </c>
      <c r="H6">
        <f>VLOOKUP(Table058__Page_16[[#This Row],[List 2]],Table058__Page_16[List 1],1,0)</f>
        <v>160466</v>
      </c>
      <c r="J6" t="s">
        <v>704</v>
      </c>
    </row>
    <row r="7" spans="1:10" x14ac:dyDescent="0.3">
      <c r="A7" t="s">
        <v>688</v>
      </c>
      <c r="B7" t="s">
        <v>688</v>
      </c>
      <c r="C7" t="str">
        <f>IF(Table057__Page_16[[#This Row],[List 1]]=Table057__Page_16[[#This Row],[List 2]],"Matching","Not Matching")</f>
        <v>Matching</v>
      </c>
      <c r="F7">
        <v>183257</v>
      </c>
      <c r="G7">
        <v>183258</v>
      </c>
      <c r="H7" t="e">
        <f>VLOOKUP(Table058__Page_16[[#This Row],[List 2]],Table058__Page_16[List 1],1,0)</f>
        <v>#N/A</v>
      </c>
    </row>
    <row r="8" spans="1:10" x14ac:dyDescent="0.3">
      <c r="A8" t="s">
        <v>689</v>
      </c>
      <c r="B8" t="s">
        <v>690</v>
      </c>
      <c r="C8" t="str">
        <f>IF(Table057__Page_16[[#This Row],[List 1]]=Table057__Page_16[[#This Row],[List 2]],"Matching","Not Matching")</f>
        <v>Not Matching</v>
      </c>
      <c r="F8">
        <v>160466</v>
      </c>
      <c r="G8">
        <v>249447</v>
      </c>
      <c r="H8">
        <f>VLOOKUP(Table058__Page_16[[#This Row],[List 2]],Table058__Page_16[List 1],1,0)</f>
        <v>249447</v>
      </c>
    </row>
    <row r="9" spans="1:10" x14ac:dyDescent="0.3">
      <c r="A9" t="s">
        <v>691</v>
      </c>
      <c r="B9" t="s">
        <v>691</v>
      </c>
      <c r="C9" t="str">
        <f>IF(Table057__Page_16[[#This Row],[List 1]]=Table057__Page_16[[#This Row],[List 2]],"Matching","Not Matching")</f>
        <v>Matching</v>
      </c>
      <c r="F9">
        <v>249447</v>
      </c>
      <c r="G9">
        <v>343749</v>
      </c>
      <c r="H9">
        <f>VLOOKUP(Table058__Page_16[[#This Row],[List 2]],Table058__Page_16[List 1],1,0)</f>
        <v>343749</v>
      </c>
    </row>
    <row r="10" spans="1:10" x14ac:dyDescent="0.3">
      <c r="A10" t="s">
        <v>692</v>
      </c>
      <c r="B10" t="s">
        <v>693</v>
      </c>
      <c r="C10" t="str">
        <f>IF(Table057__Page_16[[#This Row],[List 1]]=Table057__Page_16[[#This Row],[List 2]],"Matching","Not Matching")</f>
        <v>Not Matching</v>
      </c>
      <c r="F10">
        <v>532765</v>
      </c>
      <c r="G10">
        <v>356160</v>
      </c>
      <c r="H10" t="e">
        <f>VLOOKUP(Table058__Page_16[[#This Row],[List 2]],Table058__Page_16[List 1],1,0)</f>
        <v>#N/A</v>
      </c>
    </row>
    <row r="11" spans="1:10" x14ac:dyDescent="0.3">
      <c r="F11">
        <v>356163</v>
      </c>
      <c r="G11">
        <v>379391</v>
      </c>
      <c r="H11">
        <f>VLOOKUP(Table058__Page_16[[#This Row],[List 2]],Table058__Page_16[List 1],1,0)</f>
        <v>379391</v>
      </c>
    </row>
    <row r="12" spans="1:10" x14ac:dyDescent="0.3">
      <c r="A12" t="s">
        <v>703</v>
      </c>
      <c r="F12">
        <v>455292</v>
      </c>
      <c r="G12">
        <v>455292</v>
      </c>
      <c r="H12">
        <f>VLOOKUP(Table058__Page_16[[#This Row],[List 2]],Table058__Page_16[List 1],1,0)</f>
        <v>455292</v>
      </c>
    </row>
    <row r="13" spans="1:10" x14ac:dyDescent="0.3">
      <c r="F13">
        <v>379391</v>
      </c>
      <c r="G13">
        <v>532765</v>
      </c>
      <c r="H13">
        <f>VLOOKUP(Table058__Page_16[[#This Row],[List 2]],Table058__Page_16[List 1],1,0)</f>
        <v>532765</v>
      </c>
    </row>
    <row r="15" spans="1:10" x14ac:dyDescent="0.3">
      <c r="A15" t="s">
        <v>694</v>
      </c>
      <c r="E15" t="s">
        <v>253</v>
      </c>
      <c r="G15" t="s">
        <v>700</v>
      </c>
    </row>
    <row r="16" spans="1:10" x14ac:dyDescent="0.3">
      <c r="A16" t="s">
        <v>695</v>
      </c>
      <c r="E16" t="str">
        <f>VLOOKUP(Table059__Page_16[[#This Row],[Color List-1]],Table059__Page_1618[Color List-2],1,FALSE)</f>
        <v>Red</v>
      </c>
      <c r="G16" t="s">
        <v>695</v>
      </c>
    </row>
    <row r="17" spans="1:7" x14ac:dyDescent="0.3">
      <c r="A17" t="s">
        <v>696</v>
      </c>
      <c r="E17" t="str">
        <f>VLOOKUP(Table059__Page_16[[#This Row],[Color List-1]],Table059__Page_1618[Color List-2],1,FALSE)</f>
        <v>Yellow</v>
      </c>
      <c r="G17" t="s">
        <v>696</v>
      </c>
    </row>
    <row r="18" spans="1:7" x14ac:dyDescent="0.3">
      <c r="A18" t="s">
        <v>697</v>
      </c>
      <c r="E18" t="str">
        <f>VLOOKUP(Table059__Page_16[[#This Row],[Color List-1]],Table059__Page_1618[Color List-2],1,FALSE)</f>
        <v>Green</v>
      </c>
      <c r="G18" t="s">
        <v>701</v>
      </c>
    </row>
    <row r="19" spans="1:7" x14ac:dyDescent="0.3">
      <c r="A19" t="s">
        <v>698</v>
      </c>
      <c r="E19" t="e">
        <f>VLOOKUP(Table059__Page_16[[#This Row],[Color List-1]],Table059__Page_1618[Color List-2],1,FALSE)</f>
        <v>#N/A</v>
      </c>
      <c r="G19" t="s">
        <v>697</v>
      </c>
    </row>
    <row r="20" spans="1:7" x14ac:dyDescent="0.3">
      <c r="A20" t="s">
        <v>518</v>
      </c>
      <c r="E20" t="str">
        <f>VLOOKUP(Table059__Page_16[[#This Row],[Color List-1]],Table059__Page_1618[Color List-2],1,FALSE)</f>
        <v>Orange</v>
      </c>
      <c r="G20" t="s">
        <v>518</v>
      </c>
    </row>
    <row r="21" spans="1:7" x14ac:dyDescent="0.3">
      <c r="A21" t="s">
        <v>699</v>
      </c>
      <c r="E21" t="e">
        <f>VLOOKUP(Table059__Page_16[[#This Row],[Color List-1]],Table059__Page_1618[Color List-2],1,FALSE)</f>
        <v>#N/A</v>
      </c>
      <c r="G21" t="s">
        <v>702</v>
      </c>
    </row>
    <row r="23" spans="1:7" x14ac:dyDescent="0.3">
      <c r="A23" t="s">
        <v>705</v>
      </c>
    </row>
  </sheetData>
  <mergeCells count="1">
    <mergeCell ref="H2:H3"/>
  </mergeCells>
  <hyperlinks>
    <hyperlink ref="H2:H3" location="'LIST OF SHEET'!A1" display="LIST OF SHEET" xr:uid="{1D1B1E01-36AC-4078-8A32-43A144A5A856}"/>
  </hyperlink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A131-3D93-43BF-A4EC-3E8DFB4E6C53}">
  <dimension ref="A1:F17"/>
  <sheetViews>
    <sheetView workbookViewId="0">
      <selection activeCell="F2" sqref="F2:F3"/>
    </sheetView>
  </sheetViews>
  <sheetFormatPr defaultRowHeight="14.4" x14ac:dyDescent="0.3"/>
  <cols>
    <col min="1" max="1" width="9.77734375" bestFit="1" customWidth="1"/>
    <col min="2" max="2" width="12.109375" bestFit="1" customWidth="1"/>
    <col min="3" max="3" width="12" bestFit="1" customWidth="1"/>
    <col min="4" max="4" width="20.5546875" bestFit="1" customWidth="1"/>
    <col min="6" max="6" width="12.33203125" customWidth="1"/>
  </cols>
  <sheetData>
    <row r="1" spans="1:6" ht="28.8" x14ac:dyDescent="0.55000000000000004">
      <c r="A1" s="62" t="s">
        <v>799</v>
      </c>
    </row>
    <row r="2" spans="1:6" ht="23.4" x14ac:dyDescent="0.45">
      <c r="A2" s="108" t="s">
        <v>724</v>
      </c>
      <c r="F2" s="126" t="s">
        <v>955</v>
      </c>
    </row>
    <row r="3" spans="1:6" x14ac:dyDescent="0.3">
      <c r="F3" s="126"/>
    </row>
    <row r="5" spans="1:6" x14ac:dyDescent="0.3">
      <c r="A5" t="s">
        <v>708</v>
      </c>
      <c r="B5" t="s">
        <v>355</v>
      </c>
      <c r="C5" t="s">
        <v>148</v>
      </c>
      <c r="D5" t="s">
        <v>377</v>
      </c>
    </row>
    <row r="6" spans="1:6" x14ac:dyDescent="0.3">
      <c r="A6" t="s">
        <v>709</v>
      </c>
      <c r="B6" t="s">
        <v>710</v>
      </c>
      <c r="C6" t="s">
        <v>711</v>
      </c>
      <c r="D6" t="str">
        <f xml:space="preserve"> CONCATENATE(Table062__Page_16[[#This Row],[First Name]]," ",Table062__Page_16[[#This Row],[Last Name]])</f>
        <v>Vishal Mohan</v>
      </c>
    </row>
    <row r="7" spans="1:6" x14ac:dyDescent="0.3">
      <c r="A7" t="s">
        <v>712</v>
      </c>
      <c r="B7" t="s">
        <v>357</v>
      </c>
      <c r="C7" t="s">
        <v>713</v>
      </c>
      <c r="D7" t="str">
        <f xml:space="preserve"> CONCATENATE(Table062__Page_16[[#This Row],[First Name]]," ",Table062__Page_16[[#This Row],[Last Name]])</f>
        <v>John Mathew</v>
      </c>
    </row>
    <row r="8" spans="1:6" x14ac:dyDescent="0.3">
      <c r="A8" t="s">
        <v>714</v>
      </c>
      <c r="B8" t="s">
        <v>715</v>
      </c>
      <c r="C8" t="s">
        <v>716</v>
      </c>
      <c r="D8" t="str">
        <f xml:space="preserve"> CONCATENATE(Table062__Page_16[[#This Row],[First Name]]," ",Table062__Page_16[[#This Row],[Last Name]])</f>
        <v>Jamemah Powel</v>
      </c>
    </row>
    <row r="9" spans="1:6" x14ac:dyDescent="0.3">
      <c r="A9" t="s">
        <v>717</v>
      </c>
      <c r="B9" t="s">
        <v>718</v>
      </c>
      <c r="C9" t="s">
        <v>719</v>
      </c>
      <c r="D9" t="str">
        <f xml:space="preserve"> CONCATENATE(Table062__Page_16[[#This Row],[First Name]]," ",Table062__Page_16[[#This Row],[Last Name]])</f>
        <v>Arundhati Swaminathan</v>
      </c>
    </row>
    <row r="10" spans="1:6" x14ac:dyDescent="0.3">
      <c r="A10" t="s">
        <v>720</v>
      </c>
      <c r="B10" t="s">
        <v>361</v>
      </c>
      <c r="C10" t="s">
        <v>721</v>
      </c>
      <c r="D10" t="str">
        <f xml:space="preserve"> CONCATENATE(Table062__Page_16[[#This Row],[First Name]]," ",Table062__Page_16[[#This Row],[Last Name]])</f>
        <v>Peter Potter</v>
      </c>
    </row>
    <row r="11" spans="1:6" x14ac:dyDescent="0.3">
      <c r="A11" t="s">
        <v>722</v>
      </c>
      <c r="B11" t="s">
        <v>180</v>
      </c>
      <c r="C11" t="s">
        <v>154</v>
      </c>
      <c r="D11" t="str">
        <f xml:space="preserve"> CONCATENATE(Table062__Page_16[[#This Row],[First Name]]," ",Table062__Page_16[[#This Row],[Last Name]])</f>
        <v>Roger Williams</v>
      </c>
    </row>
    <row r="14" spans="1:6" x14ac:dyDescent="0.3">
      <c r="A14" t="s">
        <v>708</v>
      </c>
      <c r="B14" t="s">
        <v>355</v>
      </c>
      <c r="C14" t="s">
        <v>148</v>
      </c>
      <c r="D14" t="s">
        <v>377</v>
      </c>
    </row>
    <row r="15" spans="1:6" x14ac:dyDescent="0.3">
      <c r="A15" t="s">
        <v>709</v>
      </c>
      <c r="B15" t="s">
        <v>710</v>
      </c>
      <c r="C15" t="s">
        <v>711</v>
      </c>
      <c r="D15" t="str">
        <f>Table063__Page_16[[#This Row],[First Name]]&amp;" "&amp;Table063__Page_16[[#This Row],[Last Name]]</f>
        <v>Vishal Mohan</v>
      </c>
      <c r="F15" t="str">
        <f xml:space="preserve"> B20&amp;" "&amp;C20</f>
        <v xml:space="preserve"> </v>
      </c>
    </row>
    <row r="16" spans="1:6" x14ac:dyDescent="0.3">
      <c r="A16" t="s">
        <v>712</v>
      </c>
      <c r="B16" t="s">
        <v>357</v>
      </c>
      <c r="C16" t="s">
        <v>713</v>
      </c>
      <c r="D16" t="str">
        <f>Table063__Page_16[[#This Row],[First Name]]&amp;" "&amp;Table063__Page_16[[#This Row],[Last Name]]</f>
        <v>John Mathew</v>
      </c>
    </row>
    <row r="17" spans="1:4" x14ac:dyDescent="0.3">
      <c r="A17" t="s">
        <v>714</v>
      </c>
      <c r="B17" t="s">
        <v>715</v>
      </c>
      <c r="C17" t="s">
        <v>716</v>
      </c>
      <c r="D17" t="str">
        <f>Table063__Page_16[[#This Row],[First Name]]&amp;" "&amp;Table063__Page_16[[#This Row],[Last Name]]</f>
        <v>Jamemah Powel</v>
      </c>
    </row>
  </sheetData>
  <mergeCells count="1">
    <mergeCell ref="F2:F3"/>
  </mergeCells>
  <hyperlinks>
    <hyperlink ref="F2:F3" location="'LIST OF SHEET'!A1" display="LIST OF SHEET" xr:uid="{F2498ADD-698A-4797-B208-2E8019B11C29}"/>
  </hyperlinks>
  <pageMargins left="0.7" right="0.7" top="0.75" bottom="0.75" header="0.3" footer="0.3"/>
  <tableParts count="2">
    <tablePart r:id="rId1"/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750-EB58-4581-84C3-1C53C4B41456}">
  <dimension ref="A1:M38"/>
  <sheetViews>
    <sheetView workbookViewId="0">
      <selection activeCell="G2" sqref="G2:G3"/>
    </sheetView>
  </sheetViews>
  <sheetFormatPr defaultRowHeight="14.4" x14ac:dyDescent="0.3"/>
  <cols>
    <col min="1" max="1" width="16.5546875" bestFit="1" customWidth="1"/>
    <col min="2" max="2" width="14" customWidth="1"/>
    <col min="3" max="3" width="15.5546875" bestFit="1" customWidth="1"/>
    <col min="4" max="4" width="19.77734375" bestFit="1" customWidth="1"/>
    <col min="5" max="5" width="11" bestFit="1" customWidth="1"/>
    <col min="7" max="7" width="15.109375" customWidth="1"/>
    <col min="12" max="12" width="15.109375" customWidth="1"/>
    <col min="13" max="13" width="11.88671875" customWidth="1"/>
  </cols>
  <sheetData>
    <row r="1" spans="1:10" ht="31.2" x14ac:dyDescent="0.6">
      <c r="A1" s="77" t="s">
        <v>896</v>
      </c>
    </row>
    <row r="2" spans="1:10" x14ac:dyDescent="0.3">
      <c r="G2" s="126" t="s">
        <v>955</v>
      </c>
    </row>
    <row r="3" spans="1:10" ht="15.6" x14ac:dyDescent="0.3">
      <c r="A3" s="95" t="s">
        <v>781</v>
      </c>
      <c r="B3" s="96"/>
      <c r="C3" s="96"/>
      <c r="D3" s="96"/>
      <c r="G3" s="126"/>
    </row>
    <row r="6" spans="1:10" x14ac:dyDescent="0.3">
      <c r="A6" s="63" t="s">
        <v>127</v>
      </c>
      <c r="B6" s="27" t="s">
        <v>778</v>
      </c>
      <c r="C6" t="s">
        <v>92</v>
      </c>
      <c r="D6" t="s">
        <v>726</v>
      </c>
      <c r="E6" t="s">
        <v>727</v>
      </c>
    </row>
    <row r="7" spans="1:10" x14ac:dyDescent="0.3">
      <c r="A7" s="46" t="s">
        <v>728</v>
      </c>
      <c r="B7" s="3">
        <v>1101</v>
      </c>
      <c r="C7" s="3" t="s">
        <v>729</v>
      </c>
      <c r="D7" s="3" t="s">
        <v>730</v>
      </c>
      <c r="E7" s="3" t="s">
        <v>278</v>
      </c>
    </row>
    <row r="8" spans="1:10" x14ac:dyDescent="0.3">
      <c r="A8" s="46" t="s">
        <v>728</v>
      </c>
      <c r="B8" s="3">
        <v>1102</v>
      </c>
      <c r="C8" s="3" t="s">
        <v>19</v>
      </c>
      <c r="D8" s="3" t="s">
        <v>731</v>
      </c>
      <c r="E8" s="3" t="s">
        <v>732</v>
      </c>
      <c r="G8" s="139" t="s">
        <v>772</v>
      </c>
      <c r="H8" s="139"/>
      <c r="I8" s="139"/>
      <c r="J8" s="127">
        <f>COUNTA(Table065__Page_17[NAME])</f>
        <v>21</v>
      </c>
    </row>
    <row r="9" spans="1:10" x14ac:dyDescent="0.3">
      <c r="A9" s="46" t="s">
        <v>733</v>
      </c>
      <c r="B9" s="3">
        <v>1103</v>
      </c>
      <c r="C9" s="3" t="s">
        <v>734</v>
      </c>
      <c r="D9" s="3" t="s">
        <v>735</v>
      </c>
      <c r="E9" s="3" t="s">
        <v>736</v>
      </c>
      <c r="G9" s="139"/>
      <c r="H9" s="139"/>
      <c r="I9" s="139"/>
      <c r="J9" s="127"/>
    </row>
    <row r="10" spans="1:10" x14ac:dyDescent="0.3">
      <c r="A10" s="46" t="s">
        <v>733</v>
      </c>
      <c r="B10" s="3">
        <v>1104</v>
      </c>
      <c r="C10" s="3" t="s">
        <v>737</v>
      </c>
      <c r="D10" s="3" t="s">
        <v>738</v>
      </c>
      <c r="E10" s="3" t="s">
        <v>739</v>
      </c>
      <c r="G10" s="139"/>
      <c r="H10" s="139"/>
      <c r="I10" s="139"/>
      <c r="J10" s="127"/>
    </row>
    <row r="11" spans="1:10" x14ac:dyDescent="0.3">
      <c r="A11" s="46" t="s">
        <v>733</v>
      </c>
      <c r="B11" s="3">
        <v>1105</v>
      </c>
      <c r="C11" s="3" t="s">
        <v>740</v>
      </c>
      <c r="D11" s="3" t="s">
        <v>741</v>
      </c>
      <c r="E11" s="3" t="s">
        <v>742</v>
      </c>
      <c r="G11" s="139"/>
      <c r="H11" s="139"/>
      <c r="I11" s="139"/>
      <c r="J11" s="127"/>
    </row>
    <row r="12" spans="1:10" x14ac:dyDescent="0.3">
      <c r="A12" s="46" t="s">
        <v>743</v>
      </c>
      <c r="B12" s="3">
        <v>1106</v>
      </c>
      <c r="C12" s="3" t="s">
        <v>744</v>
      </c>
      <c r="D12" s="3" t="s">
        <v>741</v>
      </c>
      <c r="E12" s="3" t="s">
        <v>745</v>
      </c>
    </row>
    <row r="13" spans="1:10" x14ac:dyDescent="0.3">
      <c r="A13" s="46" t="s">
        <v>743</v>
      </c>
      <c r="B13" s="3">
        <v>1107</v>
      </c>
      <c r="C13" s="3" t="s">
        <v>746</v>
      </c>
      <c r="D13" s="3" t="s">
        <v>747</v>
      </c>
      <c r="E13" s="3" t="s">
        <v>748</v>
      </c>
      <c r="G13" s="128" t="s">
        <v>773</v>
      </c>
      <c r="H13" s="131"/>
      <c r="I13" s="131"/>
      <c r="J13" s="127">
        <f>COUNTIF(Table065__Page_17[KRA],"Sales")</f>
        <v>2</v>
      </c>
    </row>
    <row r="14" spans="1:10" x14ac:dyDescent="0.3">
      <c r="A14" s="46" t="s">
        <v>749</v>
      </c>
      <c r="B14" s="3">
        <v>1108</v>
      </c>
      <c r="C14" s="3" t="s">
        <v>750</v>
      </c>
      <c r="D14" s="3" t="s">
        <v>751</v>
      </c>
      <c r="E14" s="3" t="s">
        <v>752</v>
      </c>
      <c r="G14" s="131"/>
      <c r="H14" s="131"/>
      <c r="I14" s="131"/>
      <c r="J14" s="127"/>
    </row>
    <row r="15" spans="1:10" x14ac:dyDescent="0.3">
      <c r="A15" s="46" t="s">
        <v>749</v>
      </c>
      <c r="B15" s="3">
        <v>1109</v>
      </c>
      <c r="C15" s="3" t="s">
        <v>753</v>
      </c>
      <c r="D15" s="3" t="s">
        <v>754</v>
      </c>
      <c r="E15" s="3" t="s">
        <v>278</v>
      </c>
      <c r="G15" s="131"/>
      <c r="H15" s="131"/>
      <c r="I15" s="131"/>
      <c r="J15" s="127"/>
    </row>
    <row r="16" spans="1:10" x14ac:dyDescent="0.3">
      <c r="A16" s="46" t="s">
        <v>749</v>
      </c>
      <c r="B16" s="3">
        <v>1110</v>
      </c>
      <c r="C16" s="3" t="s">
        <v>755</v>
      </c>
      <c r="D16" s="3" t="s">
        <v>754</v>
      </c>
      <c r="E16" s="3" t="s">
        <v>756</v>
      </c>
      <c r="G16" s="131"/>
      <c r="H16" s="131"/>
      <c r="I16" s="131"/>
      <c r="J16" s="127"/>
    </row>
    <row r="17" spans="1:13" x14ac:dyDescent="0.3">
      <c r="A17" s="46" t="s">
        <v>757</v>
      </c>
      <c r="B17" s="3">
        <v>1111</v>
      </c>
      <c r="C17" s="3" t="s">
        <v>758</v>
      </c>
      <c r="D17" s="3" t="s">
        <v>754</v>
      </c>
      <c r="E17" s="3" t="s">
        <v>756</v>
      </c>
    </row>
    <row r="18" spans="1:13" x14ac:dyDescent="0.3">
      <c r="A18" s="46" t="s">
        <v>757</v>
      </c>
      <c r="B18" s="3">
        <v>1109</v>
      </c>
      <c r="C18" s="3" t="s">
        <v>753</v>
      </c>
      <c r="D18" s="3" t="s">
        <v>754</v>
      </c>
      <c r="E18" s="3" t="s">
        <v>756</v>
      </c>
      <c r="G18" s="139" t="s">
        <v>774</v>
      </c>
      <c r="H18" s="139"/>
      <c r="I18" s="139"/>
      <c r="J18" s="127">
        <f>COUNTIFS(Table065__Page_17[[#All],[Designation]],"Sales Executive",Table065__Page_17[[#All],[KRA]],"Amazon")</f>
        <v>4</v>
      </c>
    </row>
    <row r="19" spans="1:13" x14ac:dyDescent="0.3">
      <c r="A19" s="46" t="s">
        <v>759</v>
      </c>
      <c r="B19" s="3">
        <v>1112</v>
      </c>
      <c r="C19" s="3" t="s">
        <v>760</v>
      </c>
      <c r="D19" s="3" t="s">
        <v>754</v>
      </c>
      <c r="E19" s="3" t="s">
        <v>761</v>
      </c>
      <c r="G19" s="139"/>
      <c r="H19" s="139"/>
      <c r="I19" s="139"/>
      <c r="J19" s="127"/>
    </row>
    <row r="20" spans="1:13" x14ac:dyDescent="0.3">
      <c r="A20" s="46" t="s">
        <v>759</v>
      </c>
      <c r="B20" s="3">
        <v>1113</v>
      </c>
      <c r="C20" s="3" t="s">
        <v>762</v>
      </c>
      <c r="D20" s="3" t="s">
        <v>754</v>
      </c>
      <c r="E20" s="3" t="s">
        <v>763</v>
      </c>
      <c r="G20" s="139"/>
      <c r="H20" s="139"/>
      <c r="I20" s="139"/>
      <c r="J20" s="127"/>
    </row>
    <row r="21" spans="1:13" x14ac:dyDescent="0.3">
      <c r="A21" s="46" t="s">
        <v>759</v>
      </c>
      <c r="B21" s="3">
        <v>1114</v>
      </c>
      <c r="C21" s="3" t="s">
        <v>764</v>
      </c>
      <c r="D21" s="3" t="s">
        <v>754</v>
      </c>
      <c r="E21" s="3" t="s">
        <v>763</v>
      </c>
      <c r="G21" s="139"/>
      <c r="H21" s="139"/>
      <c r="I21" s="139"/>
      <c r="J21" s="127"/>
    </row>
    <row r="22" spans="1:13" x14ac:dyDescent="0.3">
      <c r="A22" s="46" t="s">
        <v>759</v>
      </c>
      <c r="B22" s="3">
        <v>1115</v>
      </c>
      <c r="C22" s="3" t="s">
        <v>765</v>
      </c>
      <c r="D22" s="3" t="s">
        <v>754</v>
      </c>
      <c r="E22" s="3" t="s">
        <v>766</v>
      </c>
    </row>
    <row r="23" spans="1:13" x14ac:dyDescent="0.3">
      <c r="A23" s="46" t="s">
        <v>767</v>
      </c>
      <c r="B23" s="3">
        <v>1109</v>
      </c>
      <c r="C23" s="3" t="s">
        <v>753</v>
      </c>
      <c r="D23" s="3" t="s">
        <v>754</v>
      </c>
      <c r="E23" s="3" t="s">
        <v>756</v>
      </c>
      <c r="G23" s="139" t="s">
        <v>775</v>
      </c>
      <c r="H23" s="139"/>
      <c r="I23" s="139"/>
      <c r="J23" s="127" t="s">
        <v>737</v>
      </c>
      <c r="K23" s="127"/>
      <c r="L23" s="127" t="s">
        <v>710</v>
      </c>
      <c r="M23" s="127"/>
    </row>
    <row r="24" spans="1:13" x14ac:dyDescent="0.3">
      <c r="A24" s="46" t="s">
        <v>767</v>
      </c>
      <c r="B24" s="3">
        <v>1116</v>
      </c>
      <c r="C24" s="3" t="s">
        <v>768</v>
      </c>
      <c r="D24" s="3" t="s">
        <v>754</v>
      </c>
      <c r="E24" s="3" t="s">
        <v>766</v>
      </c>
      <c r="G24" s="139"/>
      <c r="H24" s="139"/>
      <c r="I24" s="139"/>
      <c r="J24" s="127" t="s">
        <v>776</v>
      </c>
      <c r="K24" s="127" t="s">
        <v>727</v>
      </c>
      <c r="L24" s="127" t="s">
        <v>776</v>
      </c>
      <c r="M24" s="127" t="s">
        <v>727</v>
      </c>
    </row>
    <row r="25" spans="1:13" x14ac:dyDescent="0.3">
      <c r="A25" s="46" t="s">
        <v>767</v>
      </c>
      <c r="B25" s="3">
        <v>1116</v>
      </c>
      <c r="C25" s="3" t="s">
        <v>768</v>
      </c>
      <c r="D25" s="3" t="s">
        <v>754</v>
      </c>
      <c r="E25" s="3" t="s">
        <v>766</v>
      </c>
      <c r="G25" s="139"/>
      <c r="H25" s="139"/>
      <c r="I25" s="139"/>
      <c r="J25" s="127"/>
      <c r="K25" s="127"/>
      <c r="L25" s="127"/>
      <c r="M25" s="127"/>
    </row>
    <row r="26" spans="1:13" x14ac:dyDescent="0.3">
      <c r="A26" s="46" t="s">
        <v>767</v>
      </c>
      <c r="B26" s="3">
        <v>1116</v>
      </c>
      <c r="C26" s="3" t="s">
        <v>768</v>
      </c>
      <c r="D26" s="3" t="s">
        <v>754</v>
      </c>
      <c r="E26" s="3" t="s">
        <v>766</v>
      </c>
      <c r="G26" s="139"/>
      <c r="H26" s="139"/>
      <c r="I26" s="139"/>
      <c r="J26" s="6" t="str">
        <f>VLOOKUP(J23,Table065__Page_17[[#All],[NAME]:[KRA]],2,0)</f>
        <v>SME</v>
      </c>
      <c r="K26" s="6" t="str">
        <f>VLOOKUP(J23,Table065__Page_17[[#All],[NAME]:[KRA]],3,0)</f>
        <v>MAILS</v>
      </c>
      <c r="L26" s="6" t="str">
        <f>VLOOKUP(L23,Table065__Page_17[[#All],[NAME]:[KRA]],2,0)</f>
        <v>SALES EXECUTIVE</v>
      </c>
      <c r="M26" s="6" t="str">
        <f>VLOOKUP(L23,Table065__Page_17[[#All],[NAME]:[KRA]],3,0)</f>
        <v>GROFFERS</v>
      </c>
    </row>
    <row r="27" spans="1:13" x14ac:dyDescent="0.3">
      <c r="A27" s="46" t="s">
        <v>728</v>
      </c>
      <c r="B27" s="3">
        <v>1010</v>
      </c>
      <c r="C27" s="3" t="s">
        <v>769</v>
      </c>
      <c r="D27" s="3" t="s">
        <v>770</v>
      </c>
      <c r="E27" s="3" t="s">
        <v>771</v>
      </c>
    </row>
    <row r="28" spans="1:13" ht="14.4" customHeight="1" x14ac:dyDescent="0.3">
      <c r="G28" s="139" t="s">
        <v>779</v>
      </c>
      <c r="H28" s="127"/>
      <c r="I28" s="127"/>
      <c r="J28" s="127"/>
      <c r="K28" s="21" t="s">
        <v>92</v>
      </c>
      <c r="L28" s="21" t="s">
        <v>777</v>
      </c>
    </row>
    <row r="29" spans="1:13" x14ac:dyDescent="0.3">
      <c r="G29" s="127"/>
      <c r="H29" s="127"/>
      <c r="I29" s="127"/>
      <c r="J29" s="127"/>
      <c r="K29" s="3" t="s">
        <v>765</v>
      </c>
      <c r="L29" s="3">
        <f>INDEX(Table065__Page_17[#All],MATCH(K29,Table065__Page_17[[#All],[NAME]],0),MATCH(L28,Table065__Page_17[#Headers],0))</f>
        <v>1115</v>
      </c>
    </row>
    <row r="30" spans="1:13" x14ac:dyDescent="0.3">
      <c r="G30" s="127"/>
      <c r="H30" s="127"/>
      <c r="I30" s="127"/>
      <c r="J30" s="127"/>
      <c r="K30" s="3" t="s">
        <v>750</v>
      </c>
      <c r="L30" s="3">
        <f>INDEX(Table065__Page_17[#All],MATCH(K30,Table065__Page_17[[#All],[NAME]],0),MATCH(L28,Table065__Page_17[#Headers],0))</f>
        <v>1108</v>
      </c>
    </row>
    <row r="32" spans="1:13" x14ac:dyDescent="0.3">
      <c r="A32" t="s">
        <v>772</v>
      </c>
    </row>
    <row r="33" spans="1:1" x14ac:dyDescent="0.3">
      <c r="A33" t="s">
        <v>916</v>
      </c>
    </row>
    <row r="34" spans="1:1" x14ac:dyDescent="0.3">
      <c r="A34" t="s">
        <v>917</v>
      </c>
    </row>
    <row r="35" spans="1:1" x14ac:dyDescent="0.3">
      <c r="A35" t="s">
        <v>774</v>
      </c>
    </row>
    <row r="36" spans="1:1" x14ac:dyDescent="0.3">
      <c r="A36" t="s">
        <v>775</v>
      </c>
    </row>
    <row r="37" spans="1:1" x14ac:dyDescent="0.3">
      <c r="A37" t="s">
        <v>918</v>
      </c>
    </row>
    <row r="38" spans="1:1" x14ac:dyDescent="0.3">
      <c r="A38" t="s">
        <v>919</v>
      </c>
    </row>
  </sheetData>
  <mergeCells count="15">
    <mergeCell ref="L24:L25"/>
    <mergeCell ref="M24:M25"/>
    <mergeCell ref="L23:M23"/>
    <mergeCell ref="G8:I11"/>
    <mergeCell ref="J8:J11"/>
    <mergeCell ref="G13:I16"/>
    <mergeCell ref="J13:J16"/>
    <mergeCell ref="G18:I21"/>
    <mergeCell ref="J18:J21"/>
    <mergeCell ref="G2:G3"/>
    <mergeCell ref="G28:J30"/>
    <mergeCell ref="G23:I26"/>
    <mergeCell ref="J23:K23"/>
    <mergeCell ref="J24:J25"/>
    <mergeCell ref="K24:K25"/>
  </mergeCells>
  <hyperlinks>
    <hyperlink ref="G2:G3" location="'LIST OF SHEET'!A1" display="LIST OF SHEET" xr:uid="{9040F1D4-242F-4516-A75F-FE70AEBCA910}"/>
  </hyperlinks>
  <pageMargins left="0.7" right="0.7" top="0.75" bottom="0.75" header="0.3" footer="0.3"/>
  <ignoredErrors>
    <ignoredError sqref="K26:L26" formula="1"/>
  </ignoredErrors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0B1D-21EC-4AB5-AD8F-357D9596DB62}">
  <dimension ref="A1:H16"/>
  <sheetViews>
    <sheetView workbookViewId="0">
      <selection activeCell="H2" sqref="H2:H3"/>
    </sheetView>
  </sheetViews>
  <sheetFormatPr defaultRowHeight="14.4" x14ac:dyDescent="0.3"/>
  <cols>
    <col min="1" max="1" width="9.6640625" bestFit="1" customWidth="1"/>
    <col min="2" max="2" width="12.109375" bestFit="1" customWidth="1"/>
    <col min="3" max="3" width="12" bestFit="1" customWidth="1"/>
    <col min="4" max="4" width="13.33203125" bestFit="1" customWidth="1"/>
    <col min="5" max="5" width="10.44140625" bestFit="1" customWidth="1"/>
    <col min="8" max="8" width="15.77734375" customWidth="1"/>
  </cols>
  <sheetData>
    <row r="1" spans="1:8" ht="28.8" x14ac:dyDescent="0.55000000000000004">
      <c r="A1" s="62" t="s">
        <v>897</v>
      </c>
    </row>
    <row r="2" spans="1:8" x14ac:dyDescent="0.3">
      <c r="H2" s="126" t="s">
        <v>955</v>
      </c>
    </row>
    <row r="3" spans="1:8" ht="23.4" x14ac:dyDescent="0.45">
      <c r="A3" s="108" t="s">
        <v>800</v>
      </c>
      <c r="H3" s="126"/>
    </row>
    <row r="6" spans="1:8" x14ac:dyDescent="0.3">
      <c r="A6" t="s">
        <v>725</v>
      </c>
      <c r="B6" t="s">
        <v>355</v>
      </c>
      <c r="C6" t="s">
        <v>148</v>
      </c>
      <c r="D6" t="s">
        <v>379</v>
      </c>
      <c r="E6" t="s">
        <v>782</v>
      </c>
    </row>
    <row r="7" spans="1:8" x14ac:dyDescent="0.3">
      <c r="A7">
        <v>101</v>
      </c>
      <c r="B7" t="s">
        <v>783</v>
      </c>
      <c r="C7" t="s">
        <v>784</v>
      </c>
      <c r="D7" t="s">
        <v>403</v>
      </c>
      <c r="E7" t="s">
        <v>785</v>
      </c>
    </row>
    <row r="8" spans="1:8" x14ac:dyDescent="0.3">
      <c r="A8">
        <v>102</v>
      </c>
      <c r="B8" t="s">
        <v>786</v>
      </c>
      <c r="C8" t="s">
        <v>787</v>
      </c>
      <c r="D8" t="s">
        <v>387</v>
      </c>
      <c r="E8" t="s">
        <v>679</v>
      </c>
    </row>
    <row r="9" spans="1:8" x14ac:dyDescent="0.3">
      <c r="A9">
        <v>103</v>
      </c>
      <c r="B9" t="s">
        <v>335</v>
      </c>
      <c r="C9" t="s">
        <v>601</v>
      </c>
      <c r="D9" t="s">
        <v>403</v>
      </c>
      <c r="E9" t="s">
        <v>679</v>
      </c>
    </row>
    <row r="10" spans="1:8" x14ac:dyDescent="0.3">
      <c r="A10">
        <v>104</v>
      </c>
      <c r="B10" t="s">
        <v>329</v>
      </c>
      <c r="C10" t="s">
        <v>153</v>
      </c>
      <c r="D10" t="s">
        <v>387</v>
      </c>
      <c r="E10" t="s">
        <v>677</v>
      </c>
    </row>
    <row r="11" spans="1:8" x14ac:dyDescent="0.3">
      <c r="A11">
        <v>105</v>
      </c>
      <c r="B11" t="s">
        <v>335</v>
      </c>
      <c r="C11" t="s">
        <v>152</v>
      </c>
      <c r="D11" t="s">
        <v>387</v>
      </c>
      <c r="E11" t="s">
        <v>785</v>
      </c>
    </row>
    <row r="12" spans="1:8" x14ac:dyDescent="0.3">
      <c r="A12">
        <v>106</v>
      </c>
      <c r="B12" t="s">
        <v>788</v>
      </c>
      <c r="C12" t="s">
        <v>789</v>
      </c>
      <c r="D12" t="s">
        <v>599</v>
      </c>
      <c r="E12" t="s">
        <v>677</v>
      </c>
    </row>
    <row r="13" spans="1:8" x14ac:dyDescent="0.3">
      <c r="A13">
        <v>107</v>
      </c>
      <c r="B13" t="s">
        <v>790</v>
      </c>
      <c r="C13" t="s">
        <v>791</v>
      </c>
      <c r="D13" t="s">
        <v>403</v>
      </c>
      <c r="E13" t="s">
        <v>679</v>
      </c>
    </row>
    <row r="14" spans="1:8" x14ac:dyDescent="0.3">
      <c r="A14">
        <v>108</v>
      </c>
      <c r="B14" t="s">
        <v>792</v>
      </c>
      <c r="C14" t="s">
        <v>793</v>
      </c>
      <c r="D14" t="s">
        <v>387</v>
      </c>
      <c r="E14" t="s">
        <v>785</v>
      </c>
    </row>
    <row r="15" spans="1:8" x14ac:dyDescent="0.3">
      <c r="A15">
        <v>109</v>
      </c>
      <c r="B15" t="s">
        <v>794</v>
      </c>
      <c r="C15" t="s">
        <v>795</v>
      </c>
      <c r="D15" t="s">
        <v>599</v>
      </c>
      <c r="E15" t="s">
        <v>679</v>
      </c>
    </row>
    <row r="16" spans="1:8" x14ac:dyDescent="0.3">
      <c r="A16">
        <v>110</v>
      </c>
      <c r="B16" t="s">
        <v>796</v>
      </c>
      <c r="C16" t="s">
        <v>797</v>
      </c>
      <c r="D16" t="s">
        <v>599</v>
      </c>
      <c r="E16" t="s">
        <v>677</v>
      </c>
    </row>
  </sheetData>
  <mergeCells count="1">
    <mergeCell ref="H2:H3"/>
  </mergeCells>
  <hyperlinks>
    <hyperlink ref="H2:H3" location="'LIST OF SHEET'!A1" display="LIST OF SHEET" xr:uid="{3114862E-E154-4287-AF78-DF14CE4C3E5A}"/>
  </hyperlinks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6122-ABA7-4F2B-8572-6453469043F9}">
  <dimension ref="A1:H14"/>
  <sheetViews>
    <sheetView workbookViewId="0">
      <selection activeCell="H2" sqref="H2:H3"/>
    </sheetView>
  </sheetViews>
  <sheetFormatPr defaultRowHeight="14.4" x14ac:dyDescent="0.3"/>
  <cols>
    <col min="1" max="1" width="9.6640625" bestFit="1" customWidth="1"/>
    <col min="2" max="2" width="12.109375" bestFit="1" customWidth="1"/>
    <col min="3" max="3" width="12" bestFit="1" customWidth="1"/>
    <col min="4" max="4" width="13.33203125" bestFit="1" customWidth="1"/>
    <col min="5" max="5" width="10.44140625" bestFit="1" customWidth="1"/>
    <col min="8" max="8" width="14.21875" customWidth="1"/>
  </cols>
  <sheetData>
    <row r="1" spans="1:8" ht="28.8" x14ac:dyDescent="0.55000000000000004">
      <c r="A1" s="62" t="s">
        <v>898</v>
      </c>
    </row>
    <row r="2" spans="1:8" ht="31.2" x14ac:dyDescent="0.6">
      <c r="A2" s="109" t="s">
        <v>798</v>
      </c>
      <c r="H2" s="126" t="s">
        <v>955</v>
      </c>
    </row>
    <row r="3" spans="1:8" x14ac:dyDescent="0.3">
      <c r="H3" s="126"/>
    </row>
    <row r="4" spans="1:8" x14ac:dyDescent="0.3">
      <c r="A4" t="s">
        <v>725</v>
      </c>
      <c r="B4" t="s">
        <v>355</v>
      </c>
      <c r="C4" t="s">
        <v>148</v>
      </c>
      <c r="D4" t="s">
        <v>379</v>
      </c>
      <c r="E4" t="s">
        <v>782</v>
      </c>
    </row>
    <row r="5" spans="1:8" x14ac:dyDescent="0.3">
      <c r="A5">
        <v>101</v>
      </c>
      <c r="B5" t="str">
        <f>VLOOKUP(Table068__Page_18[[#This Row],[Emp
Id]],Table067__Page_18[#All],2,0)</f>
        <v>Donald</v>
      </c>
      <c r="C5" t="str">
        <f>VLOOKUP(Table068__Page_18[[#This Row],[Emp
Id]],Table067__Page_18[#All],3,0)</f>
        <v>Patrick</v>
      </c>
      <c r="D5" t="str">
        <f>VLOOKUP(Table068__Page_18[[#This Row],[Emp
Id]],Table067__Page_18[#All],4,0)</f>
        <v>Finance</v>
      </c>
      <c r="E5" t="str">
        <f>VLOOKUP(Table068__Page_18[[#This Row],[Emp
Id]],Table067__Page_18[#All],5,0)</f>
        <v>Banglore</v>
      </c>
    </row>
    <row r="6" spans="1:8" x14ac:dyDescent="0.3">
      <c r="A6">
        <v>103</v>
      </c>
      <c r="B6" t="str">
        <f>VLOOKUP(Table068__Page_18[[#This Row],[Emp
Id]],Table067__Page_18[#All],2,0)</f>
        <v>Ian</v>
      </c>
      <c r="C6" t="str">
        <f>VLOOKUP(Table068__Page_18[[#This Row],[Emp
Id]],Table067__Page_18[#All],3,0)</f>
        <v>Jacob</v>
      </c>
      <c r="D6" t="str">
        <f>VLOOKUP(Table068__Page_18[[#This Row],[Emp
Id]],Table067__Page_18[#All],4,0)</f>
        <v>Finance</v>
      </c>
      <c r="E6" t="str">
        <f>VLOOKUP(Table068__Page_18[[#This Row],[Emp
Id]],Table067__Page_18[#All],5,0)</f>
        <v>Hyderabad</v>
      </c>
    </row>
    <row r="7" spans="1:8" x14ac:dyDescent="0.3">
      <c r="A7">
        <v>102</v>
      </c>
      <c r="B7" t="str">
        <f>VLOOKUP(Table068__Page_18[[#This Row],[Emp
Id]],Table067__Page_18[#All],2,0)</f>
        <v>Samuel</v>
      </c>
      <c r="C7" t="str">
        <f>VLOOKUP(Table068__Page_18[[#This Row],[Emp
Id]],Table067__Page_18[#All],3,0)</f>
        <v>Samson</v>
      </c>
      <c r="D7" t="str">
        <f>VLOOKUP(Table068__Page_18[[#This Row],[Emp
Id]],Table067__Page_18[#All],4,0)</f>
        <v>Marketing</v>
      </c>
      <c r="E7" t="str">
        <f>VLOOKUP(Table068__Page_18[[#This Row],[Emp
Id]],Table067__Page_18[#All],5,0)</f>
        <v>Hyderabad</v>
      </c>
    </row>
    <row r="8" spans="1:8" x14ac:dyDescent="0.3">
      <c r="A8">
        <v>105</v>
      </c>
      <c r="B8" t="str">
        <f>VLOOKUP(Table068__Page_18[[#This Row],[Emp
Id]],Table067__Page_18[#All],2,0)</f>
        <v>Ian</v>
      </c>
      <c r="C8" t="str">
        <f>VLOOKUP(Table068__Page_18[[#This Row],[Emp
Id]],Table067__Page_18[#All],3,0)</f>
        <v>Smith</v>
      </c>
      <c r="D8" t="str">
        <f>VLOOKUP(Table068__Page_18[[#This Row],[Emp
Id]],Table067__Page_18[#All],4,0)</f>
        <v>Marketing</v>
      </c>
      <c r="E8" t="str">
        <f>VLOOKUP(Table068__Page_18[[#This Row],[Emp
Id]],Table067__Page_18[#All],5,0)</f>
        <v>Banglore</v>
      </c>
    </row>
    <row r="9" spans="1:8" x14ac:dyDescent="0.3">
      <c r="A9">
        <v>108</v>
      </c>
      <c r="B9" t="str">
        <f>VLOOKUP(Table068__Page_18[[#This Row],[Emp
Id]],Table067__Page_18[#All],2,0)</f>
        <v>Christine</v>
      </c>
      <c r="C9" t="str">
        <f>VLOOKUP(Table068__Page_18[[#This Row],[Emp
Id]],Table067__Page_18[#All],3,0)</f>
        <v>Salvi</v>
      </c>
      <c r="D9" t="str">
        <f>VLOOKUP(Table068__Page_18[[#This Row],[Emp
Id]],Table067__Page_18[#All],4,0)</f>
        <v>Marketing</v>
      </c>
      <c r="E9" t="str">
        <f>VLOOKUP(Table068__Page_18[[#This Row],[Emp
Id]],Table067__Page_18[#All],5,0)</f>
        <v>Banglore</v>
      </c>
    </row>
    <row r="10" spans="1:8" x14ac:dyDescent="0.3">
      <c r="A10">
        <v>106</v>
      </c>
      <c r="B10" t="str">
        <f>VLOOKUP(Table068__Page_18[[#This Row],[Emp
Id]],Table067__Page_18[#All],2,0)</f>
        <v>Henry</v>
      </c>
      <c r="C10" t="str">
        <f>VLOOKUP(Table068__Page_18[[#This Row],[Emp
Id]],Table067__Page_18[#All],3,0)</f>
        <v>Madrid</v>
      </c>
      <c r="D10" t="str">
        <f>VLOOKUP(Table068__Page_18[[#This Row],[Emp
Id]],Table067__Page_18[#All],4,0)</f>
        <v>IT</v>
      </c>
      <c r="E10" t="str">
        <f>VLOOKUP(Table068__Page_18[[#This Row],[Emp
Id]],Table067__Page_18[#All],5,0)</f>
        <v>Pune</v>
      </c>
    </row>
    <row r="11" spans="1:8" x14ac:dyDescent="0.3">
      <c r="A11">
        <v>107</v>
      </c>
      <c r="B11" t="str">
        <f>VLOOKUP(Table068__Page_18[[#This Row],[Emp
Id]],Table067__Page_18[#All],2,0)</f>
        <v>Ronica</v>
      </c>
      <c r="C11" t="str">
        <f>VLOOKUP(Table068__Page_18[[#This Row],[Emp
Id]],Table067__Page_18[#All],3,0)</f>
        <v>Brave</v>
      </c>
      <c r="D11" t="str">
        <f>VLOOKUP(Table068__Page_18[[#This Row],[Emp
Id]],Table067__Page_18[#All],4,0)</f>
        <v>Finance</v>
      </c>
      <c r="E11" t="str">
        <f>VLOOKUP(Table068__Page_18[[#This Row],[Emp
Id]],Table067__Page_18[#All],5,0)</f>
        <v>Hyderabad</v>
      </c>
    </row>
    <row r="12" spans="1:8" x14ac:dyDescent="0.3">
      <c r="A12">
        <v>104</v>
      </c>
      <c r="B12" t="str">
        <f>VLOOKUP(Table068__Page_18[[#This Row],[Emp
Id]],Table067__Page_18[#All],2,0)</f>
        <v>David</v>
      </c>
      <c r="C12" t="str">
        <f>VLOOKUP(Table068__Page_18[[#This Row],[Emp
Id]],Table067__Page_18[#All],3,0)</f>
        <v>Johnson</v>
      </c>
      <c r="D12" t="str">
        <f>VLOOKUP(Table068__Page_18[[#This Row],[Emp
Id]],Table067__Page_18[#All],4,0)</f>
        <v>Marketing</v>
      </c>
      <c r="E12" t="str">
        <f>VLOOKUP(Table068__Page_18[[#This Row],[Emp
Id]],Table067__Page_18[#All],5,0)</f>
        <v>Pune</v>
      </c>
    </row>
    <row r="13" spans="1:8" x14ac:dyDescent="0.3">
      <c r="A13">
        <v>109</v>
      </c>
      <c r="B13" t="str">
        <f>VLOOKUP(Table068__Page_18[[#This Row],[Emp
Id]],Table067__Page_18[#All],2,0)</f>
        <v>Andrew</v>
      </c>
      <c r="C13" t="str">
        <f>VLOOKUP(Table068__Page_18[[#This Row],[Emp
Id]],Table067__Page_18[#All],3,0)</f>
        <v>Baisley</v>
      </c>
      <c r="D13" t="str">
        <f>VLOOKUP(Table068__Page_18[[#This Row],[Emp
Id]],Table067__Page_18[#All],4,0)</f>
        <v>IT</v>
      </c>
      <c r="E13" t="str">
        <f>VLOOKUP(Table068__Page_18[[#This Row],[Emp
Id]],Table067__Page_18[#All],5,0)</f>
        <v>Hyderabad</v>
      </c>
    </row>
    <row r="14" spans="1:8" x14ac:dyDescent="0.3">
      <c r="A14">
        <v>110</v>
      </c>
      <c r="B14" t="str">
        <f>VLOOKUP(Table068__Page_18[[#This Row],[Emp
Id]],Table067__Page_18[#All],2,0)</f>
        <v>Erica</v>
      </c>
      <c r="C14" t="str">
        <f>VLOOKUP(Table068__Page_18[[#This Row],[Emp
Id]],Table067__Page_18[#All],3,0)</f>
        <v>Irons</v>
      </c>
      <c r="D14" t="str">
        <f>VLOOKUP(Table068__Page_18[[#This Row],[Emp
Id]],Table067__Page_18[#All],4,0)</f>
        <v>IT</v>
      </c>
      <c r="E14" t="str">
        <f>VLOOKUP(Table068__Page_18[[#This Row],[Emp
Id]],Table067__Page_18[#All],5,0)</f>
        <v>Pune</v>
      </c>
    </row>
  </sheetData>
  <mergeCells count="1">
    <mergeCell ref="H2:H3"/>
  </mergeCells>
  <hyperlinks>
    <hyperlink ref="H2:H3" location="'LIST OF SHEET'!A1" display="LIST OF SHEET" xr:uid="{B0EE36D2-C197-4BA7-B71A-3B3648A5D599}"/>
  </hyperlink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C998-DD10-4600-B70F-B49445A9D395}">
  <dimension ref="A1:I14"/>
  <sheetViews>
    <sheetView workbookViewId="0">
      <selection activeCell="I2" sqref="I2:I3"/>
    </sheetView>
  </sheetViews>
  <sheetFormatPr defaultRowHeight="14.4" x14ac:dyDescent="0.3"/>
  <cols>
    <col min="1" max="1" width="15.88671875" bestFit="1" customWidth="1"/>
    <col min="2" max="2" width="22.6640625" bestFit="1" customWidth="1"/>
    <col min="3" max="3" width="14.5546875" bestFit="1" customWidth="1"/>
    <col min="9" max="9" width="14.33203125" customWidth="1"/>
  </cols>
  <sheetData>
    <row r="1" spans="1:9" ht="28.8" x14ac:dyDescent="0.55000000000000004">
      <c r="A1" s="62" t="s">
        <v>825</v>
      </c>
    </row>
    <row r="2" spans="1:9" ht="25.8" x14ac:dyDescent="0.5">
      <c r="A2" s="107" t="s">
        <v>826</v>
      </c>
      <c r="I2" s="126" t="s">
        <v>955</v>
      </c>
    </row>
    <row r="3" spans="1:9" x14ac:dyDescent="0.3">
      <c r="I3" s="126"/>
    </row>
    <row r="5" spans="1:9" x14ac:dyDescent="0.3">
      <c r="A5" t="s">
        <v>177</v>
      </c>
      <c r="B5" t="s">
        <v>801</v>
      </c>
      <c r="C5" t="s">
        <v>802</v>
      </c>
      <c r="F5" s="147" t="s">
        <v>920</v>
      </c>
      <c r="G5" s="147"/>
    </row>
    <row r="6" spans="1:9" x14ac:dyDescent="0.3">
      <c r="A6" t="s">
        <v>803</v>
      </c>
      <c r="B6">
        <v>92</v>
      </c>
      <c r="C6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A+</v>
      </c>
      <c r="F6" s="73" t="s">
        <v>814</v>
      </c>
      <c r="G6" s="97" t="s">
        <v>804</v>
      </c>
    </row>
    <row r="7" spans="1:9" x14ac:dyDescent="0.3">
      <c r="A7" t="s">
        <v>805</v>
      </c>
      <c r="B7">
        <v>88</v>
      </c>
      <c r="C7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A</v>
      </c>
      <c r="F7" s="75" t="s">
        <v>815</v>
      </c>
      <c r="G7" s="98" t="s">
        <v>224</v>
      </c>
    </row>
    <row r="8" spans="1:9" x14ac:dyDescent="0.3">
      <c r="A8" t="s">
        <v>806</v>
      </c>
      <c r="B8">
        <v>94</v>
      </c>
      <c r="C8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A+</v>
      </c>
      <c r="F8" s="73" t="s">
        <v>816</v>
      </c>
      <c r="G8" s="97" t="s">
        <v>808</v>
      </c>
    </row>
    <row r="9" spans="1:9" x14ac:dyDescent="0.3">
      <c r="A9" t="s">
        <v>807</v>
      </c>
      <c r="B9">
        <v>84</v>
      </c>
      <c r="C9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B+</v>
      </c>
      <c r="F9" s="75" t="s">
        <v>817</v>
      </c>
      <c r="G9" s="98" t="s">
        <v>225</v>
      </c>
    </row>
    <row r="10" spans="1:9" x14ac:dyDescent="0.3">
      <c r="A10" t="s">
        <v>809</v>
      </c>
      <c r="B10">
        <v>95</v>
      </c>
      <c r="C10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A+</v>
      </c>
      <c r="F10" s="73" t="s">
        <v>818</v>
      </c>
      <c r="G10" s="97" t="s">
        <v>819</v>
      </c>
    </row>
    <row r="11" spans="1:9" x14ac:dyDescent="0.3">
      <c r="A11" t="s">
        <v>810</v>
      </c>
      <c r="B11">
        <v>78</v>
      </c>
      <c r="C11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B</v>
      </c>
      <c r="F11" s="75" t="s">
        <v>820</v>
      </c>
      <c r="G11" s="98" t="s">
        <v>226</v>
      </c>
    </row>
    <row r="12" spans="1:9" x14ac:dyDescent="0.3">
      <c r="A12" t="s">
        <v>811</v>
      </c>
      <c r="B12">
        <v>59</v>
      </c>
      <c r="C12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D</v>
      </c>
      <c r="F12" s="73" t="s">
        <v>821</v>
      </c>
      <c r="G12" s="97" t="s">
        <v>822</v>
      </c>
    </row>
    <row r="13" spans="1:9" x14ac:dyDescent="0.3">
      <c r="A13" t="s">
        <v>812</v>
      </c>
      <c r="B13">
        <v>43</v>
      </c>
      <c r="C13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F</v>
      </c>
      <c r="F13" s="75" t="s">
        <v>823</v>
      </c>
      <c r="G13" s="98" t="s">
        <v>227</v>
      </c>
    </row>
    <row r="14" spans="1:9" x14ac:dyDescent="0.3">
      <c r="A14" t="s">
        <v>813</v>
      </c>
      <c r="B14">
        <v>90</v>
      </c>
      <c r="C14" t="str">
        <f>IF(Table080__Page_20[[#This Row],[Total Numbers
Earned]]&gt;=90,"A+",IF(Table080__Page_20[[#This Row],[Total Numbers
Earned]]&gt;85,"A",IF(Table080__Page_20[[#This Row],[Total Numbers
Earned]]&gt;80,"B+",IF(Table080__Page_20[[#This Row],[Total Numbers
Earned]]&gt;75,"B",IF(Table080__Page_20[[#This Row],[Total Numbers
Earned]]&gt;70,"C+",IF(Table080__Page_20[[#This Row],[Total Numbers
Earned]]&gt;65,"C",IF(Table080__Page_20[[#This Row],[Total Numbers
Earned]]&gt;60,"D+",IF(Table080__Page_20[[#This Row],[Total Numbers
Earned]]&gt;50,"D","F"))))))))</f>
        <v>A+</v>
      </c>
      <c r="F14" s="73" t="s">
        <v>824</v>
      </c>
      <c r="G14" s="97" t="s">
        <v>121</v>
      </c>
    </row>
  </sheetData>
  <mergeCells count="2">
    <mergeCell ref="F5:G5"/>
    <mergeCell ref="I2:I3"/>
  </mergeCells>
  <hyperlinks>
    <hyperlink ref="I2:I3" location="'LIST OF SHEET'!A1" display="LIST OF SHEET" xr:uid="{81F9D85C-6C4E-4ABB-9721-1B08F5E86F0E}"/>
  </hyperlinks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CAAF-0A14-449E-A082-B7FF618E99CB}">
  <dimension ref="A1:J48"/>
  <sheetViews>
    <sheetView workbookViewId="0">
      <selection activeCell="J2" sqref="J2:J3"/>
    </sheetView>
  </sheetViews>
  <sheetFormatPr defaultRowHeight="14.4" x14ac:dyDescent="0.3"/>
  <cols>
    <col min="1" max="1" width="9.21875" bestFit="1" customWidth="1"/>
    <col min="2" max="2" width="15.44140625" customWidth="1"/>
    <col min="3" max="3" width="12.21875" customWidth="1"/>
    <col min="4" max="4" width="12.88671875" customWidth="1"/>
    <col min="5" max="5" width="10.88671875" customWidth="1"/>
    <col min="7" max="7" width="11.5546875" customWidth="1"/>
    <col min="10" max="10" width="14.33203125" customWidth="1"/>
  </cols>
  <sheetData>
    <row r="1" spans="1:10" ht="28.8" x14ac:dyDescent="0.55000000000000004">
      <c r="A1" s="62" t="s">
        <v>827</v>
      </c>
    </row>
    <row r="2" spans="1:10" ht="23.4" x14ac:dyDescent="0.45">
      <c r="A2" s="108" t="s">
        <v>828</v>
      </c>
      <c r="J2" s="126" t="s">
        <v>955</v>
      </c>
    </row>
    <row r="3" spans="1:10" x14ac:dyDescent="0.3">
      <c r="J3" s="126"/>
    </row>
    <row r="4" spans="1:10" x14ac:dyDescent="0.3">
      <c r="A4" s="148" t="s">
        <v>829</v>
      </c>
      <c r="B4" s="148"/>
      <c r="D4" s="140" t="s">
        <v>830</v>
      </c>
      <c r="E4" s="140"/>
      <c r="G4" s="140" t="s">
        <v>831</v>
      </c>
      <c r="H4" s="140"/>
    </row>
    <row r="5" spans="1:10" x14ac:dyDescent="0.3">
      <c r="A5" t="s">
        <v>585</v>
      </c>
      <c r="B5" t="s">
        <v>584</v>
      </c>
      <c r="D5" t="s">
        <v>585</v>
      </c>
      <c r="E5" t="s">
        <v>212</v>
      </c>
      <c r="G5" t="s">
        <v>585</v>
      </c>
      <c r="H5" t="s">
        <v>213</v>
      </c>
    </row>
    <row r="6" spans="1:10" x14ac:dyDescent="0.3">
      <c r="A6" t="s">
        <v>587</v>
      </c>
      <c r="B6" t="s">
        <v>586</v>
      </c>
      <c r="D6" t="s">
        <v>587</v>
      </c>
      <c r="E6" t="s">
        <v>149</v>
      </c>
      <c r="G6" t="s">
        <v>587</v>
      </c>
      <c r="H6">
        <v>92671</v>
      </c>
    </row>
    <row r="7" spans="1:10" x14ac:dyDescent="0.3">
      <c r="A7" t="s">
        <v>590</v>
      </c>
      <c r="B7" t="s">
        <v>588</v>
      </c>
      <c r="D7" t="s">
        <v>590</v>
      </c>
      <c r="E7" t="s">
        <v>589</v>
      </c>
      <c r="G7" t="s">
        <v>590</v>
      </c>
      <c r="H7">
        <v>84120</v>
      </c>
    </row>
    <row r="8" spans="1:10" x14ac:dyDescent="0.3">
      <c r="A8" t="s">
        <v>592</v>
      </c>
      <c r="B8" t="s">
        <v>591</v>
      </c>
      <c r="D8" t="s">
        <v>592</v>
      </c>
      <c r="E8" t="s">
        <v>387</v>
      </c>
      <c r="G8" t="s">
        <v>592</v>
      </c>
      <c r="H8">
        <v>50793</v>
      </c>
    </row>
    <row r="9" spans="1:10" x14ac:dyDescent="0.3">
      <c r="A9" t="s">
        <v>595</v>
      </c>
      <c r="B9" t="s">
        <v>593</v>
      </c>
      <c r="D9" t="s">
        <v>614</v>
      </c>
      <c r="E9" t="s">
        <v>387</v>
      </c>
      <c r="G9" t="s">
        <v>595</v>
      </c>
      <c r="H9">
        <v>77833</v>
      </c>
    </row>
    <row r="10" spans="1:10" x14ac:dyDescent="0.3">
      <c r="A10" t="s">
        <v>597</v>
      </c>
      <c r="B10" t="s">
        <v>596</v>
      </c>
      <c r="D10" t="s">
        <v>616</v>
      </c>
      <c r="E10" t="s">
        <v>149</v>
      </c>
      <c r="G10" t="s">
        <v>597</v>
      </c>
      <c r="H10">
        <v>58914</v>
      </c>
    </row>
    <row r="11" spans="1:10" x14ac:dyDescent="0.3">
      <c r="A11" t="s">
        <v>600</v>
      </c>
      <c r="B11" t="s">
        <v>598</v>
      </c>
      <c r="D11" t="s">
        <v>618</v>
      </c>
      <c r="E11" t="s">
        <v>599</v>
      </c>
      <c r="G11" t="s">
        <v>600</v>
      </c>
      <c r="H11">
        <v>51096</v>
      </c>
    </row>
    <row r="12" spans="1:10" x14ac:dyDescent="0.3">
      <c r="A12" t="s">
        <v>602</v>
      </c>
      <c r="B12" t="s">
        <v>601</v>
      </c>
      <c r="D12" t="s">
        <v>620</v>
      </c>
      <c r="E12" t="s">
        <v>589</v>
      </c>
      <c r="G12" t="s">
        <v>618</v>
      </c>
      <c r="H12">
        <v>88965</v>
      </c>
    </row>
    <row r="13" spans="1:10" x14ac:dyDescent="0.3">
      <c r="A13" t="s">
        <v>604</v>
      </c>
      <c r="B13" t="s">
        <v>603</v>
      </c>
      <c r="D13" t="s">
        <v>622</v>
      </c>
      <c r="E13" t="s">
        <v>149</v>
      </c>
      <c r="G13" t="s">
        <v>620</v>
      </c>
      <c r="H13">
        <v>63288</v>
      </c>
    </row>
    <row r="14" spans="1:10" x14ac:dyDescent="0.3">
      <c r="A14" t="s">
        <v>606</v>
      </c>
      <c r="B14" t="s">
        <v>605</v>
      </c>
      <c r="D14" t="s">
        <v>626</v>
      </c>
      <c r="E14" t="s">
        <v>149</v>
      </c>
      <c r="G14" t="s">
        <v>622</v>
      </c>
      <c r="H14">
        <v>45742</v>
      </c>
    </row>
    <row r="15" spans="1:10" x14ac:dyDescent="0.3">
      <c r="A15" t="s">
        <v>608</v>
      </c>
      <c r="B15" t="s">
        <v>607</v>
      </c>
      <c r="D15" t="s">
        <v>595</v>
      </c>
      <c r="E15" t="s">
        <v>594</v>
      </c>
      <c r="G15" t="s">
        <v>623</v>
      </c>
      <c r="H15">
        <v>88354</v>
      </c>
    </row>
    <row r="16" spans="1:10" x14ac:dyDescent="0.3">
      <c r="A16" t="s">
        <v>610</v>
      </c>
      <c r="B16" t="s">
        <v>609</v>
      </c>
      <c r="D16" t="s">
        <v>597</v>
      </c>
      <c r="E16" t="s">
        <v>403</v>
      </c>
      <c r="G16" t="s">
        <v>625</v>
      </c>
      <c r="H16">
        <v>76641</v>
      </c>
    </row>
    <row r="17" spans="1:8" x14ac:dyDescent="0.3">
      <c r="A17" t="s">
        <v>612</v>
      </c>
      <c r="B17" t="s">
        <v>611</v>
      </c>
      <c r="D17" t="s">
        <v>600</v>
      </c>
      <c r="E17" t="s">
        <v>599</v>
      </c>
      <c r="G17" t="s">
        <v>626</v>
      </c>
      <c r="H17">
        <v>61678</v>
      </c>
    </row>
    <row r="18" spans="1:8" x14ac:dyDescent="0.3">
      <c r="A18" t="s">
        <v>614</v>
      </c>
      <c r="B18" t="s">
        <v>613</v>
      </c>
      <c r="D18" t="s">
        <v>623</v>
      </c>
      <c r="E18" t="s">
        <v>387</v>
      </c>
      <c r="G18" t="s">
        <v>602</v>
      </c>
      <c r="H18">
        <v>83735</v>
      </c>
    </row>
    <row r="19" spans="1:8" x14ac:dyDescent="0.3">
      <c r="A19" t="s">
        <v>616</v>
      </c>
      <c r="B19" t="s">
        <v>615</v>
      </c>
      <c r="D19" t="s">
        <v>625</v>
      </c>
      <c r="E19" t="s">
        <v>387</v>
      </c>
      <c r="G19" t="s">
        <v>604</v>
      </c>
      <c r="H19">
        <v>74418</v>
      </c>
    </row>
    <row r="20" spans="1:8" x14ac:dyDescent="0.3">
      <c r="A20" t="s">
        <v>618</v>
      </c>
      <c r="B20" t="s">
        <v>617</v>
      </c>
      <c r="D20" t="s">
        <v>602</v>
      </c>
      <c r="E20" t="s">
        <v>387</v>
      </c>
      <c r="G20" t="s">
        <v>606</v>
      </c>
      <c r="H20">
        <v>51366</v>
      </c>
    </row>
    <row r="21" spans="1:8" x14ac:dyDescent="0.3">
      <c r="A21" t="s">
        <v>620</v>
      </c>
      <c r="B21" t="s">
        <v>619</v>
      </c>
      <c r="D21" t="s">
        <v>604</v>
      </c>
      <c r="E21" t="s">
        <v>599</v>
      </c>
      <c r="G21" t="s">
        <v>608</v>
      </c>
      <c r="H21">
        <v>54600</v>
      </c>
    </row>
    <row r="22" spans="1:8" x14ac:dyDescent="0.3">
      <c r="A22" t="s">
        <v>622</v>
      </c>
      <c r="B22" t="s">
        <v>621</v>
      </c>
      <c r="D22" t="s">
        <v>606</v>
      </c>
      <c r="E22" t="s">
        <v>149</v>
      </c>
      <c r="G22" t="s">
        <v>610</v>
      </c>
      <c r="H22">
        <v>93509</v>
      </c>
    </row>
    <row r="23" spans="1:8" x14ac:dyDescent="0.3">
      <c r="A23" t="s">
        <v>623</v>
      </c>
      <c r="B23" t="s">
        <v>329</v>
      </c>
      <c r="D23" t="s">
        <v>608</v>
      </c>
      <c r="E23" t="s">
        <v>403</v>
      </c>
      <c r="G23" t="s">
        <v>612</v>
      </c>
      <c r="H23">
        <v>80105</v>
      </c>
    </row>
    <row r="24" spans="1:8" x14ac:dyDescent="0.3">
      <c r="A24" t="s">
        <v>625</v>
      </c>
      <c r="B24" t="s">
        <v>624</v>
      </c>
      <c r="D24" t="s">
        <v>610</v>
      </c>
      <c r="E24" t="s">
        <v>589</v>
      </c>
      <c r="G24" t="s">
        <v>614</v>
      </c>
      <c r="H24">
        <v>60802</v>
      </c>
    </row>
    <row r="25" spans="1:8" x14ac:dyDescent="0.3">
      <c r="A25" t="s">
        <v>626</v>
      </c>
      <c r="B25" t="s">
        <v>361</v>
      </c>
      <c r="D25" t="s">
        <v>612</v>
      </c>
      <c r="E25" t="s">
        <v>403</v>
      </c>
      <c r="G25" t="s">
        <v>616</v>
      </c>
      <c r="H25">
        <v>76260</v>
      </c>
    </row>
    <row r="27" spans="1:8" x14ac:dyDescent="0.3">
      <c r="B27" s="140" t="s">
        <v>280</v>
      </c>
      <c r="C27" s="140"/>
      <c r="D27" s="140"/>
      <c r="E27" s="140"/>
    </row>
    <row r="28" spans="1:8" x14ac:dyDescent="0.3">
      <c r="B28" s="99" t="s">
        <v>585</v>
      </c>
      <c r="C28" s="99" t="s">
        <v>584</v>
      </c>
      <c r="D28" s="99" t="s">
        <v>379</v>
      </c>
      <c r="E28" s="99" t="s">
        <v>213</v>
      </c>
    </row>
    <row r="29" spans="1:8" x14ac:dyDescent="0.3">
      <c r="B29" s="76" t="s">
        <v>587</v>
      </c>
      <c r="C29" s="76" t="s">
        <v>586</v>
      </c>
      <c r="D29" s="76" t="str">
        <f>VLOOKUP(B29,Table082__Page_20[#All],2,0)</f>
        <v>Sales</v>
      </c>
      <c r="E29" s="76">
        <f>VLOOKUP(B29,Table083__Page_20[#All],2,0)</f>
        <v>92671</v>
      </c>
    </row>
    <row r="30" spans="1:8" x14ac:dyDescent="0.3">
      <c r="B30" s="74" t="s">
        <v>590</v>
      </c>
      <c r="C30" s="74" t="s">
        <v>588</v>
      </c>
      <c r="D30" s="76" t="str">
        <f>VLOOKUP(B30,Table082__Page_20[#All],2,0)</f>
        <v>Operations</v>
      </c>
      <c r="E30" s="76">
        <f>VLOOKUP(B30,Table083__Page_20[#All],2,0)</f>
        <v>84120</v>
      </c>
    </row>
    <row r="31" spans="1:8" x14ac:dyDescent="0.3">
      <c r="B31" s="76" t="s">
        <v>592</v>
      </c>
      <c r="C31" s="76" t="s">
        <v>591</v>
      </c>
      <c r="D31" s="76" t="str">
        <f>VLOOKUP(B31,Table082__Page_20[#All],2,0)</f>
        <v>Marketing</v>
      </c>
      <c r="E31" s="76">
        <f>VLOOKUP(B31,Table083__Page_20[#All],2,0)</f>
        <v>50793</v>
      </c>
    </row>
    <row r="32" spans="1:8" x14ac:dyDescent="0.3">
      <c r="B32" s="74" t="s">
        <v>595</v>
      </c>
      <c r="C32" s="74" t="s">
        <v>593</v>
      </c>
      <c r="D32" s="76" t="str">
        <f>VLOOKUP(B32,Table082__Page_20[#All],2,0)</f>
        <v>HR</v>
      </c>
      <c r="E32" s="76">
        <f>VLOOKUP(B32,Table083__Page_20[#All],2,0)</f>
        <v>77833</v>
      </c>
    </row>
    <row r="33" spans="2:5" x14ac:dyDescent="0.3">
      <c r="B33" s="76" t="s">
        <v>597</v>
      </c>
      <c r="C33" s="76" t="s">
        <v>596</v>
      </c>
      <c r="D33" s="76" t="str">
        <f>VLOOKUP(B33,Table082__Page_20[#All],2,0)</f>
        <v>Finance</v>
      </c>
      <c r="E33" s="76">
        <f>VLOOKUP(B33,Table083__Page_20[#All],2,0)</f>
        <v>58914</v>
      </c>
    </row>
    <row r="34" spans="2:5" x14ac:dyDescent="0.3">
      <c r="B34" s="74" t="s">
        <v>600</v>
      </c>
      <c r="C34" s="74" t="s">
        <v>598</v>
      </c>
      <c r="D34" s="76" t="str">
        <f>VLOOKUP(B34,Table082__Page_20[#All],2,0)</f>
        <v>IT</v>
      </c>
      <c r="E34" s="76">
        <f>VLOOKUP(B34,Table083__Page_20[#All],2,0)</f>
        <v>51096</v>
      </c>
    </row>
    <row r="35" spans="2:5" x14ac:dyDescent="0.3">
      <c r="B35" s="76" t="s">
        <v>602</v>
      </c>
      <c r="C35" s="76" t="s">
        <v>601</v>
      </c>
      <c r="D35" s="76" t="str">
        <f>VLOOKUP(B35,Table082__Page_20[#All],2,0)</f>
        <v>Marketing</v>
      </c>
      <c r="E35" s="76">
        <f>VLOOKUP(B35,Table083__Page_20[#All],2,0)</f>
        <v>83735</v>
      </c>
    </row>
    <row r="36" spans="2:5" x14ac:dyDescent="0.3">
      <c r="B36" s="74" t="s">
        <v>604</v>
      </c>
      <c r="C36" s="74" t="s">
        <v>603</v>
      </c>
      <c r="D36" s="76" t="str">
        <f>VLOOKUP(B36,Table082__Page_20[#All],2,0)</f>
        <v>IT</v>
      </c>
      <c r="E36" s="76">
        <f>VLOOKUP(B36,Table083__Page_20[#All],2,0)</f>
        <v>74418</v>
      </c>
    </row>
    <row r="37" spans="2:5" x14ac:dyDescent="0.3">
      <c r="B37" s="76" t="s">
        <v>606</v>
      </c>
      <c r="C37" s="76" t="s">
        <v>605</v>
      </c>
      <c r="D37" s="76" t="str">
        <f>VLOOKUP(B37,Table082__Page_20[#All],2,0)</f>
        <v>Sales</v>
      </c>
      <c r="E37" s="76">
        <f>VLOOKUP(B37,Table083__Page_20[#All],2,0)</f>
        <v>51366</v>
      </c>
    </row>
    <row r="38" spans="2:5" x14ac:dyDescent="0.3">
      <c r="B38" s="74" t="s">
        <v>608</v>
      </c>
      <c r="C38" s="74" t="s">
        <v>607</v>
      </c>
      <c r="D38" s="76" t="str">
        <f>VLOOKUP(B38,Table082__Page_20[#All],2,0)</f>
        <v>Finance</v>
      </c>
      <c r="E38" s="76">
        <f>VLOOKUP(B38,Table083__Page_20[#All],2,0)</f>
        <v>54600</v>
      </c>
    </row>
    <row r="39" spans="2:5" x14ac:dyDescent="0.3">
      <c r="B39" s="76" t="s">
        <v>610</v>
      </c>
      <c r="C39" s="76" t="s">
        <v>609</v>
      </c>
      <c r="D39" s="76" t="str">
        <f>VLOOKUP(B39,Table082__Page_20[#All],2,0)</f>
        <v>Operations</v>
      </c>
      <c r="E39" s="76">
        <f>VLOOKUP(B39,Table083__Page_20[#All],2,0)</f>
        <v>93509</v>
      </c>
    </row>
    <row r="40" spans="2:5" x14ac:dyDescent="0.3">
      <c r="B40" s="74" t="s">
        <v>612</v>
      </c>
      <c r="C40" s="74" t="s">
        <v>611</v>
      </c>
      <c r="D40" s="76" t="str">
        <f>VLOOKUP(B40,Table082__Page_20[#All],2,0)</f>
        <v>Finance</v>
      </c>
      <c r="E40" s="76">
        <f>VLOOKUP(B40,Table083__Page_20[#All],2,0)</f>
        <v>80105</v>
      </c>
    </row>
    <row r="41" spans="2:5" x14ac:dyDescent="0.3">
      <c r="B41" s="76" t="s">
        <v>614</v>
      </c>
      <c r="C41" s="76" t="s">
        <v>613</v>
      </c>
      <c r="D41" s="76" t="str">
        <f>VLOOKUP(B41,Table082__Page_20[#All],2,0)</f>
        <v>Marketing</v>
      </c>
      <c r="E41" s="76">
        <f>VLOOKUP(B41,Table083__Page_20[#All],2,0)</f>
        <v>60802</v>
      </c>
    </row>
    <row r="42" spans="2:5" x14ac:dyDescent="0.3">
      <c r="B42" s="74" t="s">
        <v>616</v>
      </c>
      <c r="C42" s="74" t="s">
        <v>615</v>
      </c>
      <c r="D42" s="76" t="str">
        <f>VLOOKUP(B42,Table082__Page_20[#All],2,0)</f>
        <v>Sales</v>
      </c>
      <c r="E42" s="76">
        <f>VLOOKUP(B42,Table083__Page_20[#All],2,0)</f>
        <v>76260</v>
      </c>
    </row>
    <row r="43" spans="2:5" x14ac:dyDescent="0.3">
      <c r="B43" s="76" t="s">
        <v>618</v>
      </c>
      <c r="C43" s="76" t="s">
        <v>617</v>
      </c>
      <c r="D43" s="76" t="str">
        <f>VLOOKUP(B43,Table082__Page_20[#All],2,0)</f>
        <v>IT</v>
      </c>
      <c r="E43" s="76">
        <f>VLOOKUP(B43,Table083__Page_20[#All],2,0)</f>
        <v>88965</v>
      </c>
    </row>
    <row r="44" spans="2:5" x14ac:dyDescent="0.3">
      <c r="B44" s="74" t="s">
        <v>620</v>
      </c>
      <c r="C44" s="74" t="s">
        <v>619</v>
      </c>
      <c r="D44" s="76" t="str">
        <f>VLOOKUP(B44,Table082__Page_20[#All],2,0)</f>
        <v>Operations</v>
      </c>
      <c r="E44" s="76">
        <f>VLOOKUP(B44,Table083__Page_20[#All],2,0)</f>
        <v>63288</v>
      </c>
    </row>
    <row r="45" spans="2:5" x14ac:dyDescent="0.3">
      <c r="B45" s="76" t="s">
        <v>622</v>
      </c>
      <c r="C45" s="76" t="s">
        <v>621</v>
      </c>
      <c r="D45" s="76" t="str">
        <f>VLOOKUP(B45,Table082__Page_20[#All],2,0)</f>
        <v>Sales</v>
      </c>
      <c r="E45" s="76">
        <f>VLOOKUP(B45,Table083__Page_20[#All],2,0)</f>
        <v>45742</v>
      </c>
    </row>
    <row r="46" spans="2:5" x14ac:dyDescent="0.3">
      <c r="B46" s="74" t="s">
        <v>623</v>
      </c>
      <c r="C46" s="74" t="s">
        <v>329</v>
      </c>
      <c r="D46" s="76" t="str">
        <f>VLOOKUP(B46,Table082__Page_20[#All],2,0)</f>
        <v>Marketing</v>
      </c>
      <c r="E46" s="76">
        <f>VLOOKUP(B46,Table083__Page_20[#All],2,0)</f>
        <v>88354</v>
      </c>
    </row>
    <row r="47" spans="2:5" x14ac:dyDescent="0.3">
      <c r="B47" s="76" t="s">
        <v>625</v>
      </c>
      <c r="C47" s="76" t="s">
        <v>624</v>
      </c>
      <c r="D47" s="76" t="str">
        <f>VLOOKUP(B47,Table082__Page_20[#All],2,0)</f>
        <v>Marketing</v>
      </c>
      <c r="E47" s="76">
        <f>VLOOKUP(B47,Table083__Page_20[#All],2,0)</f>
        <v>76641</v>
      </c>
    </row>
    <row r="48" spans="2:5" x14ac:dyDescent="0.3">
      <c r="B48" s="100" t="s">
        <v>626</v>
      </c>
      <c r="C48" s="100" t="s">
        <v>361</v>
      </c>
      <c r="D48" s="101" t="str">
        <f>VLOOKUP(B48,Table082__Page_20[#All],2,0)</f>
        <v>Sales</v>
      </c>
      <c r="E48" s="101">
        <f>VLOOKUP(B48,Table083__Page_20[#All],2,0)</f>
        <v>61678</v>
      </c>
    </row>
  </sheetData>
  <mergeCells count="5">
    <mergeCell ref="B27:E27"/>
    <mergeCell ref="A4:B4"/>
    <mergeCell ref="D4:E4"/>
    <mergeCell ref="G4:H4"/>
    <mergeCell ref="J2:J3"/>
  </mergeCells>
  <hyperlinks>
    <hyperlink ref="J2:J3" location="'LIST OF SHEET'!A1" display="LIST OF SHEET" xr:uid="{4166AE5D-6E24-4479-803C-A8BED0ED4F8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4F58-32D7-47D6-B11C-E1665DA768D9}">
  <dimension ref="A1:P40"/>
  <sheetViews>
    <sheetView workbookViewId="0">
      <selection activeCell="F2" sqref="F2:F3"/>
    </sheetView>
  </sheetViews>
  <sheetFormatPr defaultRowHeight="14.4" x14ac:dyDescent="0.3"/>
  <cols>
    <col min="1" max="1" width="7" bestFit="1" customWidth="1"/>
    <col min="2" max="2" width="12.109375" bestFit="1" customWidth="1"/>
    <col min="3" max="3" width="8" bestFit="1" customWidth="1"/>
    <col min="4" max="4" width="9" bestFit="1" customWidth="1"/>
    <col min="5" max="5" width="8.33203125" bestFit="1" customWidth="1"/>
    <col min="6" max="6" width="12.33203125" bestFit="1" customWidth="1"/>
    <col min="7" max="7" width="8.44140625" bestFit="1" customWidth="1"/>
    <col min="8" max="8" width="5.44140625" bestFit="1" customWidth="1"/>
    <col min="12" max="12" width="13.44140625" customWidth="1"/>
    <col min="14" max="14" width="11.33203125" customWidth="1"/>
  </cols>
  <sheetData>
    <row r="1" spans="1:16" ht="28.8" x14ac:dyDescent="0.55000000000000004">
      <c r="A1" s="62" t="s">
        <v>900</v>
      </c>
    </row>
    <row r="2" spans="1:16" ht="23.4" x14ac:dyDescent="0.45">
      <c r="A2" s="20" t="s">
        <v>208</v>
      </c>
      <c r="F2" s="126" t="s">
        <v>955</v>
      </c>
    </row>
    <row r="3" spans="1:16" ht="23.4" x14ac:dyDescent="0.45">
      <c r="A3" s="20"/>
      <c r="F3" s="126"/>
    </row>
    <row r="6" spans="1:16" x14ac:dyDescent="0.3">
      <c r="A6" t="s">
        <v>832</v>
      </c>
      <c r="B6" t="s">
        <v>355</v>
      </c>
      <c r="C6" t="s">
        <v>212</v>
      </c>
      <c r="D6" t="s">
        <v>576</v>
      </c>
      <c r="E6" t="s">
        <v>213</v>
      </c>
      <c r="F6" t="s">
        <v>833</v>
      </c>
      <c r="G6" t="s">
        <v>834</v>
      </c>
      <c r="H6" t="s">
        <v>835</v>
      </c>
      <c r="I6" t="s">
        <v>17</v>
      </c>
      <c r="K6" t="s">
        <v>212</v>
      </c>
      <c r="L6" t="s">
        <v>833</v>
      </c>
      <c r="M6" t="s">
        <v>834</v>
      </c>
      <c r="O6" t="s">
        <v>576</v>
      </c>
      <c r="P6" t="s">
        <v>835</v>
      </c>
    </row>
    <row r="7" spans="1:16" x14ac:dyDescent="0.3">
      <c r="A7">
        <v>1</v>
      </c>
      <c r="B7" t="s">
        <v>215</v>
      </c>
      <c r="C7" t="s">
        <v>149</v>
      </c>
      <c r="D7" t="s">
        <v>836</v>
      </c>
      <c r="E7">
        <v>15625</v>
      </c>
      <c r="F7">
        <f>VLOOKUP(Table094__Page_23[[#This Row],[Dept]],Table095__Page_23[#All],2,0)</f>
        <v>100</v>
      </c>
      <c r="G7">
        <f>VLOOKUP(Table094__Page_23[[#This Row],[Dept]],Table095__Page_23[#All],3,0)</f>
        <v>900</v>
      </c>
      <c r="H7">
        <f>VLOOKUP(Table094__Page_23[[#This Row],[Region]],Table096__Page_23[#All],2,0)</f>
        <v>100</v>
      </c>
      <c r="I7" t="str">
        <f>IF(Table094__Page_23[[#This Row],[Salary]]&gt;15000,"A",IF(Table094__Page_23[[#This Row],[Salary]]&gt;10000,"B","C"))</f>
        <v>A</v>
      </c>
      <c r="K7" t="s">
        <v>149</v>
      </c>
      <c r="L7">
        <v>100</v>
      </c>
      <c r="M7">
        <v>900</v>
      </c>
      <c r="O7" t="s">
        <v>836</v>
      </c>
      <c r="P7">
        <v>100</v>
      </c>
    </row>
    <row r="8" spans="1:16" x14ac:dyDescent="0.3">
      <c r="A8">
        <v>2</v>
      </c>
      <c r="B8" t="s">
        <v>216</v>
      </c>
      <c r="C8" t="s">
        <v>149</v>
      </c>
      <c r="D8" t="s">
        <v>837</v>
      </c>
      <c r="E8">
        <v>12500</v>
      </c>
      <c r="F8">
        <f>VLOOKUP(Table094__Page_23[[#This Row],[Dept]],Table095__Page_23[#All],2,0)</f>
        <v>100</v>
      </c>
      <c r="G8">
        <f>VLOOKUP(Table094__Page_23[[#This Row],[Dept]],Table095__Page_23[#All],3,0)</f>
        <v>900</v>
      </c>
      <c r="H8">
        <f>VLOOKUP(Table094__Page_23[[#This Row],[Region]],Table096__Page_23[#All],2,0)</f>
        <v>200</v>
      </c>
      <c r="I8" t="str">
        <f>IF(Table094__Page_23[[#This Row],[Salary]]&gt;15000,"A",IF(Table094__Page_23[[#This Row],[Salary]]&gt;10000,"B","C"))</f>
        <v>B</v>
      </c>
      <c r="K8" t="s">
        <v>221</v>
      </c>
      <c r="L8">
        <v>200</v>
      </c>
      <c r="M8">
        <v>800</v>
      </c>
      <c r="O8" t="s">
        <v>837</v>
      </c>
      <c r="P8">
        <v>200</v>
      </c>
    </row>
    <row r="9" spans="1:16" x14ac:dyDescent="0.3">
      <c r="A9">
        <v>3</v>
      </c>
      <c r="B9" t="s">
        <v>217</v>
      </c>
      <c r="C9" t="s">
        <v>221</v>
      </c>
      <c r="D9" t="s">
        <v>836</v>
      </c>
      <c r="E9">
        <v>8750</v>
      </c>
      <c r="F9">
        <f>VLOOKUP(Table094__Page_23[[#This Row],[Dept]],Table095__Page_23[#All],2,0)</f>
        <v>200</v>
      </c>
      <c r="G9">
        <f>VLOOKUP(Table094__Page_23[[#This Row],[Dept]],Table095__Page_23[#All],3,0)</f>
        <v>800</v>
      </c>
      <c r="H9">
        <f>VLOOKUP(Table094__Page_23[[#This Row],[Region]],Table096__Page_23[#All],2,0)</f>
        <v>100</v>
      </c>
      <c r="I9" t="str">
        <f>IF(Table094__Page_23[[#This Row],[Salary]]&gt;15000,"A",IF(Table094__Page_23[[#This Row],[Salary]]&gt;10000,"B","C"))</f>
        <v>C</v>
      </c>
      <c r="K9" t="s">
        <v>222</v>
      </c>
      <c r="L9">
        <v>300</v>
      </c>
      <c r="M9">
        <v>700</v>
      </c>
      <c r="O9" t="s">
        <v>841</v>
      </c>
      <c r="P9">
        <v>300</v>
      </c>
    </row>
    <row r="10" spans="1:16" x14ac:dyDescent="0.3">
      <c r="A10">
        <v>4</v>
      </c>
      <c r="B10" t="s">
        <v>218</v>
      </c>
      <c r="C10" t="s">
        <v>222</v>
      </c>
      <c r="D10" t="s">
        <v>836</v>
      </c>
      <c r="E10">
        <v>15000</v>
      </c>
      <c r="F10">
        <f>VLOOKUP(Table094__Page_23[[#This Row],[Dept]],Table095__Page_23[#All],2,0)</f>
        <v>300</v>
      </c>
      <c r="G10">
        <f>VLOOKUP(Table094__Page_23[[#This Row],[Dept]],Table095__Page_23[#All],3,0)</f>
        <v>700</v>
      </c>
      <c r="H10">
        <f>VLOOKUP(Table094__Page_23[[#This Row],[Region]],Table096__Page_23[#All],2,0)</f>
        <v>100</v>
      </c>
      <c r="I10" t="str">
        <f>IF(Table094__Page_23[[#This Row],[Salary]]&gt;15000,"A",IF(Table094__Page_23[[#This Row],[Salary]]&gt;10000,"B","C"))</f>
        <v>B</v>
      </c>
      <c r="K10" t="s">
        <v>403</v>
      </c>
      <c r="L10">
        <v>400</v>
      </c>
      <c r="M10">
        <v>600</v>
      </c>
      <c r="O10" t="s">
        <v>678</v>
      </c>
      <c r="P10">
        <v>400</v>
      </c>
    </row>
    <row r="11" spans="1:16" x14ac:dyDescent="0.3">
      <c r="A11">
        <v>5</v>
      </c>
      <c r="B11" t="s">
        <v>219</v>
      </c>
      <c r="C11" t="s">
        <v>222</v>
      </c>
      <c r="D11" t="s">
        <v>836</v>
      </c>
      <c r="E11">
        <v>8875</v>
      </c>
      <c r="F11">
        <f>VLOOKUP(Table094__Page_23[[#This Row],[Dept]],Table095__Page_23[#All],2,0)</f>
        <v>300</v>
      </c>
      <c r="G11">
        <f>VLOOKUP(Table094__Page_23[[#This Row],[Dept]],Table095__Page_23[#All],3,0)</f>
        <v>700</v>
      </c>
      <c r="H11">
        <f>VLOOKUP(Table094__Page_23[[#This Row],[Region]],Table096__Page_23[#All],2,0)</f>
        <v>100</v>
      </c>
      <c r="I11" t="str">
        <f>IF(Table094__Page_23[[#This Row],[Salary]]&gt;15000,"A",IF(Table094__Page_23[[#This Row],[Salary]]&gt;10000,"B","C"))</f>
        <v>C</v>
      </c>
      <c r="K11" t="s">
        <v>843</v>
      </c>
      <c r="L11">
        <v>500</v>
      </c>
      <c r="M11">
        <v>500</v>
      </c>
    </row>
    <row r="12" spans="1:16" x14ac:dyDescent="0.3">
      <c r="A12">
        <v>6</v>
      </c>
      <c r="B12" t="s">
        <v>220</v>
      </c>
      <c r="C12" t="s">
        <v>222</v>
      </c>
      <c r="D12" t="s">
        <v>836</v>
      </c>
      <c r="E12">
        <v>8875</v>
      </c>
      <c r="F12">
        <f>VLOOKUP(Table094__Page_23[[#This Row],[Dept]],Table095__Page_23[#All],2,0)</f>
        <v>300</v>
      </c>
      <c r="G12">
        <f>VLOOKUP(Table094__Page_23[[#This Row],[Dept]],Table095__Page_23[#All],3,0)</f>
        <v>700</v>
      </c>
      <c r="H12">
        <f>VLOOKUP(Table094__Page_23[[#This Row],[Region]],Table096__Page_23[#All],2,0)</f>
        <v>100</v>
      </c>
      <c r="I12" t="str">
        <f>IF(Table094__Page_23[[#This Row],[Salary]]&gt;15000,"A",IF(Table094__Page_23[[#This Row],[Salary]]&gt;10000,"B","C"))</f>
        <v>C</v>
      </c>
      <c r="K12" t="s">
        <v>846</v>
      </c>
      <c r="L12">
        <v>600</v>
      </c>
      <c r="M12">
        <v>400</v>
      </c>
    </row>
    <row r="13" spans="1:16" x14ac:dyDescent="0.3">
      <c r="A13">
        <v>7</v>
      </c>
      <c r="B13" t="s">
        <v>838</v>
      </c>
      <c r="C13" t="s">
        <v>149</v>
      </c>
      <c r="D13" t="s">
        <v>836</v>
      </c>
      <c r="E13">
        <v>10625</v>
      </c>
      <c r="F13">
        <f>VLOOKUP(Table094__Page_23[[#This Row],[Dept]],Table095__Page_23[#All],2,0)</f>
        <v>100</v>
      </c>
      <c r="G13">
        <f>VLOOKUP(Table094__Page_23[[#This Row],[Dept]],Table095__Page_23[#All],3,0)</f>
        <v>900</v>
      </c>
      <c r="H13">
        <f>VLOOKUP(Table094__Page_23[[#This Row],[Region]],Table096__Page_23[#All],2,0)</f>
        <v>100</v>
      </c>
      <c r="I13" t="str">
        <f>IF(Table094__Page_23[[#This Row],[Salary]]&gt;15000,"A",IF(Table094__Page_23[[#This Row],[Salary]]&gt;10000,"B","C"))</f>
        <v>B</v>
      </c>
      <c r="K13" t="s">
        <v>848</v>
      </c>
      <c r="L13">
        <v>700</v>
      </c>
      <c r="M13">
        <v>300</v>
      </c>
    </row>
    <row r="14" spans="1:16" x14ac:dyDescent="0.3">
      <c r="A14">
        <v>8</v>
      </c>
      <c r="B14" t="s">
        <v>839</v>
      </c>
      <c r="C14" t="s">
        <v>221</v>
      </c>
      <c r="D14" t="s">
        <v>837</v>
      </c>
      <c r="E14">
        <v>11250</v>
      </c>
      <c r="F14">
        <f>VLOOKUP(Table094__Page_23[[#This Row],[Dept]],Table095__Page_23[#All],2,0)</f>
        <v>200</v>
      </c>
      <c r="G14">
        <f>VLOOKUP(Table094__Page_23[[#This Row],[Dept]],Table095__Page_23[#All],3,0)</f>
        <v>800</v>
      </c>
      <c r="H14">
        <f>VLOOKUP(Table094__Page_23[[#This Row],[Region]],Table096__Page_23[#All],2,0)</f>
        <v>200</v>
      </c>
      <c r="I14" t="str">
        <f>IF(Table094__Page_23[[#This Row],[Salary]]&gt;15000,"A",IF(Table094__Page_23[[#This Row],[Salary]]&gt;10000,"B","C"))</f>
        <v>B</v>
      </c>
      <c r="K14" t="s">
        <v>853</v>
      </c>
      <c r="L14">
        <v>800</v>
      </c>
      <c r="M14">
        <v>200</v>
      </c>
    </row>
    <row r="15" spans="1:16" x14ac:dyDescent="0.3">
      <c r="A15">
        <v>9</v>
      </c>
      <c r="B15" t="s">
        <v>840</v>
      </c>
      <c r="C15" t="s">
        <v>403</v>
      </c>
      <c r="D15" t="s">
        <v>841</v>
      </c>
      <c r="E15">
        <v>10625</v>
      </c>
      <c r="F15">
        <f>VLOOKUP(Table094__Page_23[[#This Row],[Dept]],Table095__Page_23[#All],2,0)</f>
        <v>400</v>
      </c>
      <c r="G15">
        <f>VLOOKUP(Table094__Page_23[[#This Row],[Dept]],Table095__Page_23[#All],3,0)</f>
        <v>600</v>
      </c>
      <c r="H15">
        <f>VLOOKUP(Table094__Page_23[[#This Row],[Region]],Table096__Page_23[#All],2,0)</f>
        <v>300</v>
      </c>
      <c r="I15" t="str">
        <f>IF(Table094__Page_23[[#This Row],[Salary]]&gt;15000,"A",IF(Table094__Page_23[[#This Row],[Salary]]&gt;10000,"B","C"))</f>
        <v>B</v>
      </c>
    </row>
    <row r="16" spans="1:16" x14ac:dyDescent="0.3">
      <c r="A16">
        <v>10</v>
      </c>
      <c r="B16" t="s">
        <v>842</v>
      </c>
      <c r="C16" t="s">
        <v>843</v>
      </c>
      <c r="D16" t="s">
        <v>836</v>
      </c>
      <c r="E16">
        <v>15000</v>
      </c>
      <c r="F16">
        <f>VLOOKUP(Table094__Page_23[[#This Row],[Dept]],Table095__Page_23[#All],2,0)</f>
        <v>500</v>
      </c>
      <c r="G16">
        <f>VLOOKUP(Table094__Page_23[[#This Row],[Dept]],Table095__Page_23[#All],3,0)</f>
        <v>500</v>
      </c>
      <c r="H16">
        <f>VLOOKUP(Table094__Page_23[[#This Row],[Region]],Table096__Page_23[#All],2,0)</f>
        <v>100</v>
      </c>
      <c r="I16" t="str">
        <f>IF(Table094__Page_23[[#This Row],[Salary]]&gt;15000,"A",IF(Table094__Page_23[[#This Row],[Salary]]&gt;10000,"B","C"))</f>
        <v>B</v>
      </c>
    </row>
    <row r="17" spans="1:14" x14ac:dyDescent="0.3">
      <c r="A17">
        <v>11</v>
      </c>
      <c r="B17" t="s">
        <v>844</v>
      </c>
      <c r="C17" t="s">
        <v>403</v>
      </c>
      <c r="D17" t="s">
        <v>837</v>
      </c>
      <c r="E17">
        <v>13750</v>
      </c>
      <c r="F17">
        <f>VLOOKUP(Table094__Page_23[[#This Row],[Dept]],Table095__Page_23[#All],2,0)</f>
        <v>400</v>
      </c>
      <c r="G17">
        <f>VLOOKUP(Table094__Page_23[[#This Row],[Dept]],Table095__Page_23[#All],3,0)</f>
        <v>600</v>
      </c>
      <c r="H17">
        <f>VLOOKUP(Table094__Page_23[[#This Row],[Region]],Table096__Page_23[#All],2,0)</f>
        <v>200</v>
      </c>
      <c r="I17" t="str">
        <f>IF(Table094__Page_23[[#This Row],[Salary]]&gt;15000,"A",IF(Table094__Page_23[[#This Row],[Salary]]&gt;10000,"B","C"))</f>
        <v>B</v>
      </c>
      <c r="K17" s="139" t="s">
        <v>854</v>
      </c>
      <c r="L17" s="139"/>
      <c r="M17" s="127" t="s">
        <v>278</v>
      </c>
      <c r="N17" s="127" t="s">
        <v>855</v>
      </c>
    </row>
    <row r="18" spans="1:14" x14ac:dyDescent="0.3">
      <c r="A18">
        <v>12</v>
      </c>
      <c r="B18" t="s">
        <v>845</v>
      </c>
      <c r="C18" t="s">
        <v>846</v>
      </c>
      <c r="D18" t="s">
        <v>678</v>
      </c>
      <c r="E18">
        <v>35000</v>
      </c>
      <c r="F18">
        <f>VLOOKUP(Table094__Page_23[[#This Row],[Dept]],Table095__Page_23[#All],2,0)</f>
        <v>600</v>
      </c>
      <c r="G18">
        <f>VLOOKUP(Table094__Page_23[[#This Row],[Dept]],Table095__Page_23[#All],3,0)</f>
        <v>400</v>
      </c>
      <c r="H18">
        <f>VLOOKUP(Table094__Page_23[[#This Row],[Region]],Table096__Page_23[#All],2,0)</f>
        <v>400</v>
      </c>
      <c r="I18" t="str">
        <f>IF(Table094__Page_23[[#This Row],[Salary]]&gt;15000,"A",IF(Table094__Page_23[[#This Row],[Salary]]&gt;10000,"B","C"))</f>
        <v>A</v>
      </c>
      <c r="K18" s="139"/>
      <c r="L18" s="139"/>
      <c r="M18" s="127"/>
      <c r="N18" s="127"/>
    </row>
    <row r="19" spans="1:14" x14ac:dyDescent="0.3">
      <c r="A19">
        <v>13</v>
      </c>
      <c r="B19" t="s">
        <v>847</v>
      </c>
      <c r="C19" t="s">
        <v>848</v>
      </c>
      <c r="D19" t="s">
        <v>836</v>
      </c>
      <c r="E19">
        <v>10625</v>
      </c>
      <c r="F19">
        <f>VLOOKUP(Table094__Page_23[[#This Row],[Dept]],Table095__Page_23[#All],2,0)</f>
        <v>700</v>
      </c>
      <c r="G19">
        <f>VLOOKUP(Table094__Page_23[[#This Row],[Dept]],Table095__Page_23[#All],3,0)</f>
        <v>300</v>
      </c>
      <c r="H19">
        <f>VLOOKUP(Table094__Page_23[[#This Row],[Region]],Table096__Page_23[#All],2,0)</f>
        <v>100</v>
      </c>
      <c r="I19" t="str">
        <f>IF(Table094__Page_23[[#This Row],[Salary]]&gt;15000,"A",IF(Table094__Page_23[[#This Row],[Salary]]&gt;10000,"B","C"))</f>
        <v>B</v>
      </c>
      <c r="K19" s="139"/>
      <c r="L19" s="139"/>
      <c r="M19" s="127">
        <f>COUNTIF(Table094__Page_23[[#All],[Dept]],"SALES")</f>
        <v>3</v>
      </c>
      <c r="N19" s="127">
        <f>COUNTIF(Table094__Page_23[[#All],[Dept]],"Mktg")</f>
        <v>3</v>
      </c>
    </row>
    <row r="20" spans="1:14" x14ac:dyDescent="0.3">
      <c r="A20">
        <v>14</v>
      </c>
      <c r="B20" t="s">
        <v>849</v>
      </c>
      <c r="C20" t="s">
        <v>848</v>
      </c>
      <c r="D20" t="s">
        <v>836</v>
      </c>
      <c r="E20">
        <v>10625</v>
      </c>
      <c r="F20">
        <f>VLOOKUP(Table094__Page_23[[#This Row],[Dept]],Table095__Page_23[#All],2,0)</f>
        <v>700</v>
      </c>
      <c r="G20">
        <f>VLOOKUP(Table094__Page_23[[#This Row],[Dept]],Table095__Page_23[#All],3,0)</f>
        <v>300</v>
      </c>
      <c r="H20">
        <f>VLOOKUP(Table094__Page_23[[#This Row],[Region]],Table096__Page_23[#All],2,0)</f>
        <v>100</v>
      </c>
      <c r="I20" t="str">
        <f>IF(Table094__Page_23[[#This Row],[Salary]]&gt;15000,"A",IF(Table094__Page_23[[#This Row],[Salary]]&gt;10000,"B","C"))</f>
        <v>B</v>
      </c>
      <c r="K20" s="139"/>
      <c r="L20" s="139"/>
      <c r="M20" s="127"/>
      <c r="N20" s="127"/>
    </row>
    <row r="21" spans="1:14" x14ac:dyDescent="0.3">
      <c r="A21">
        <v>15</v>
      </c>
      <c r="B21" t="s">
        <v>850</v>
      </c>
      <c r="C21" t="s">
        <v>843</v>
      </c>
      <c r="D21" t="s">
        <v>837</v>
      </c>
      <c r="E21">
        <v>11250</v>
      </c>
      <c r="F21">
        <f>VLOOKUP(Table094__Page_23[[#This Row],[Dept]],Table095__Page_23[#All],2,0)</f>
        <v>500</v>
      </c>
      <c r="G21">
        <f>VLOOKUP(Table094__Page_23[[#This Row],[Dept]],Table095__Page_23[#All],3,0)</f>
        <v>500</v>
      </c>
      <c r="H21">
        <f>VLOOKUP(Table094__Page_23[[#This Row],[Region]],Table096__Page_23[#All],2,0)</f>
        <v>200</v>
      </c>
      <c r="I21" t="str">
        <f>IF(Table094__Page_23[[#This Row],[Salary]]&gt;15000,"A",IF(Table094__Page_23[[#This Row],[Salary]]&gt;10000,"B","C"))</f>
        <v>B</v>
      </c>
    </row>
    <row r="22" spans="1:14" x14ac:dyDescent="0.3">
      <c r="A22">
        <v>16</v>
      </c>
      <c r="B22" t="s">
        <v>851</v>
      </c>
      <c r="C22" t="s">
        <v>843</v>
      </c>
      <c r="D22" t="s">
        <v>841</v>
      </c>
      <c r="E22">
        <v>11250</v>
      </c>
      <c r="F22">
        <f>VLOOKUP(Table094__Page_23[[#This Row],[Dept]],Table095__Page_23[#All],2,0)</f>
        <v>500</v>
      </c>
      <c r="G22">
        <f>VLOOKUP(Table094__Page_23[[#This Row],[Dept]],Table095__Page_23[#All],3,0)</f>
        <v>500</v>
      </c>
      <c r="H22">
        <f>VLOOKUP(Table094__Page_23[[#This Row],[Region]],Table096__Page_23[#All],2,0)</f>
        <v>300</v>
      </c>
      <c r="I22" t="str">
        <f>IF(Table094__Page_23[[#This Row],[Salary]]&gt;15000,"A",IF(Table094__Page_23[[#This Row],[Salary]]&gt;10000,"B","C"))</f>
        <v>B</v>
      </c>
      <c r="K22" s="139" t="s">
        <v>856</v>
      </c>
      <c r="L22" s="139"/>
      <c r="M22" s="127">
        <f>SUMIF(Table094__Page_23[[#All],[Dept]],"sales",Table094__Page_23[[#All],[Salary]])</f>
        <v>38750</v>
      </c>
    </row>
    <row r="23" spans="1:14" x14ac:dyDescent="0.3">
      <c r="A23">
        <v>17</v>
      </c>
      <c r="B23" t="s">
        <v>852</v>
      </c>
      <c r="C23" t="s">
        <v>221</v>
      </c>
      <c r="D23" t="s">
        <v>836</v>
      </c>
      <c r="E23">
        <v>7500</v>
      </c>
      <c r="F23">
        <f>VLOOKUP(Table094__Page_23[[#This Row],[Dept]],Table095__Page_23[#All],2,0)</f>
        <v>200</v>
      </c>
      <c r="G23">
        <f>VLOOKUP(Table094__Page_23[[#This Row],[Dept]],Table095__Page_23[#All],3,0)</f>
        <v>800</v>
      </c>
      <c r="H23">
        <f>VLOOKUP(Table094__Page_23[[#This Row],[Region]],Table096__Page_23[#All],2,0)</f>
        <v>100</v>
      </c>
      <c r="I23" t="str">
        <f>IF(Table094__Page_23[[#This Row],[Salary]]&gt;15000,"A",IF(Table094__Page_23[[#This Row],[Salary]]&gt;10000,"B","C"))</f>
        <v>C</v>
      </c>
      <c r="K23" s="139"/>
      <c r="L23" s="139"/>
      <c r="M23" s="127"/>
    </row>
    <row r="24" spans="1:14" x14ac:dyDescent="0.3">
      <c r="K24" s="139"/>
      <c r="L24" s="139"/>
      <c r="M24" s="127"/>
    </row>
    <row r="25" spans="1:14" x14ac:dyDescent="0.3">
      <c r="K25" s="139"/>
      <c r="L25" s="139"/>
      <c r="M25" s="127"/>
    </row>
    <row r="26" spans="1:14" x14ac:dyDescent="0.3">
      <c r="A26" t="s">
        <v>854</v>
      </c>
    </row>
    <row r="27" spans="1:14" x14ac:dyDescent="0.3">
      <c r="A27" t="s">
        <v>856</v>
      </c>
      <c r="K27" s="139" t="s">
        <v>857</v>
      </c>
      <c r="L27" s="139"/>
      <c r="M27" s="127">
        <f>SUMIFS(Table094__Page_23[[#All],[Salary]],Table094__Page_23[[#All],[Dept]],"sales",Table094__Page_23[[#All],[Region]],"north")</f>
        <v>26250</v>
      </c>
    </row>
    <row r="28" spans="1:14" x14ac:dyDescent="0.3">
      <c r="A28" t="s">
        <v>857</v>
      </c>
      <c r="K28" s="139"/>
      <c r="L28" s="139"/>
      <c r="M28" s="127"/>
    </row>
    <row r="29" spans="1:14" x14ac:dyDescent="0.3">
      <c r="A29" t="s">
        <v>858</v>
      </c>
      <c r="K29" s="139"/>
      <c r="L29" s="139"/>
      <c r="M29" s="127"/>
    </row>
    <row r="30" spans="1:14" x14ac:dyDescent="0.3">
      <c r="A30" t="s">
        <v>859</v>
      </c>
      <c r="K30" s="139"/>
      <c r="L30" s="139"/>
      <c r="M30" s="127"/>
    </row>
    <row r="32" spans="1:14" x14ac:dyDescent="0.3">
      <c r="K32" s="139" t="s">
        <v>858</v>
      </c>
      <c r="L32" s="139"/>
      <c r="M32" s="127">
        <f>COUNTIFS(Table094__Page_23[[#All],[Dept]],"sales",Table094__Page_23[[#All],[Region]],"north")</f>
        <v>2</v>
      </c>
    </row>
    <row r="33" spans="11:13" x14ac:dyDescent="0.3">
      <c r="K33" s="139"/>
      <c r="L33" s="139"/>
      <c r="M33" s="127"/>
    </row>
    <row r="34" spans="11:13" x14ac:dyDescent="0.3">
      <c r="K34" s="139"/>
      <c r="L34" s="139"/>
      <c r="M34" s="127"/>
    </row>
    <row r="35" spans="11:13" x14ac:dyDescent="0.3">
      <c r="K35" s="139"/>
      <c r="L35" s="139"/>
      <c r="M35" s="127"/>
    </row>
    <row r="37" spans="11:13" x14ac:dyDescent="0.3">
      <c r="K37" s="128" t="s">
        <v>859</v>
      </c>
      <c r="L37" s="128"/>
      <c r="M37" s="128"/>
    </row>
    <row r="38" spans="11:13" x14ac:dyDescent="0.3">
      <c r="K38" s="128"/>
      <c r="L38" s="128"/>
      <c r="M38" s="128"/>
    </row>
    <row r="39" spans="11:13" x14ac:dyDescent="0.3">
      <c r="K39" s="128"/>
      <c r="L39" s="128"/>
      <c r="M39" s="128"/>
    </row>
    <row r="40" spans="11:13" x14ac:dyDescent="0.3">
      <c r="K40" s="128"/>
      <c r="L40" s="128"/>
      <c r="M40" s="128"/>
    </row>
  </sheetData>
  <mergeCells count="13">
    <mergeCell ref="N17:N18"/>
    <mergeCell ref="M19:M20"/>
    <mergeCell ref="N19:N20"/>
    <mergeCell ref="K37:M40"/>
    <mergeCell ref="K22:L25"/>
    <mergeCell ref="M22:M25"/>
    <mergeCell ref="K17:L20"/>
    <mergeCell ref="M17:M18"/>
    <mergeCell ref="F2:F3"/>
    <mergeCell ref="K27:L30"/>
    <mergeCell ref="M27:M30"/>
    <mergeCell ref="K32:L35"/>
    <mergeCell ref="M32:M35"/>
  </mergeCells>
  <hyperlinks>
    <hyperlink ref="F2:F3" location="'LIST OF SHEET'!A1" display="LIST OF SHEET" xr:uid="{064DEEA5-E37B-49C2-8242-F5509A7C703D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3193-204D-4AF3-8E7E-AC1ADF5E19C1}">
  <dimension ref="A1:H25"/>
  <sheetViews>
    <sheetView workbookViewId="0">
      <selection activeCell="D2" sqref="D2:D3"/>
    </sheetView>
  </sheetViews>
  <sheetFormatPr defaultRowHeight="14.4" x14ac:dyDescent="0.3"/>
  <cols>
    <col min="1" max="1" width="11.88671875" bestFit="1" customWidth="1"/>
    <col min="2" max="2" width="14.6640625" bestFit="1" customWidth="1"/>
    <col min="3" max="3" width="17.88671875" bestFit="1" customWidth="1"/>
    <col min="4" max="4" width="16.33203125" customWidth="1"/>
    <col min="5" max="5" width="14.88671875" customWidth="1"/>
    <col min="6" max="6" width="17.44140625" customWidth="1"/>
    <col min="7" max="7" width="11.33203125" bestFit="1" customWidth="1"/>
    <col min="8" max="8" width="17.5546875" customWidth="1"/>
  </cols>
  <sheetData>
    <row r="1" spans="1:5" ht="28.8" x14ac:dyDescent="0.55000000000000004">
      <c r="A1" s="62" t="s">
        <v>899</v>
      </c>
    </row>
    <row r="2" spans="1:5" x14ac:dyDescent="0.3">
      <c r="A2" t="s">
        <v>892</v>
      </c>
      <c r="D2" s="126" t="s">
        <v>955</v>
      </c>
    </row>
    <row r="3" spans="1:5" x14ac:dyDescent="0.3">
      <c r="D3" s="126"/>
    </row>
    <row r="5" spans="1:5" x14ac:dyDescent="0.3">
      <c r="A5" t="s">
        <v>229</v>
      </c>
      <c r="B5" t="s">
        <v>860</v>
      </c>
      <c r="C5" t="s">
        <v>861</v>
      </c>
      <c r="D5" t="s">
        <v>646</v>
      </c>
      <c r="E5" t="s">
        <v>647</v>
      </c>
    </row>
    <row r="6" spans="1:5" x14ac:dyDescent="0.3">
      <c r="A6" t="s">
        <v>862</v>
      </c>
      <c r="B6" t="s">
        <v>863</v>
      </c>
      <c r="C6">
        <v>2</v>
      </c>
      <c r="D6" t="s">
        <v>864</v>
      </c>
      <c r="E6">
        <f>FIND(Table105__Page_25[[#This Row],[Letter To Find]],Table105__Page_25[[#This Row],[Text]],Table105__Page_25[[#This Row],[Position Of Letter]])</f>
        <v>2</v>
      </c>
    </row>
    <row r="7" spans="1:5" x14ac:dyDescent="0.3">
      <c r="A7" t="s">
        <v>862</v>
      </c>
      <c r="B7" t="s">
        <v>865</v>
      </c>
      <c r="C7">
        <v>1</v>
      </c>
      <c r="D7" t="s">
        <v>866</v>
      </c>
      <c r="E7">
        <f>FIND(Table105__Page_25[[#This Row],[Letter To Find]],Table105__Page_25[[#This Row],[Text]],Table105__Page_25[[#This Row],[Position Of Letter]])</f>
        <v>1</v>
      </c>
    </row>
    <row r="8" spans="1:5" x14ac:dyDescent="0.3">
      <c r="A8" t="s">
        <v>862</v>
      </c>
      <c r="B8" t="s">
        <v>867</v>
      </c>
      <c r="C8">
        <v>5</v>
      </c>
      <c r="D8" t="s">
        <v>868</v>
      </c>
      <c r="E8">
        <f>FIND(Table105__Page_25[[#This Row],[Letter To Find]],Table105__Page_25[[#This Row],[Text]],Table105__Page_25[[#This Row],[Position Of Letter]])</f>
        <v>5</v>
      </c>
    </row>
    <row r="9" spans="1:5" x14ac:dyDescent="0.3">
      <c r="A9" t="s">
        <v>869</v>
      </c>
      <c r="B9" t="s">
        <v>870</v>
      </c>
      <c r="C9">
        <v>3</v>
      </c>
      <c r="D9" t="s">
        <v>871</v>
      </c>
      <c r="E9">
        <f>FIND(Table105__Page_25[[#This Row],[Letter To Find]],Table105__Page_25[[#This Row],[Text]],Table105__Page_25[[#This Row],[Position Of Letter]])</f>
        <v>3</v>
      </c>
    </row>
    <row r="10" spans="1:5" x14ac:dyDescent="0.3">
      <c r="A10" t="s">
        <v>869</v>
      </c>
      <c r="B10" t="s">
        <v>870</v>
      </c>
      <c r="C10" t="s">
        <v>872</v>
      </c>
      <c r="D10" t="s">
        <v>873</v>
      </c>
      <c r="E10">
        <f>FIND(Table105__Page_25[[#This Row],[Letter To Find]],Table105__Page_25[[#This Row],[Text]],Table105__Page_25[[#This Row],[Position Of Letter]])</f>
        <v>11</v>
      </c>
    </row>
    <row r="12" spans="1:5" x14ac:dyDescent="0.3">
      <c r="A12" s="102" t="s">
        <v>874</v>
      </c>
      <c r="C12" s="74" t="s">
        <v>875</v>
      </c>
      <c r="D12" s="74">
        <f>LARGE($A$13:$A$17,1)</f>
        <v>800</v>
      </c>
      <c r="E12" s="97" t="s">
        <v>876</v>
      </c>
    </row>
    <row r="13" spans="1:5" x14ac:dyDescent="0.3">
      <c r="A13" s="75">
        <v>120</v>
      </c>
      <c r="C13" s="76" t="s">
        <v>877</v>
      </c>
      <c r="D13" s="74">
        <f>LARGE($A$13:$A$17,2)</f>
        <v>250</v>
      </c>
      <c r="E13" s="98" t="s">
        <v>878</v>
      </c>
    </row>
    <row r="14" spans="1:5" x14ac:dyDescent="0.3">
      <c r="A14" s="73">
        <v>800</v>
      </c>
      <c r="C14" s="74" t="s">
        <v>879</v>
      </c>
      <c r="D14" s="74">
        <f>LARGE($A$13:$A$17,3)</f>
        <v>120</v>
      </c>
      <c r="E14" s="97" t="s">
        <v>880</v>
      </c>
    </row>
    <row r="15" spans="1:5" x14ac:dyDescent="0.3">
      <c r="A15" s="75">
        <v>100</v>
      </c>
      <c r="C15" s="76" t="s">
        <v>881</v>
      </c>
      <c r="D15" s="74">
        <f>LARGE($A$13:$A$17,4)</f>
        <v>120</v>
      </c>
      <c r="E15" s="98" t="s">
        <v>882</v>
      </c>
    </row>
    <row r="16" spans="1:5" x14ac:dyDescent="0.3">
      <c r="A16" s="73">
        <v>120</v>
      </c>
      <c r="C16" s="74" t="s">
        <v>883</v>
      </c>
      <c r="D16" s="74">
        <f>LARGE($A$13:$A$17,5)</f>
        <v>100</v>
      </c>
      <c r="E16" s="97" t="s">
        <v>884</v>
      </c>
    </row>
    <row r="17" spans="1:8" x14ac:dyDescent="0.3">
      <c r="A17" s="75">
        <v>250</v>
      </c>
    </row>
    <row r="19" spans="1:8" x14ac:dyDescent="0.3">
      <c r="A19" t="s">
        <v>149</v>
      </c>
      <c r="B19" t="s">
        <v>454</v>
      </c>
      <c r="C19" t="s">
        <v>455</v>
      </c>
      <c r="D19" t="s">
        <v>456</v>
      </c>
      <c r="F19" s="73" t="s">
        <v>875</v>
      </c>
      <c r="G19" s="104">
        <f>LARGE(Table107__Page_26[[Jan]:[Mar]],1)</f>
        <v>12000</v>
      </c>
      <c r="H19" s="97" t="s">
        <v>885</v>
      </c>
    </row>
    <row r="20" spans="1:8" x14ac:dyDescent="0.3">
      <c r="A20" t="s">
        <v>577</v>
      </c>
      <c r="B20" s="103">
        <v>5000</v>
      </c>
      <c r="C20" s="103">
        <v>6000</v>
      </c>
      <c r="D20" s="103">
        <v>4500</v>
      </c>
      <c r="F20" s="75" t="s">
        <v>877</v>
      </c>
      <c r="G20" s="104">
        <f>LARGE(Table107__Page_26[[Jan]:[Mar]],2)</f>
        <v>10000</v>
      </c>
      <c r="H20" s="98" t="s">
        <v>886</v>
      </c>
    </row>
    <row r="21" spans="1:8" x14ac:dyDescent="0.3">
      <c r="A21" t="s">
        <v>578</v>
      </c>
      <c r="B21" s="103">
        <v>5800</v>
      </c>
      <c r="C21" s="103">
        <v>7000</v>
      </c>
      <c r="D21" s="103">
        <v>3000</v>
      </c>
      <c r="F21" s="73" t="s">
        <v>879</v>
      </c>
      <c r="G21" s="104">
        <f>LARGE(Table107__Page_26[[Jan]:[Mar]],1)</f>
        <v>12000</v>
      </c>
      <c r="H21" s="97" t="s">
        <v>887</v>
      </c>
    </row>
    <row r="22" spans="1:8" x14ac:dyDescent="0.3">
      <c r="A22" t="s">
        <v>579</v>
      </c>
      <c r="B22" s="103">
        <v>3500</v>
      </c>
      <c r="C22" s="103">
        <v>2000</v>
      </c>
      <c r="D22" s="103">
        <v>10000</v>
      </c>
    </row>
    <row r="23" spans="1:8" x14ac:dyDescent="0.3">
      <c r="A23" t="s">
        <v>580</v>
      </c>
      <c r="B23" s="103">
        <v>12000</v>
      </c>
      <c r="C23" s="103">
        <v>4000</v>
      </c>
      <c r="D23" s="103">
        <v>6000</v>
      </c>
    </row>
    <row r="24" spans="1:8" x14ac:dyDescent="0.3">
      <c r="F24" s="73" t="s">
        <v>888</v>
      </c>
      <c r="G24" s="104">
        <f>MAX(Table107__Page_26[[Jan]:[Mar]])</f>
        <v>12000</v>
      </c>
      <c r="H24" s="97" t="s">
        <v>889</v>
      </c>
    </row>
    <row r="25" spans="1:8" x14ac:dyDescent="0.3">
      <c r="F25" s="75" t="s">
        <v>890</v>
      </c>
      <c r="G25" s="105">
        <f>MIN(Table107__Page_26[[Jan]:[Mar]])</f>
        <v>2000</v>
      </c>
      <c r="H25" s="98" t="s">
        <v>891</v>
      </c>
    </row>
  </sheetData>
  <mergeCells count="1">
    <mergeCell ref="D2:D3"/>
  </mergeCells>
  <phoneticPr fontId="11" type="noConversion"/>
  <hyperlinks>
    <hyperlink ref="D2:D3" location="'LIST OF SHEET'!A1" display="LIST OF SHEET" xr:uid="{55A31DE1-5B66-43B1-A420-4585B5FB28E7}"/>
  </hyperlinks>
  <pageMargins left="0.7" right="0.7" top="0.75" bottom="0.75" header="0.3" footer="0.3"/>
  <ignoredErrors>
    <ignoredError sqref="G20" formula="1"/>
  </ignoredErrors>
  <tableParts count="2">
    <tablePart r:id="rId1"/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A9CC-859A-4D33-A4F3-5B9383C62B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256D-9624-410A-B0B1-473C4DD1E07F}">
  <dimension ref="A1"/>
  <sheetViews>
    <sheetView topLeftCell="A46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3004D-EC48-4B71-B8A0-198161BBC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LIST OF SHEET</vt:lpstr>
      <vt:lpstr>ASGMNT-1</vt:lpstr>
      <vt:lpstr>ASGMNT-2</vt:lpstr>
      <vt:lpstr>ASGMNT-3</vt:lpstr>
      <vt:lpstr>ASGMNT-4</vt:lpstr>
      <vt:lpstr>ASGMNT-6</vt:lpstr>
      <vt:lpstr>ASGMNT-6 HLOOKUP</vt:lpstr>
      <vt:lpstr>ASGMNT-7</vt:lpstr>
      <vt:lpstr>ASGMNT-8</vt:lpstr>
      <vt:lpstr>ASGMNT-10</vt:lpstr>
      <vt:lpstr>ASGMNT-11</vt:lpstr>
      <vt:lpstr>ASGMNT-12</vt:lpstr>
      <vt:lpstr>ASGMNT-13</vt:lpstr>
      <vt:lpstr>ASGMNT-14</vt:lpstr>
      <vt:lpstr>ASGMNT-15</vt:lpstr>
      <vt:lpstr>ASGMNT-16</vt:lpstr>
      <vt:lpstr>ASGMNT-17</vt:lpstr>
      <vt:lpstr>ASGMNT-18</vt:lpstr>
      <vt:lpstr>ASGMNT-19</vt:lpstr>
      <vt:lpstr>ASGMNT-20</vt:lpstr>
      <vt:lpstr>ASGMNT-21</vt:lpstr>
      <vt:lpstr>ASGMNT-22</vt:lpstr>
      <vt:lpstr>ASGMNT-23</vt:lpstr>
      <vt:lpstr>ASGMNT-24</vt:lpstr>
      <vt:lpstr>ASGMNT-25</vt:lpstr>
      <vt:lpstr>ASGMNT-26</vt:lpstr>
      <vt:lpstr>ASGMNT-27</vt:lpstr>
      <vt:lpstr>ASGMNT-28</vt:lpstr>
      <vt:lpstr>ASGMNT-29</vt:lpstr>
      <vt:lpstr>ASGMNT-30</vt:lpstr>
      <vt:lpstr>ASGMNT-31A</vt:lpstr>
      <vt:lpstr>ASGMNT-31B</vt:lpstr>
      <vt:lpstr>ASGMNT-32</vt:lpstr>
      <vt:lpstr>ASGMNT-33</vt:lpstr>
      <vt:lpstr>ASGMNT-34</vt:lpstr>
      <vt:lpstr>ASGMNT-35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2023-03-22T08:36:43Z</dcterms:created>
  <dcterms:modified xsi:type="dcterms:W3CDTF">2023-05-14T08:38:18Z</dcterms:modified>
</cp:coreProperties>
</file>